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0" yWindow="6135" windowWidth="28770" windowHeight="6390" activeTab="4"/>
  </bookViews>
  <sheets>
    <sheet name="销售价格测算" sheetId="7" r:id="rId1"/>
    <sheet name="成本明细" sheetId="6" r:id="rId2"/>
    <sheet name="动态成本" sheetId="5" r:id="rId3"/>
    <sheet name="Sheet1" sheetId="1" r:id="rId4"/>
    <sheet name="Sheet2" sheetId="2" r:id="rId5"/>
    <sheet name="Sheet3" sheetId="3" r:id="rId6"/>
  </sheets>
  <externalReferences>
    <externalReference r:id="rId7"/>
  </externalReferences>
  <definedNames>
    <definedName name="_xlnm._FilterDatabase" localSheetId="1" hidden="1">成本明细!$D$535:$J$538</definedName>
    <definedName name="_xlnm.Print_Titles" localSheetId="1">成本明细!$1:2</definedName>
  </definedNames>
  <calcPr calcId="145621" concurrentCalc="0"/>
</workbook>
</file>

<file path=xl/calcChain.xml><?xml version="1.0" encoding="utf-8"?>
<calcChain xmlns="http://schemas.openxmlformats.org/spreadsheetml/2006/main">
  <c r="D38" i="5" l="1"/>
  <c r="N165" i="5"/>
  <c r="F511" i="6"/>
  <c r="F512" i="6"/>
  <c r="F513" i="6"/>
  <c r="F514" i="6"/>
  <c r="F515" i="6"/>
  <c r="F516" i="6"/>
  <c r="F510" i="6"/>
  <c r="F163" i="5"/>
  <c r="D163" i="5"/>
  <c r="D162" i="5"/>
  <c r="F161" i="5"/>
  <c r="D161" i="5"/>
  <c r="F160" i="5"/>
  <c r="D160" i="5"/>
  <c r="F159" i="5"/>
  <c r="D159" i="5"/>
  <c r="F158" i="5"/>
  <c r="D158" i="5"/>
  <c r="F487" i="6"/>
  <c r="F488" i="6"/>
  <c r="F486" i="6"/>
  <c r="F156" i="5"/>
  <c r="D156" i="5"/>
  <c r="F154" i="5"/>
  <c r="D154" i="5"/>
  <c r="F153" i="5"/>
  <c r="D153" i="5"/>
  <c r="F152" i="5"/>
  <c r="D152" i="5"/>
  <c r="F150" i="5"/>
  <c r="D150" i="5"/>
  <c r="F149" i="5"/>
  <c r="D149" i="5"/>
  <c r="F148" i="5"/>
  <c r="D148" i="5"/>
  <c r="F463" i="6"/>
  <c r="F464" i="6"/>
  <c r="F462" i="6"/>
  <c r="F146" i="5"/>
  <c r="D146" i="5"/>
  <c r="F145" i="5"/>
  <c r="D145" i="5"/>
  <c r="F457" i="6"/>
  <c r="F456" i="6"/>
  <c r="F144" i="5"/>
  <c r="D144" i="5"/>
  <c r="F142" i="5"/>
  <c r="D142" i="5"/>
  <c r="F141" i="5"/>
  <c r="D141" i="5"/>
  <c r="F447" i="6"/>
  <c r="F446" i="6"/>
  <c r="F140" i="5"/>
  <c r="D140" i="5"/>
  <c r="F139" i="5"/>
  <c r="D139" i="5"/>
  <c r="F441" i="6"/>
  <c r="F440" i="6"/>
  <c r="F138" i="5"/>
  <c r="D138" i="5"/>
  <c r="F437" i="6"/>
  <c r="F438" i="6"/>
  <c r="F436" i="6"/>
  <c r="F137" i="5"/>
  <c r="D137" i="5"/>
  <c r="F433" i="6"/>
  <c r="F432" i="6"/>
  <c r="F135" i="5"/>
  <c r="D135" i="5"/>
  <c r="F430" i="6"/>
  <c r="F431" i="6"/>
  <c r="F429" i="6"/>
  <c r="F134" i="5"/>
  <c r="D134" i="5"/>
  <c r="F427" i="6"/>
  <c r="F426" i="6"/>
  <c r="F133" i="5"/>
  <c r="D133" i="5"/>
  <c r="F131" i="5"/>
  <c r="D131" i="5"/>
  <c r="F418" i="6"/>
  <c r="F419" i="6"/>
  <c r="F420" i="6"/>
  <c r="F417" i="6"/>
  <c r="F130" i="5"/>
  <c r="D130" i="5"/>
  <c r="F128" i="5"/>
  <c r="D128" i="5"/>
  <c r="D127" i="5"/>
  <c r="D126" i="5"/>
  <c r="D125" i="5"/>
  <c r="F400" i="6"/>
  <c r="F401" i="6"/>
  <c r="F399" i="6"/>
  <c r="F123" i="5"/>
  <c r="D123" i="5"/>
  <c r="F397" i="6"/>
  <c r="F396" i="6"/>
  <c r="F122" i="5"/>
  <c r="D122" i="5"/>
  <c r="F394" i="6"/>
  <c r="F393" i="6"/>
  <c r="F121" i="5"/>
  <c r="D121" i="5"/>
  <c r="F391" i="6"/>
  <c r="F390" i="6"/>
  <c r="F120" i="5"/>
  <c r="D120" i="5"/>
  <c r="F387" i="6"/>
  <c r="F386" i="6"/>
  <c r="F119" i="5"/>
  <c r="D119" i="5"/>
  <c r="D118" i="5"/>
  <c r="D117" i="5"/>
  <c r="F378" i="6"/>
  <c r="F377" i="6"/>
  <c r="F116" i="5"/>
  <c r="D116" i="5"/>
  <c r="F375" i="6"/>
  <c r="F374" i="6"/>
  <c r="F115" i="5"/>
  <c r="D115" i="5"/>
  <c r="F113" i="5"/>
  <c r="D113" i="5"/>
  <c r="F367" i="6"/>
  <c r="F368" i="6"/>
  <c r="F366" i="6"/>
  <c r="F112" i="5"/>
  <c r="D112" i="5"/>
  <c r="F111" i="5"/>
  <c r="D111" i="5"/>
  <c r="F110" i="5"/>
  <c r="D110" i="5"/>
  <c r="F109" i="5"/>
  <c r="D109" i="5"/>
  <c r="F108" i="5"/>
  <c r="D108" i="5"/>
  <c r="F352" i="6"/>
  <c r="F353" i="6"/>
  <c r="F351" i="6"/>
  <c r="F107" i="5"/>
  <c r="D107" i="5"/>
  <c r="F104" i="5"/>
  <c r="D104" i="5"/>
  <c r="F341" i="6"/>
  <c r="F340" i="6"/>
  <c r="F103" i="5"/>
  <c r="D103" i="5"/>
  <c r="F339" i="6"/>
  <c r="F338" i="6"/>
  <c r="F102" i="5"/>
  <c r="D102" i="5"/>
  <c r="F334" i="6"/>
  <c r="F333" i="6"/>
  <c r="F100" i="5"/>
  <c r="D100" i="5"/>
  <c r="F329" i="6"/>
  <c r="F330" i="6"/>
  <c r="F331" i="6"/>
  <c r="F328" i="6"/>
  <c r="F99" i="5"/>
  <c r="D99" i="5"/>
  <c r="F324" i="6"/>
  <c r="F325" i="6"/>
  <c r="F326" i="6"/>
  <c r="F327" i="6"/>
  <c r="F323" i="6"/>
  <c r="F98" i="5"/>
  <c r="D98" i="5"/>
  <c r="F96" i="5"/>
  <c r="D96" i="5"/>
  <c r="F95" i="5"/>
  <c r="D95" i="5"/>
  <c r="F94" i="5"/>
  <c r="D94" i="5"/>
  <c r="F311" i="6"/>
  <c r="F312" i="6"/>
  <c r="F310" i="6"/>
  <c r="F93" i="5"/>
  <c r="D93" i="5"/>
  <c r="F92" i="5"/>
  <c r="D92" i="5"/>
  <c r="F91" i="5"/>
  <c r="D91" i="5"/>
  <c r="F302" i="6"/>
  <c r="F301" i="6"/>
  <c r="F90" i="5"/>
  <c r="D90" i="5"/>
  <c r="F89" i="5"/>
  <c r="D89" i="5"/>
  <c r="F293" i="6"/>
  <c r="F292" i="6"/>
  <c r="F87" i="5"/>
  <c r="D87" i="5"/>
  <c r="F286" i="6"/>
  <c r="F287" i="6"/>
  <c r="F288" i="6"/>
  <c r="F285" i="6"/>
  <c r="F86" i="5"/>
  <c r="D86" i="5"/>
  <c r="F283" i="6"/>
  <c r="F282" i="6"/>
  <c r="F85" i="5"/>
  <c r="D85" i="5"/>
  <c r="F280" i="6"/>
  <c r="F279" i="6"/>
  <c r="F84" i="5"/>
  <c r="D84" i="5"/>
  <c r="F275" i="6"/>
  <c r="F276" i="6"/>
  <c r="F277" i="6"/>
  <c r="F274" i="6"/>
  <c r="F83" i="5"/>
  <c r="D83" i="5"/>
  <c r="F271" i="6"/>
  <c r="F272" i="6"/>
  <c r="F273" i="6"/>
  <c r="F270" i="6"/>
  <c r="F82" i="5"/>
  <c r="D82" i="5"/>
  <c r="F267" i="6"/>
  <c r="F266" i="6"/>
  <c r="F81" i="5"/>
  <c r="D81" i="5"/>
  <c r="F259" i="6"/>
  <c r="F260" i="6"/>
  <c r="F261" i="6"/>
  <c r="F262" i="6"/>
  <c r="F263" i="6"/>
  <c r="F264" i="6"/>
  <c r="F258" i="6"/>
  <c r="F80" i="5"/>
  <c r="D80" i="5"/>
  <c r="F253" i="6"/>
  <c r="F254" i="6"/>
  <c r="F255" i="6"/>
  <c r="F252" i="6"/>
  <c r="F78" i="5"/>
  <c r="D78" i="5"/>
  <c r="F249" i="6"/>
  <c r="F248" i="6"/>
  <c r="F77" i="5"/>
  <c r="D77" i="5"/>
  <c r="F246" i="6"/>
  <c r="F245" i="6"/>
  <c r="F76" i="5"/>
  <c r="D76" i="5"/>
  <c r="F240" i="6"/>
  <c r="F241" i="6"/>
  <c r="F242" i="6"/>
  <c r="F243" i="6"/>
  <c r="F239" i="6"/>
  <c r="F75" i="5"/>
  <c r="D75" i="5"/>
  <c r="F237" i="6"/>
  <c r="F236" i="6"/>
  <c r="F74" i="5"/>
  <c r="D74" i="5"/>
  <c r="F233" i="6"/>
  <c r="F232" i="6"/>
  <c r="F73" i="5"/>
  <c r="D73" i="5"/>
  <c r="F230" i="6"/>
  <c r="F229" i="6"/>
  <c r="F72" i="5"/>
  <c r="D72" i="5"/>
  <c r="F214" i="6"/>
  <c r="F215" i="6"/>
  <c r="F216" i="6"/>
  <c r="F213" i="6"/>
  <c r="F69" i="5"/>
  <c r="D69" i="5"/>
  <c r="F210" i="6"/>
  <c r="F211" i="6"/>
  <c r="F209" i="6"/>
  <c r="F68" i="5"/>
  <c r="D68" i="5"/>
  <c r="F67" i="5"/>
  <c r="D67" i="5"/>
  <c r="F66" i="5"/>
  <c r="D66" i="5"/>
  <c r="F199" i="6"/>
  <c r="F200" i="6"/>
  <c r="F201" i="6"/>
  <c r="F198" i="6"/>
  <c r="F65" i="5"/>
  <c r="D65" i="5"/>
  <c r="F194" i="6"/>
  <c r="F195" i="6"/>
  <c r="F196" i="6"/>
  <c r="F193" i="6"/>
  <c r="F64" i="5"/>
  <c r="D64" i="5"/>
  <c r="F189" i="6"/>
  <c r="F190" i="6"/>
  <c r="F188" i="6"/>
  <c r="F63" i="5"/>
  <c r="D63" i="5"/>
  <c r="F185" i="6"/>
  <c r="F184" i="6"/>
  <c r="F61" i="5"/>
  <c r="D61" i="5"/>
  <c r="F182" i="6"/>
  <c r="F181" i="6"/>
  <c r="F60" i="5"/>
  <c r="D60" i="5"/>
  <c r="F59" i="5"/>
  <c r="D59" i="5"/>
  <c r="F58" i="5"/>
  <c r="D58" i="5"/>
  <c r="F57" i="5"/>
  <c r="D57" i="5"/>
  <c r="F56" i="5"/>
  <c r="D56" i="5"/>
  <c r="F54" i="5"/>
  <c r="D54" i="5"/>
  <c r="F53" i="5"/>
  <c r="D53" i="5"/>
  <c r="F160" i="6"/>
  <c r="F159" i="6"/>
  <c r="F52" i="5"/>
  <c r="D52" i="5"/>
  <c r="F157" i="6"/>
  <c r="F156" i="6"/>
  <c r="F51" i="5"/>
  <c r="D51" i="5"/>
  <c r="F153" i="6"/>
  <c r="F154" i="6"/>
  <c r="F152" i="6"/>
  <c r="F50" i="5"/>
  <c r="D50" i="5"/>
  <c r="F149" i="6"/>
  <c r="F150" i="6"/>
  <c r="F148" i="6"/>
  <c r="F49" i="5"/>
  <c r="D49" i="5"/>
  <c r="F47" i="5"/>
  <c r="D47" i="5"/>
  <c r="F46" i="5"/>
  <c r="D46" i="5"/>
  <c r="F145" i="6"/>
  <c r="F144" i="6"/>
  <c r="F45" i="5"/>
  <c r="D45" i="5"/>
  <c r="F44" i="5"/>
  <c r="D44" i="5"/>
  <c r="F139" i="6"/>
  <c r="F138" i="6"/>
  <c r="F43" i="5"/>
  <c r="D43" i="5"/>
  <c r="F135" i="6"/>
  <c r="F136" i="6"/>
  <c r="F134" i="6"/>
  <c r="F42" i="5"/>
  <c r="D42" i="5"/>
  <c r="F130" i="6"/>
  <c r="F131" i="6"/>
  <c r="F129" i="6"/>
  <c r="F40" i="5"/>
  <c r="D40" i="5"/>
  <c r="F125" i="6"/>
  <c r="F126" i="6"/>
  <c r="F127" i="6"/>
  <c r="F124" i="6"/>
  <c r="F39" i="5"/>
  <c r="D39" i="5"/>
  <c r="F115" i="6"/>
  <c r="F116" i="6"/>
  <c r="F117" i="6"/>
  <c r="F118" i="6"/>
  <c r="F119" i="6"/>
  <c r="F120" i="6"/>
  <c r="F121" i="6"/>
  <c r="F122" i="6"/>
  <c r="F114" i="6"/>
  <c r="F38" i="5"/>
  <c r="F110" i="6"/>
  <c r="F111" i="6"/>
  <c r="F112" i="6"/>
  <c r="F113" i="6"/>
  <c r="F109" i="6"/>
  <c r="F37" i="5"/>
  <c r="D37" i="5"/>
  <c r="F104" i="6"/>
  <c r="F105" i="6"/>
  <c r="F103" i="6"/>
  <c r="F35" i="5"/>
  <c r="D35" i="5"/>
  <c r="F99" i="6"/>
  <c r="F100" i="6"/>
  <c r="F98" i="6"/>
  <c r="F34" i="5"/>
  <c r="D34" i="5"/>
  <c r="F95" i="6"/>
  <c r="F96" i="6"/>
  <c r="F94" i="6"/>
  <c r="F33" i="5"/>
  <c r="D33" i="5"/>
  <c r="F92" i="6"/>
  <c r="F91" i="6"/>
  <c r="F32" i="5"/>
  <c r="D32" i="5"/>
  <c r="F31" i="5"/>
  <c r="D31" i="5"/>
  <c r="F85" i="6"/>
  <c r="F86" i="6"/>
  <c r="F84" i="6"/>
  <c r="F30" i="5"/>
  <c r="D30" i="5"/>
  <c r="F77" i="6"/>
  <c r="F78" i="6"/>
  <c r="F79" i="6"/>
  <c r="F80" i="6"/>
  <c r="F81" i="6"/>
  <c r="F82" i="6"/>
  <c r="F76" i="6"/>
  <c r="F29" i="5"/>
  <c r="D29" i="5"/>
  <c r="F65" i="6"/>
  <c r="F66" i="6"/>
  <c r="F67" i="6"/>
  <c r="F68" i="6"/>
  <c r="F69" i="6"/>
  <c r="F64" i="6"/>
  <c r="F27" i="5"/>
  <c r="D27" i="5"/>
  <c r="F60" i="6"/>
  <c r="F61" i="6"/>
  <c r="F62" i="6"/>
  <c r="F59" i="6"/>
  <c r="F26" i="5"/>
  <c r="D26" i="5"/>
  <c r="F56" i="6"/>
  <c r="F57" i="6"/>
  <c r="F55" i="6"/>
  <c r="F25" i="5"/>
  <c r="D25" i="5"/>
  <c r="F53" i="6"/>
  <c r="F52" i="6"/>
  <c r="F24" i="5"/>
  <c r="D24" i="5"/>
  <c r="F50" i="6"/>
  <c r="F49" i="6"/>
  <c r="F23" i="5"/>
  <c r="D23" i="5"/>
  <c r="F47" i="6"/>
  <c r="F48" i="6"/>
  <c r="F46" i="6"/>
  <c r="F22" i="5"/>
  <c r="D22" i="5"/>
  <c r="F42" i="6"/>
  <c r="F43" i="6"/>
  <c r="F44" i="6"/>
  <c r="F41" i="6"/>
  <c r="F20" i="5"/>
  <c r="D20" i="5"/>
  <c r="F35" i="6"/>
  <c r="F36" i="6"/>
  <c r="F37" i="6"/>
  <c r="F38" i="6"/>
  <c r="F39" i="6"/>
  <c r="F34" i="6"/>
  <c r="F19" i="5"/>
  <c r="D19" i="5"/>
  <c r="F31" i="6"/>
  <c r="F32" i="6"/>
  <c r="F33" i="6"/>
  <c r="F30" i="6"/>
  <c r="F18" i="5"/>
  <c r="D18" i="5"/>
  <c r="F26" i="6"/>
  <c r="F25" i="6"/>
  <c r="F15" i="5"/>
  <c r="D15" i="5"/>
  <c r="F23" i="6"/>
  <c r="F22" i="6"/>
  <c r="F14" i="5"/>
  <c r="D14" i="5"/>
  <c r="F13" i="5"/>
  <c r="D13" i="5"/>
  <c r="F17" i="6"/>
  <c r="F18" i="6"/>
  <c r="F16" i="6"/>
  <c r="F12" i="5"/>
  <c r="D12" i="5"/>
  <c r="F14" i="6"/>
  <c r="F13" i="6"/>
  <c r="F11" i="5"/>
  <c r="D11" i="5"/>
  <c r="F10" i="6"/>
  <c r="F11" i="6"/>
  <c r="F9" i="6"/>
  <c r="F10" i="5"/>
  <c r="D10" i="5"/>
  <c r="F6" i="6"/>
  <c r="F5" i="6"/>
  <c r="F9" i="5"/>
  <c r="D9" i="5"/>
  <c r="E5" i="7"/>
  <c r="E7" i="7"/>
  <c r="E9" i="7"/>
  <c r="E11" i="7"/>
  <c r="E15" i="7"/>
  <c r="E29" i="7"/>
  <c r="E31" i="7"/>
  <c r="E33" i="7"/>
  <c r="E35" i="7"/>
  <c r="E39" i="7"/>
  <c r="E41" i="7"/>
  <c r="E43" i="7"/>
  <c r="E45" i="7"/>
  <c r="E47" i="7"/>
  <c r="E55" i="7"/>
  <c r="F5" i="7"/>
  <c r="F7" i="7"/>
  <c r="F9" i="7"/>
  <c r="F11" i="7"/>
  <c r="F15" i="7"/>
  <c r="F29" i="7"/>
  <c r="F30" i="7"/>
  <c r="F31" i="7"/>
  <c r="F33" i="7"/>
  <c r="F34" i="7"/>
  <c r="F35" i="7"/>
  <c r="F39" i="7"/>
  <c r="F41" i="7"/>
  <c r="F43" i="7"/>
  <c r="F45" i="7"/>
  <c r="F47" i="7"/>
  <c r="F55" i="7"/>
  <c r="G5" i="7"/>
  <c r="G7" i="7"/>
  <c r="G9" i="7"/>
  <c r="G11" i="7"/>
  <c r="G15" i="7"/>
  <c r="G29" i="7"/>
  <c r="G31" i="7"/>
  <c r="G33" i="7"/>
  <c r="G35" i="7"/>
  <c r="G39" i="7"/>
  <c r="G41" i="7"/>
  <c r="G43" i="7"/>
  <c r="G45" i="7"/>
  <c r="G47" i="7"/>
  <c r="G55" i="7"/>
  <c r="H5" i="7"/>
  <c r="H7" i="7"/>
  <c r="H9" i="7"/>
  <c r="H11" i="7"/>
  <c r="H15" i="7"/>
  <c r="H29" i="7"/>
  <c r="H30" i="7"/>
  <c r="H31" i="7"/>
  <c r="H33" i="7"/>
  <c r="H34" i="7"/>
  <c r="H35" i="7"/>
  <c r="H39" i="7"/>
  <c r="H41" i="7"/>
  <c r="H43" i="7"/>
  <c r="H45" i="7"/>
  <c r="H47" i="7"/>
  <c r="H55" i="7"/>
  <c r="I55" i="7"/>
  <c r="J5" i="7"/>
  <c r="J7" i="7"/>
  <c r="J9" i="7"/>
  <c r="J10" i="7"/>
  <c r="J11" i="7"/>
  <c r="J15" i="7"/>
  <c r="J29" i="7"/>
  <c r="J30" i="7"/>
  <c r="J31" i="7"/>
  <c r="J33" i="7"/>
  <c r="J34" i="7"/>
  <c r="J35" i="7"/>
  <c r="J39" i="7"/>
  <c r="J41" i="7"/>
  <c r="J43" i="7"/>
  <c r="J45" i="7"/>
  <c r="J47" i="7"/>
  <c r="J55" i="7"/>
  <c r="K5" i="7"/>
  <c r="K7" i="7"/>
  <c r="K9" i="7"/>
  <c r="K10" i="7"/>
  <c r="K11" i="7"/>
  <c r="K15" i="7"/>
  <c r="K29" i="7"/>
  <c r="K30" i="7"/>
  <c r="K31" i="7"/>
  <c r="K33" i="7"/>
  <c r="K34" i="7"/>
  <c r="K35" i="7"/>
  <c r="K39" i="7"/>
  <c r="K41" i="7"/>
  <c r="K43" i="7"/>
  <c r="K45" i="7"/>
  <c r="K47" i="7"/>
  <c r="K55" i="7"/>
  <c r="L5" i="7"/>
  <c r="L7" i="7"/>
  <c r="L9" i="7"/>
  <c r="L11" i="7"/>
  <c r="L15" i="7"/>
  <c r="L29" i="7"/>
  <c r="L31" i="7"/>
  <c r="L33" i="7"/>
  <c r="L35" i="7"/>
  <c r="L39" i="7"/>
  <c r="L41" i="7"/>
  <c r="L43" i="7"/>
  <c r="L45" i="7"/>
  <c r="L47" i="7"/>
  <c r="L55" i="7"/>
  <c r="M5" i="7"/>
  <c r="M7" i="7"/>
  <c r="M9" i="7"/>
  <c r="M11" i="7"/>
  <c r="M15" i="7"/>
  <c r="M29" i="7"/>
  <c r="M31" i="7"/>
  <c r="M33" i="7"/>
  <c r="M35" i="7"/>
  <c r="M39" i="7"/>
  <c r="M41" i="7"/>
  <c r="M43" i="7"/>
  <c r="M45" i="7"/>
  <c r="M47" i="7"/>
  <c r="M55" i="7"/>
  <c r="N5" i="7"/>
  <c r="N7" i="7"/>
  <c r="N9" i="7"/>
  <c r="N11" i="7"/>
  <c r="N15" i="7"/>
  <c r="N17" i="7"/>
  <c r="N19" i="7"/>
  <c r="N21" i="7"/>
  <c r="N23" i="7"/>
  <c r="N27" i="7"/>
  <c r="N29" i="7"/>
  <c r="N31" i="7"/>
  <c r="N33" i="7"/>
  <c r="N35" i="7"/>
  <c r="N39" i="7"/>
  <c r="N41" i="7"/>
  <c r="N43" i="7"/>
  <c r="N45" i="7"/>
  <c r="N47" i="7"/>
  <c r="N55" i="7"/>
  <c r="O5" i="7"/>
  <c r="O7" i="7"/>
  <c r="O9" i="7"/>
  <c r="O11" i="7"/>
  <c r="O15" i="7"/>
  <c r="O17" i="7"/>
  <c r="O18" i="7"/>
  <c r="O19" i="7"/>
  <c r="O21" i="7"/>
  <c r="O22" i="7"/>
  <c r="O23" i="7"/>
  <c r="O27" i="7"/>
  <c r="O29" i="7"/>
  <c r="O30" i="7"/>
  <c r="O31" i="7"/>
  <c r="O39" i="7"/>
  <c r="O41" i="7"/>
  <c r="O43" i="7"/>
  <c r="O45" i="7"/>
  <c r="O47" i="7"/>
  <c r="O55" i="7"/>
  <c r="P5" i="7"/>
  <c r="P7" i="7"/>
  <c r="P9" i="7"/>
  <c r="P11" i="7"/>
  <c r="P15" i="7"/>
  <c r="P17" i="7"/>
  <c r="P18" i="7"/>
  <c r="P19" i="7"/>
  <c r="P21" i="7"/>
  <c r="P22" i="7"/>
  <c r="P23" i="7"/>
  <c r="P27" i="7"/>
  <c r="P29" i="7"/>
  <c r="P31" i="7"/>
  <c r="P33" i="7"/>
  <c r="P35" i="7"/>
  <c r="P39" i="7"/>
  <c r="P41" i="7"/>
  <c r="P43" i="7"/>
  <c r="P45" i="7"/>
  <c r="P47" i="7"/>
  <c r="P55" i="7"/>
  <c r="Q5" i="7"/>
  <c r="Q7" i="7"/>
  <c r="Q9" i="7"/>
  <c r="Q10" i="7"/>
  <c r="Q11" i="7"/>
  <c r="Q15" i="7"/>
  <c r="Q17" i="7"/>
  <c r="Q18" i="7"/>
  <c r="Q19" i="7"/>
  <c r="Q21" i="7"/>
  <c r="Q22" i="7"/>
  <c r="Q23" i="7"/>
  <c r="Q27" i="7"/>
  <c r="Q29" i="7"/>
  <c r="Q30" i="7"/>
  <c r="Q31" i="7"/>
  <c r="Q33" i="7"/>
  <c r="Q34" i="7"/>
  <c r="Q35" i="7"/>
  <c r="Q39" i="7"/>
  <c r="Q41" i="7"/>
  <c r="Q43" i="7"/>
  <c r="Q46" i="7"/>
  <c r="Q45" i="7"/>
  <c r="Q47" i="7"/>
  <c r="Q55" i="7"/>
  <c r="R5" i="7"/>
  <c r="R7" i="7"/>
  <c r="R9" i="7"/>
  <c r="R10" i="7"/>
  <c r="R11" i="7"/>
  <c r="R15" i="7"/>
  <c r="R17" i="7"/>
  <c r="R19" i="7"/>
  <c r="R21" i="7"/>
  <c r="R23" i="7"/>
  <c r="R27" i="7"/>
  <c r="R29" i="7"/>
  <c r="R30" i="7"/>
  <c r="R31" i="7"/>
  <c r="R33" i="7"/>
  <c r="R34" i="7"/>
  <c r="R35" i="7"/>
  <c r="R39" i="7"/>
  <c r="R41" i="7"/>
  <c r="R43" i="7"/>
  <c r="R46" i="7"/>
  <c r="R45" i="7"/>
  <c r="R47" i="7"/>
  <c r="R55" i="7"/>
  <c r="S5" i="7"/>
  <c r="S7" i="7"/>
  <c r="S9" i="7"/>
  <c r="S10" i="7"/>
  <c r="S11" i="7"/>
  <c r="S15" i="7"/>
  <c r="S17" i="7"/>
  <c r="S18" i="7"/>
  <c r="S19" i="7"/>
  <c r="S21" i="7"/>
  <c r="S22" i="7"/>
  <c r="S23" i="7"/>
  <c r="S27" i="7"/>
  <c r="S29" i="7"/>
  <c r="S30" i="7"/>
  <c r="S31" i="7"/>
  <c r="S33" i="7"/>
  <c r="S34" i="7"/>
  <c r="S35" i="7"/>
  <c r="S39" i="7"/>
  <c r="S41" i="7"/>
  <c r="S43" i="7"/>
  <c r="S46" i="7"/>
  <c r="S45" i="7"/>
  <c r="S47" i="7"/>
  <c r="S55" i="7"/>
  <c r="T5" i="7"/>
  <c r="T7" i="7"/>
  <c r="T9" i="7"/>
  <c r="T10" i="7"/>
  <c r="T11" i="7"/>
  <c r="T15" i="7"/>
  <c r="T17" i="7"/>
  <c r="T18" i="7"/>
  <c r="T19" i="7"/>
  <c r="T21" i="7"/>
  <c r="T22" i="7"/>
  <c r="T23" i="7"/>
  <c r="T27" i="7"/>
  <c r="T29" i="7"/>
  <c r="T30" i="7"/>
  <c r="T31" i="7"/>
  <c r="T33" i="7"/>
  <c r="T34" i="7"/>
  <c r="T35" i="7"/>
  <c r="T39" i="7"/>
  <c r="T41" i="7"/>
  <c r="T43" i="7"/>
  <c r="T46" i="7"/>
  <c r="T45" i="7"/>
  <c r="T47" i="7"/>
  <c r="T55" i="7"/>
  <c r="U5" i="7"/>
  <c r="U6" i="7"/>
  <c r="U7" i="7"/>
  <c r="U9" i="7"/>
  <c r="U10" i="7"/>
  <c r="U11" i="7"/>
  <c r="U15" i="7"/>
  <c r="U17" i="7"/>
  <c r="U18" i="7"/>
  <c r="U19" i="7"/>
  <c r="U21" i="7"/>
  <c r="U22" i="7"/>
  <c r="U23" i="7"/>
  <c r="U27" i="7"/>
  <c r="U29" i="7"/>
  <c r="U30" i="7"/>
  <c r="U31" i="7"/>
  <c r="U33" i="7"/>
  <c r="U34" i="7"/>
  <c r="U35" i="7"/>
  <c r="U39" i="7"/>
  <c r="U41" i="7"/>
  <c r="U43" i="7"/>
  <c r="U46" i="7"/>
  <c r="U45" i="7"/>
  <c r="U47" i="7"/>
  <c r="U55" i="7"/>
  <c r="V55" i="7"/>
  <c r="W5" i="7"/>
  <c r="W6" i="7"/>
  <c r="W7" i="7"/>
  <c r="W9" i="7"/>
  <c r="W10" i="7"/>
  <c r="W11" i="7"/>
  <c r="W15" i="7"/>
  <c r="W17" i="7"/>
  <c r="W18" i="7"/>
  <c r="W19" i="7"/>
  <c r="W21" i="7"/>
  <c r="W22" i="7"/>
  <c r="W23" i="7"/>
  <c r="W27" i="7"/>
  <c r="W29" i="7"/>
  <c r="W30" i="7"/>
  <c r="W31" i="7"/>
  <c r="W33" i="7"/>
  <c r="W34" i="7"/>
  <c r="W35" i="7"/>
  <c r="W39" i="7"/>
  <c r="W41" i="7"/>
  <c r="W43" i="7"/>
  <c r="W45" i="7"/>
  <c r="W47" i="7"/>
  <c r="W55" i="7"/>
  <c r="X5" i="7"/>
  <c r="X6" i="7"/>
  <c r="X7" i="7"/>
  <c r="X9" i="7"/>
  <c r="X10" i="7"/>
  <c r="X11" i="7"/>
  <c r="X15" i="7"/>
  <c r="X17" i="7"/>
  <c r="X18" i="7"/>
  <c r="X19" i="7"/>
  <c r="X21" i="7"/>
  <c r="X22" i="7"/>
  <c r="X23" i="7"/>
  <c r="X27" i="7"/>
  <c r="X29" i="7"/>
  <c r="X30" i="7"/>
  <c r="X31" i="7"/>
  <c r="X33" i="7"/>
  <c r="X34" i="7"/>
  <c r="X35" i="7"/>
  <c r="X39" i="7"/>
  <c r="X41" i="7"/>
  <c r="X43" i="7"/>
  <c r="X46" i="7"/>
  <c r="X45" i="7"/>
  <c r="X47" i="7"/>
  <c r="X55" i="7"/>
  <c r="Y5" i="7"/>
  <c r="Y6" i="7"/>
  <c r="Y7" i="7"/>
  <c r="Y9" i="7"/>
  <c r="Y10" i="7"/>
  <c r="Y11" i="7"/>
  <c r="Y15" i="7"/>
  <c r="Y17" i="7"/>
  <c r="Y18" i="7"/>
  <c r="Y19" i="7"/>
  <c r="Y21" i="7"/>
  <c r="Y22" i="7"/>
  <c r="Y23" i="7"/>
  <c r="Y27" i="7"/>
  <c r="Y29" i="7"/>
  <c r="Y30" i="7"/>
  <c r="Y31" i="7"/>
  <c r="Y33" i="7"/>
  <c r="Y34" i="7"/>
  <c r="Y35" i="7"/>
  <c r="Y39" i="7"/>
  <c r="Y41" i="7"/>
  <c r="Y43" i="7"/>
  <c r="Y46" i="7"/>
  <c r="Y45" i="7"/>
  <c r="Y47" i="7"/>
  <c r="Y55" i="7"/>
  <c r="Z5" i="7"/>
  <c r="Z6" i="7"/>
  <c r="Z7" i="7"/>
  <c r="Z9" i="7"/>
  <c r="Z10" i="7"/>
  <c r="Z11" i="7"/>
  <c r="Z15" i="7"/>
  <c r="Z17" i="7"/>
  <c r="Z19" i="7"/>
  <c r="Z21" i="7"/>
  <c r="Z23" i="7"/>
  <c r="Z27" i="7"/>
  <c r="Z29" i="7"/>
  <c r="Z30" i="7"/>
  <c r="Z31" i="7"/>
  <c r="Z33" i="7"/>
  <c r="Z34" i="7"/>
  <c r="Z35" i="7"/>
  <c r="Z39" i="7"/>
  <c r="Z41" i="7"/>
  <c r="Z43" i="7"/>
  <c r="Z46" i="7"/>
  <c r="Z45" i="7"/>
  <c r="Z47" i="7"/>
  <c r="Z55" i="7"/>
  <c r="AA5" i="7"/>
  <c r="AA6" i="7"/>
  <c r="AA7" i="7"/>
  <c r="AA9" i="7"/>
  <c r="AA10" i="7"/>
  <c r="AA11" i="7"/>
  <c r="AA15" i="7"/>
  <c r="AA17" i="7"/>
  <c r="AA19" i="7"/>
  <c r="AA21" i="7"/>
  <c r="AA23" i="7"/>
  <c r="AA27" i="7"/>
  <c r="AA29" i="7"/>
  <c r="AA30" i="7"/>
  <c r="AA31" i="7"/>
  <c r="AA33" i="7"/>
  <c r="AA34" i="7"/>
  <c r="AA35" i="7"/>
  <c r="AA39" i="7"/>
  <c r="AA41" i="7"/>
  <c r="AA43" i="7"/>
  <c r="AA46" i="7"/>
  <c r="AA45" i="7"/>
  <c r="AA47" i="7"/>
  <c r="AA55" i="7"/>
  <c r="AB5" i="7"/>
  <c r="AB6" i="7"/>
  <c r="AB7" i="7"/>
  <c r="AB9" i="7"/>
  <c r="AB10" i="7"/>
  <c r="AB11" i="7"/>
  <c r="AB15" i="7"/>
  <c r="AB17" i="7"/>
  <c r="AB18" i="7"/>
  <c r="AB19" i="7"/>
  <c r="AB21" i="7"/>
  <c r="AB22" i="7"/>
  <c r="AB23" i="7"/>
  <c r="AB27" i="7"/>
  <c r="AB29" i="7"/>
  <c r="AB30" i="7"/>
  <c r="AB31" i="7"/>
  <c r="AB33" i="7"/>
  <c r="AB34" i="7"/>
  <c r="AB35" i="7"/>
  <c r="AB39" i="7"/>
  <c r="AB41" i="7"/>
  <c r="AB43" i="7"/>
  <c r="AB46" i="7"/>
  <c r="AB45" i="7"/>
  <c r="AB47" i="7"/>
  <c r="AB55" i="7"/>
  <c r="AC5" i="7"/>
  <c r="AC6" i="7"/>
  <c r="AC7" i="7"/>
  <c r="AC9" i="7"/>
  <c r="AC10" i="7"/>
  <c r="AC11" i="7"/>
  <c r="AC15" i="7"/>
  <c r="AC17" i="7"/>
  <c r="AC18" i="7"/>
  <c r="AC19" i="7"/>
  <c r="AC21" i="7"/>
  <c r="AC22" i="7"/>
  <c r="AC23" i="7"/>
  <c r="AC27" i="7"/>
  <c r="AC29" i="7"/>
  <c r="AC30" i="7"/>
  <c r="AC31" i="7"/>
  <c r="AC33" i="7"/>
  <c r="AC34" i="7"/>
  <c r="AC35" i="7"/>
  <c r="AC39" i="7"/>
  <c r="AC41" i="7"/>
  <c r="AC43" i="7"/>
  <c r="AC46" i="7"/>
  <c r="AC45" i="7"/>
  <c r="AC47" i="7"/>
  <c r="AC55" i="7"/>
  <c r="AD5" i="7"/>
  <c r="AD6" i="7"/>
  <c r="AD7" i="7"/>
  <c r="AD9" i="7"/>
  <c r="AD10" i="7"/>
  <c r="AD11" i="7"/>
  <c r="AD15" i="7"/>
  <c r="AD17" i="7"/>
  <c r="AD18" i="7"/>
  <c r="AD19" i="7"/>
  <c r="AD21" i="7"/>
  <c r="AD22" i="7"/>
  <c r="AD23" i="7"/>
  <c r="AD27" i="7"/>
  <c r="AD29" i="7"/>
  <c r="AD30" i="7"/>
  <c r="AD31" i="7"/>
  <c r="AD33" i="7"/>
  <c r="AD34" i="7"/>
  <c r="AD35" i="7"/>
  <c r="AD39" i="7"/>
  <c r="AD41" i="7"/>
  <c r="AD43" i="7"/>
  <c r="AD46" i="7"/>
  <c r="AD45" i="7"/>
  <c r="AD47" i="7"/>
  <c r="AD55" i="7"/>
  <c r="AE5" i="7"/>
  <c r="AE6" i="7"/>
  <c r="AE7" i="7"/>
  <c r="AE9" i="7"/>
  <c r="AE10" i="7"/>
  <c r="AE11" i="7"/>
  <c r="AE15" i="7"/>
  <c r="AE17" i="7"/>
  <c r="AE18" i="7"/>
  <c r="AE19" i="7"/>
  <c r="AE21" i="7"/>
  <c r="AE22" i="7"/>
  <c r="AE23" i="7"/>
  <c r="AE27" i="7"/>
  <c r="AE29" i="7"/>
  <c r="AE30" i="7"/>
  <c r="AE31" i="7"/>
  <c r="AE33" i="7"/>
  <c r="AE34" i="7"/>
  <c r="AE35" i="7"/>
  <c r="AE39" i="7"/>
  <c r="AE41" i="7"/>
  <c r="AE43" i="7"/>
  <c r="AE46" i="7"/>
  <c r="AE45" i="7"/>
  <c r="AE47" i="7"/>
  <c r="AE55" i="7"/>
  <c r="AF5" i="7"/>
  <c r="AF6" i="7"/>
  <c r="AF7" i="7"/>
  <c r="AF9" i="7"/>
  <c r="AF10" i="7"/>
  <c r="AF11" i="7"/>
  <c r="AF15" i="7"/>
  <c r="AF17" i="7"/>
  <c r="AF18" i="7"/>
  <c r="AF19" i="7"/>
  <c r="AF21" i="7"/>
  <c r="AF22" i="7"/>
  <c r="AF23" i="7"/>
  <c r="AF27" i="7"/>
  <c r="AF29" i="7"/>
  <c r="AF30" i="7"/>
  <c r="AF31" i="7"/>
  <c r="AF33" i="7"/>
  <c r="AF34" i="7"/>
  <c r="AF35" i="7"/>
  <c r="AF39" i="7"/>
  <c r="AF41" i="7"/>
  <c r="AF43" i="7"/>
  <c r="AF46" i="7"/>
  <c r="AF45" i="7"/>
  <c r="AF47" i="7"/>
  <c r="AF55" i="7"/>
  <c r="AG5" i="7"/>
  <c r="AG6" i="7"/>
  <c r="AG7" i="7"/>
  <c r="AG9" i="7"/>
  <c r="AG10" i="7"/>
  <c r="AG11" i="7"/>
  <c r="AG15" i="7"/>
  <c r="AG17" i="7"/>
  <c r="AG18" i="7"/>
  <c r="AG19" i="7"/>
  <c r="AG21" i="7"/>
  <c r="AG22" i="7"/>
  <c r="AG23" i="7"/>
  <c r="AG27" i="7"/>
  <c r="AG29" i="7"/>
  <c r="AG30" i="7"/>
  <c r="AG31" i="7"/>
  <c r="AG33" i="7"/>
  <c r="AG34" i="7"/>
  <c r="AG35" i="7"/>
  <c r="AG39" i="7"/>
  <c r="AG41" i="7"/>
  <c r="AG43" i="7"/>
  <c r="AG46" i="7"/>
  <c r="AG45" i="7"/>
  <c r="AG47" i="7"/>
  <c r="AG55" i="7"/>
  <c r="AH5" i="7"/>
  <c r="AH6" i="7"/>
  <c r="AH7" i="7"/>
  <c r="AH9" i="7"/>
  <c r="AH10" i="7"/>
  <c r="AH11" i="7"/>
  <c r="AH15" i="7"/>
  <c r="AH17" i="7"/>
  <c r="AH18" i="7"/>
  <c r="AH19" i="7"/>
  <c r="AH21" i="7"/>
  <c r="AH22" i="7"/>
  <c r="AH23" i="7"/>
  <c r="AH27" i="7"/>
  <c r="AH29" i="7"/>
  <c r="AH30" i="7"/>
  <c r="AH31" i="7"/>
  <c r="AH33" i="7"/>
  <c r="AH34" i="7"/>
  <c r="AH35" i="7"/>
  <c r="AH39" i="7"/>
  <c r="AH41" i="7"/>
  <c r="AH43" i="7"/>
  <c r="AH46" i="7"/>
  <c r="AH45" i="7"/>
  <c r="AH47" i="7"/>
  <c r="AH55" i="7"/>
  <c r="AI55" i="7"/>
  <c r="AJ5" i="7"/>
  <c r="AJ6" i="7"/>
  <c r="AJ7" i="7"/>
  <c r="AJ9" i="7"/>
  <c r="AJ10" i="7"/>
  <c r="AJ11" i="7"/>
  <c r="AJ15" i="7"/>
  <c r="AJ17" i="7"/>
  <c r="AJ18" i="7"/>
  <c r="AJ19" i="7"/>
  <c r="AJ21" i="7"/>
  <c r="AJ22" i="7"/>
  <c r="AJ23" i="7"/>
  <c r="AJ27" i="7"/>
  <c r="AJ29" i="7"/>
  <c r="AJ30" i="7"/>
  <c r="AJ31" i="7"/>
  <c r="AJ33" i="7"/>
  <c r="AJ34" i="7"/>
  <c r="AJ35" i="7"/>
  <c r="AJ39" i="7"/>
  <c r="AJ41" i="7"/>
  <c r="AJ43" i="7"/>
  <c r="AJ46" i="7"/>
  <c r="AJ45" i="7"/>
  <c r="AJ47" i="7"/>
  <c r="AJ55" i="7"/>
  <c r="AK5" i="7"/>
  <c r="AK6" i="7"/>
  <c r="AK7" i="7"/>
  <c r="AK9" i="7"/>
  <c r="AK10" i="7"/>
  <c r="AK11" i="7"/>
  <c r="AK15" i="7"/>
  <c r="AK17" i="7"/>
  <c r="AK18" i="7"/>
  <c r="AK19" i="7"/>
  <c r="AK21" i="7"/>
  <c r="AK22" i="7"/>
  <c r="AK23" i="7"/>
  <c r="AK27" i="7"/>
  <c r="AK29" i="7"/>
  <c r="AK30" i="7"/>
  <c r="AK31" i="7"/>
  <c r="AK33" i="7"/>
  <c r="AK34" i="7"/>
  <c r="AK35" i="7"/>
  <c r="AK39" i="7"/>
  <c r="AK41" i="7"/>
  <c r="AK43" i="7"/>
  <c r="AK46" i="7"/>
  <c r="AK45" i="7"/>
  <c r="AK47" i="7"/>
  <c r="AK55" i="7"/>
  <c r="AL5" i="7"/>
  <c r="AL6" i="7"/>
  <c r="AL7" i="7"/>
  <c r="AL9" i="7"/>
  <c r="AL10" i="7"/>
  <c r="AL11" i="7"/>
  <c r="AL15" i="7"/>
  <c r="AL17" i="7"/>
  <c r="AL18" i="7"/>
  <c r="AL19" i="7"/>
  <c r="AL21" i="7"/>
  <c r="AL22" i="7"/>
  <c r="AL23" i="7"/>
  <c r="AL27" i="7"/>
  <c r="AL29" i="7"/>
  <c r="AL30" i="7"/>
  <c r="AL31" i="7"/>
  <c r="AL33" i="7"/>
  <c r="AL34" i="7"/>
  <c r="AL35" i="7"/>
  <c r="AL39" i="7"/>
  <c r="AL41" i="7"/>
  <c r="AL43" i="7"/>
  <c r="AL46" i="7"/>
  <c r="AL45" i="7"/>
  <c r="AL47" i="7"/>
  <c r="AL55" i="7"/>
  <c r="AM5" i="7"/>
  <c r="AM6" i="7"/>
  <c r="AM7" i="7"/>
  <c r="AM9" i="7"/>
  <c r="AM10" i="7"/>
  <c r="AM11" i="7"/>
  <c r="AM15" i="7"/>
  <c r="AM17" i="7"/>
  <c r="AM18" i="7"/>
  <c r="AM19" i="7"/>
  <c r="AM21" i="7"/>
  <c r="AM22" i="7"/>
  <c r="AM23" i="7"/>
  <c r="AM27" i="7"/>
  <c r="AM29" i="7"/>
  <c r="AM30" i="7"/>
  <c r="AM31" i="7"/>
  <c r="AM33" i="7"/>
  <c r="AM34" i="7"/>
  <c r="AM35" i="7"/>
  <c r="AM39" i="7"/>
  <c r="AM41" i="7"/>
  <c r="AM43" i="7"/>
  <c r="AM46" i="7"/>
  <c r="AM45" i="7"/>
  <c r="AM47" i="7"/>
  <c r="AM55" i="7"/>
  <c r="AN5" i="7"/>
  <c r="AN6" i="7"/>
  <c r="AN7" i="7"/>
  <c r="AN9" i="7"/>
  <c r="AN10" i="7"/>
  <c r="AN11" i="7"/>
  <c r="AN15" i="7"/>
  <c r="AN17" i="7"/>
  <c r="AN18" i="7"/>
  <c r="AN19" i="7"/>
  <c r="AN21" i="7"/>
  <c r="AN22" i="7"/>
  <c r="AN23" i="7"/>
  <c r="AN27" i="7"/>
  <c r="AN29" i="7"/>
  <c r="AN30" i="7"/>
  <c r="AN31" i="7"/>
  <c r="AN33" i="7"/>
  <c r="AN34" i="7"/>
  <c r="AN35" i="7"/>
  <c r="AN39" i="7"/>
  <c r="AN41" i="7"/>
  <c r="AN43" i="7"/>
  <c r="AN46" i="7"/>
  <c r="AN45" i="7"/>
  <c r="AN47" i="7"/>
  <c r="AN51" i="7"/>
  <c r="AN55" i="7"/>
  <c r="AO5" i="7"/>
  <c r="AO6" i="7"/>
  <c r="AO7" i="7"/>
  <c r="AO9" i="7"/>
  <c r="AO10" i="7"/>
  <c r="AO11" i="7"/>
  <c r="AO15" i="7"/>
  <c r="AO17" i="7"/>
  <c r="AO18" i="7"/>
  <c r="AO19" i="7"/>
  <c r="AO21" i="7"/>
  <c r="AO22" i="7"/>
  <c r="AO23" i="7"/>
  <c r="AO27" i="7"/>
  <c r="AO29" i="7"/>
  <c r="AO30" i="7"/>
  <c r="AO31" i="7"/>
  <c r="AO33" i="7"/>
  <c r="AO34" i="7"/>
  <c r="AO35" i="7"/>
  <c r="AO39" i="7"/>
  <c r="AO41" i="7"/>
  <c r="AO43" i="7"/>
  <c r="AO46" i="7"/>
  <c r="AO45" i="7"/>
  <c r="AO47" i="7"/>
  <c r="AO55" i="7"/>
  <c r="AP5" i="7"/>
  <c r="AP6" i="7"/>
  <c r="AP7" i="7"/>
  <c r="AP9" i="7"/>
  <c r="AP10" i="7"/>
  <c r="AP11" i="7"/>
  <c r="AP15" i="7"/>
  <c r="AP17" i="7"/>
  <c r="AP18" i="7"/>
  <c r="AP19" i="7"/>
  <c r="AP21" i="7"/>
  <c r="AP22" i="7"/>
  <c r="AP23" i="7"/>
  <c r="AP27" i="7"/>
  <c r="AP29" i="7"/>
  <c r="AP30" i="7"/>
  <c r="AP31" i="7"/>
  <c r="AP33" i="7"/>
  <c r="AP34" i="7"/>
  <c r="AP35" i="7"/>
  <c r="AP39" i="7"/>
  <c r="AP41" i="7"/>
  <c r="AP43" i="7"/>
  <c r="AP46" i="7"/>
  <c r="AP45" i="7"/>
  <c r="AP47" i="7"/>
  <c r="AP55" i="7"/>
  <c r="AQ5" i="7"/>
  <c r="AQ6" i="7"/>
  <c r="AQ7" i="7"/>
  <c r="AQ9" i="7"/>
  <c r="AQ10" i="7"/>
  <c r="AQ11" i="7"/>
  <c r="AQ15" i="7"/>
  <c r="AQ17" i="7"/>
  <c r="AQ18" i="7"/>
  <c r="AQ19" i="7"/>
  <c r="AQ21" i="7"/>
  <c r="AQ22" i="7"/>
  <c r="AQ23" i="7"/>
  <c r="AQ27" i="7"/>
  <c r="AQ29" i="7"/>
  <c r="AQ30" i="7"/>
  <c r="AQ31" i="7"/>
  <c r="AQ33" i="7"/>
  <c r="AQ34" i="7"/>
  <c r="AQ35" i="7"/>
  <c r="AQ39" i="7"/>
  <c r="AQ41" i="7"/>
  <c r="AQ43" i="7"/>
  <c r="AQ46" i="7"/>
  <c r="AQ45" i="7"/>
  <c r="AQ47" i="7"/>
  <c r="AQ55" i="7"/>
  <c r="AR5" i="7"/>
  <c r="AR6" i="7"/>
  <c r="AR7" i="7"/>
  <c r="AR9" i="7"/>
  <c r="AR10" i="7"/>
  <c r="AR11" i="7"/>
  <c r="AR15" i="7"/>
  <c r="AR17" i="7"/>
  <c r="AR18" i="7"/>
  <c r="AR19" i="7"/>
  <c r="AR21" i="7"/>
  <c r="AR22" i="7"/>
  <c r="AR23" i="7"/>
  <c r="AR27" i="7"/>
  <c r="AR29" i="7"/>
  <c r="AR30" i="7"/>
  <c r="AR31" i="7"/>
  <c r="AR33" i="7"/>
  <c r="AR34" i="7"/>
  <c r="AR35" i="7"/>
  <c r="AR39" i="7"/>
  <c r="AR42" i="7"/>
  <c r="AR41" i="7"/>
  <c r="AR43" i="7"/>
  <c r="AR46" i="7"/>
  <c r="AR45" i="7"/>
  <c r="AR47" i="7"/>
  <c r="AR50" i="7"/>
  <c r="AR51" i="7"/>
  <c r="AR55" i="7"/>
  <c r="AS5" i="7"/>
  <c r="AS6" i="7"/>
  <c r="AS7" i="7"/>
  <c r="AS9" i="7"/>
  <c r="AS10" i="7"/>
  <c r="AS11" i="7"/>
  <c r="AS15" i="7"/>
  <c r="AS17" i="7"/>
  <c r="AS18" i="7"/>
  <c r="AS19" i="7"/>
  <c r="AS21" i="7"/>
  <c r="AS22" i="7"/>
  <c r="AS23" i="7"/>
  <c r="AS27" i="7"/>
  <c r="AS29" i="7"/>
  <c r="AS30" i="7"/>
  <c r="AS31" i="7"/>
  <c r="AS33" i="7"/>
  <c r="AS34" i="7"/>
  <c r="AS35" i="7"/>
  <c r="AS39" i="7"/>
  <c r="AS41" i="7"/>
  <c r="AS43" i="7"/>
  <c r="AS46" i="7"/>
  <c r="AS45" i="7"/>
  <c r="AS47" i="7"/>
  <c r="AS55" i="7"/>
  <c r="AT5" i="7"/>
  <c r="AT6" i="7"/>
  <c r="AT7" i="7"/>
  <c r="AT9" i="7"/>
  <c r="AT10" i="7"/>
  <c r="AT11" i="7"/>
  <c r="AT15" i="7"/>
  <c r="AT17" i="7"/>
  <c r="AT18" i="7"/>
  <c r="AT19" i="7"/>
  <c r="AT21" i="7"/>
  <c r="AT22" i="7"/>
  <c r="AT23" i="7"/>
  <c r="AT27" i="7"/>
  <c r="AT29" i="7"/>
  <c r="AT30" i="7"/>
  <c r="AT31" i="7"/>
  <c r="AT33" i="7"/>
  <c r="AT34" i="7"/>
  <c r="AT35" i="7"/>
  <c r="AT39" i="7"/>
  <c r="AT41" i="7"/>
  <c r="AT43" i="7"/>
  <c r="AT46" i="7"/>
  <c r="AT45" i="7"/>
  <c r="AT47" i="7"/>
  <c r="AT55" i="7"/>
  <c r="AU5" i="7"/>
  <c r="AU6" i="7"/>
  <c r="AU7" i="7"/>
  <c r="AU9" i="7"/>
  <c r="AU10" i="7"/>
  <c r="AU11" i="7"/>
  <c r="AU15" i="7"/>
  <c r="AU17" i="7"/>
  <c r="AU18" i="7"/>
  <c r="AU19" i="7"/>
  <c r="AU21" i="7"/>
  <c r="AU22" i="7"/>
  <c r="AU23" i="7"/>
  <c r="AU27" i="7"/>
  <c r="AU29" i="7"/>
  <c r="AU30" i="7"/>
  <c r="AU31" i="7"/>
  <c r="AU33" i="7"/>
  <c r="AU34" i="7"/>
  <c r="AU35" i="7"/>
  <c r="AU39" i="7"/>
  <c r="AU41" i="7"/>
  <c r="AU43" i="7"/>
  <c r="AU46" i="7"/>
  <c r="AU45" i="7"/>
  <c r="AU47" i="7"/>
  <c r="AU55" i="7"/>
  <c r="AV55" i="7"/>
  <c r="AW5" i="7"/>
  <c r="AW6" i="7"/>
  <c r="AW7" i="7"/>
  <c r="AW9" i="7"/>
  <c r="AW10" i="7"/>
  <c r="AW11" i="7"/>
  <c r="AW15" i="7"/>
  <c r="AW17" i="7"/>
  <c r="AW18" i="7"/>
  <c r="AW19" i="7"/>
  <c r="AW21" i="7"/>
  <c r="AW22" i="7"/>
  <c r="AW23" i="7"/>
  <c r="AW27" i="7"/>
  <c r="AW29" i="7"/>
  <c r="AW30" i="7"/>
  <c r="AW31" i="7"/>
  <c r="AW33" i="7"/>
  <c r="AW34" i="7"/>
  <c r="AW35" i="7"/>
  <c r="AW39" i="7"/>
  <c r="AW41" i="7"/>
  <c r="AW43" i="7"/>
  <c r="AW46" i="7"/>
  <c r="AW45" i="7"/>
  <c r="AW47" i="7"/>
  <c r="AW55" i="7"/>
  <c r="AX5" i="7"/>
  <c r="AX6" i="7"/>
  <c r="AX7" i="7"/>
  <c r="AX9" i="7"/>
  <c r="AX10" i="7"/>
  <c r="AX11" i="7"/>
  <c r="AX15" i="7"/>
  <c r="AX17" i="7"/>
  <c r="AX18" i="7"/>
  <c r="AX19" i="7"/>
  <c r="AX21" i="7"/>
  <c r="AX22" i="7"/>
  <c r="AX23" i="7"/>
  <c r="AX27" i="7"/>
  <c r="AX29" i="7"/>
  <c r="AX30" i="7"/>
  <c r="AX31" i="7"/>
  <c r="AX33" i="7"/>
  <c r="AX34" i="7"/>
  <c r="AX35" i="7"/>
  <c r="AX39" i="7"/>
  <c r="AX41" i="7"/>
  <c r="AX43" i="7"/>
  <c r="AX46" i="7"/>
  <c r="AX45" i="7"/>
  <c r="AX47" i="7"/>
  <c r="AX55" i="7"/>
  <c r="AY5" i="7"/>
  <c r="AY6" i="7"/>
  <c r="AY7" i="7"/>
  <c r="AY9" i="7"/>
  <c r="AY10" i="7"/>
  <c r="AY11" i="7"/>
  <c r="AY15" i="7"/>
  <c r="AY17" i="7"/>
  <c r="AY18" i="7"/>
  <c r="AY19" i="7"/>
  <c r="AY21" i="7"/>
  <c r="AY22" i="7"/>
  <c r="AY23" i="7"/>
  <c r="AY27" i="7"/>
  <c r="AY29" i="7"/>
  <c r="AY30" i="7"/>
  <c r="AY31" i="7"/>
  <c r="AY33" i="7"/>
  <c r="AY34" i="7"/>
  <c r="AY35" i="7"/>
  <c r="AY39" i="7"/>
  <c r="AY41" i="7"/>
  <c r="AY43" i="7"/>
  <c r="AY46" i="7"/>
  <c r="AY45" i="7"/>
  <c r="AY47" i="7"/>
  <c r="AY55" i="7"/>
  <c r="AZ5" i="7"/>
  <c r="AZ6" i="7"/>
  <c r="AZ7" i="7"/>
  <c r="AZ9" i="7"/>
  <c r="AZ10" i="7"/>
  <c r="AZ11" i="7"/>
  <c r="AZ15" i="7"/>
  <c r="AZ17" i="7"/>
  <c r="AZ18" i="7"/>
  <c r="AZ19" i="7"/>
  <c r="AZ21" i="7"/>
  <c r="AZ22" i="7"/>
  <c r="AZ23" i="7"/>
  <c r="AZ27" i="7"/>
  <c r="AZ29" i="7"/>
  <c r="AZ30" i="7"/>
  <c r="AZ31" i="7"/>
  <c r="AZ33" i="7"/>
  <c r="AZ34" i="7"/>
  <c r="AZ35" i="7"/>
  <c r="AZ39" i="7"/>
  <c r="AZ41" i="7"/>
  <c r="AZ43" i="7"/>
  <c r="AZ46" i="7"/>
  <c r="AZ45" i="7"/>
  <c r="AZ47" i="7"/>
  <c r="AZ55" i="7"/>
  <c r="BA5" i="7"/>
  <c r="BA6" i="7"/>
  <c r="BA7" i="7"/>
  <c r="BA9" i="7"/>
  <c r="BA10" i="7"/>
  <c r="BA11" i="7"/>
  <c r="BA15" i="7"/>
  <c r="BA17" i="7"/>
  <c r="BA18" i="7"/>
  <c r="BA19" i="7"/>
  <c r="BA21" i="7"/>
  <c r="BA22" i="7"/>
  <c r="BA23" i="7"/>
  <c r="BA27" i="7"/>
  <c r="BA29" i="7"/>
  <c r="BA30" i="7"/>
  <c r="BA31" i="7"/>
  <c r="BA33" i="7"/>
  <c r="BA34" i="7"/>
  <c r="BA35" i="7"/>
  <c r="BA39" i="7"/>
  <c r="BA41" i="7"/>
  <c r="BA43" i="7"/>
  <c r="BA46" i="7"/>
  <c r="BA45" i="7"/>
  <c r="BA47" i="7"/>
  <c r="BA55" i="7"/>
  <c r="BB5" i="7"/>
  <c r="BB6" i="7"/>
  <c r="BB7" i="7"/>
  <c r="BB9" i="7"/>
  <c r="BB10" i="7"/>
  <c r="BB11" i="7"/>
  <c r="BB15" i="7"/>
  <c r="BB17" i="7"/>
  <c r="BB18" i="7"/>
  <c r="BB19" i="7"/>
  <c r="BB21" i="7"/>
  <c r="BB22" i="7"/>
  <c r="BB23" i="7"/>
  <c r="BB27" i="7"/>
  <c r="BB29" i="7"/>
  <c r="BB30" i="7"/>
  <c r="BB31" i="7"/>
  <c r="BB33" i="7"/>
  <c r="BB34" i="7"/>
  <c r="BB35" i="7"/>
  <c r="BB39" i="7"/>
  <c r="BB41" i="7"/>
  <c r="BB43" i="7"/>
  <c r="BB45" i="7"/>
  <c r="BB47" i="7"/>
  <c r="BB55" i="7"/>
  <c r="BC5" i="7"/>
  <c r="BC6" i="7"/>
  <c r="BC7" i="7"/>
  <c r="BC9" i="7"/>
  <c r="BC10" i="7"/>
  <c r="BC11" i="7"/>
  <c r="BC15" i="7"/>
  <c r="BC17" i="7"/>
  <c r="BC18" i="7"/>
  <c r="BC19" i="7"/>
  <c r="BC21" i="7"/>
  <c r="BC22" i="7"/>
  <c r="BC23" i="7"/>
  <c r="BC27" i="7"/>
  <c r="BC29" i="7"/>
  <c r="BC30" i="7"/>
  <c r="BC31" i="7"/>
  <c r="BC33" i="7"/>
  <c r="BC34" i="7"/>
  <c r="BC35" i="7"/>
  <c r="BC39" i="7"/>
  <c r="BC41" i="7"/>
  <c r="BC43" i="7"/>
  <c r="BC45" i="7"/>
  <c r="BC47" i="7"/>
  <c r="BC55" i="7"/>
  <c r="BD5" i="7"/>
  <c r="BD6" i="7"/>
  <c r="BD7" i="7"/>
  <c r="BD9" i="7"/>
  <c r="BD10" i="7"/>
  <c r="BD11" i="7"/>
  <c r="BD15" i="7"/>
  <c r="BD17" i="7"/>
  <c r="BD18" i="7"/>
  <c r="BD19" i="7"/>
  <c r="BD21" i="7"/>
  <c r="BD22" i="7"/>
  <c r="BD23" i="7"/>
  <c r="BD27" i="7"/>
  <c r="BD29" i="7"/>
  <c r="BD30" i="7"/>
  <c r="BD31" i="7"/>
  <c r="BD33" i="7"/>
  <c r="BD34" i="7"/>
  <c r="BD35" i="7"/>
  <c r="BD39" i="7"/>
  <c r="BD41" i="7"/>
  <c r="BD43" i="7"/>
  <c r="BD45" i="7"/>
  <c r="BD47" i="7"/>
  <c r="BD55" i="7"/>
  <c r="BE5" i="7"/>
  <c r="BE6" i="7"/>
  <c r="BE7" i="7"/>
  <c r="BE9" i="7"/>
  <c r="BE10" i="7"/>
  <c r="BE11" i="7"/>
  <c r="BE15" i="7"/>
  <c r="BE17" i="7"/>
  <c r="BE18" i="7"/>
  <c r="BE19" i="7"/>
  <c r="BE21" i="7"/>
  <c r="BE22" i="7"/>
  <c r="BE23" i="7"/>
  <c r="BE27" i="7"/>
  <c r="BE29" i="7"/>
  <c r="BE30" i="7"/>
  <c r="BE31" i="7"/>
  <c r="BE33" i="7"/>
  <c r="BE34" i="7"/>
  <c r="BE35" i="7"/>
  <c r="BE39" i="7"/>
  <c r="BE41" i="7"/>
  <c r="BE43" i="7"/>
  <c r="BE45" i="7"/>
  <c r="BE47" i="7"/>
  <c r="BE55" i="7"/>
  <c r="BF5" i="7"/>
  <c r="BF6" i="7"/>
  <c r="BF7" i="7"/>
  <c r="BF9" i="7"/>
  <c r="BF10" i="7"/>
  <c r="BF11" i="7"/>
  <c r="BF15" i="7"/>
  <c r="BF17" i="7"/>
  <c r="BF18" i="7"/>
  <c r="BF19" i="7"/>
  <c r="BF21" i="7"/>
  <c r="BF22" i="7"/>
  <c r="BF23" i="7"/>
  <c r="BF27" i="7"/>
  <c r="BF29" i="7"/>
  <c r="BF30" i="7"/>
  <c r="BF31" i="7"/>
  <c r="BF33" i="7"/>
  <c r="BF34" i="7"/>
  <c r="BF35" i="7"/>
  <c r="BF39" i="7"/>
  <c r="BF41" i="7"/>
  <c r="BF43" i="7"/>
  <c r="BF45" i="7"/>
  <c r="BF47" i="7"/>
  <c r="BF55" i="7"/>
  <c r="BG5" i="7"/>
  <c r="BG6" i="7"/>
  <c r="BG7" i="7"/>
  <c r="BG9" i="7"/>
  <c r="BG10" i="7"/>
  <c r="BG11" i="7"/>
  <c r="BG15" i="7"/>
  <c r="BG17" i="7"/>
  <c r="BG18" i="7"/>
  <c r="BG19" i="7"/>
  <c r="BG21" i="7"/>
  <c r="BG22" i="7"/>
  <c r="BG23" i="7"/>
  <c r="BG27" i="7"/>
  <c r="BG29" i="7"/>
  <c r="BG30" i="7"/>
  <c r="BG31" i="7"/>
  <c r="BG33" i="7"/>
  <c r="BG34" i="7"/>
  <c r="BG35" i="7"/>
  <c r="BG39" i="7"/>
  <c r="BG41" i="7"/>
  <c r="BG43" i="7"/>
  <c r="BG45" i="7"/>
  <c r="BG47" i="7"/>
  <c r="BG55" i="7"/>
  <c r="BH5" i="7"/>
  <c r="BH6" i="7"/>
  <c r="BH7" i="7"/>
  <c r="BH9" i="7"/>
  <c r="BH10" i="7"/>
  <c r="BH11" i="7"/>
  <c r="BH15" i="7"/>
  <c r="BH17" i="7"/>
  <c r="BH18" i="7"/>
  <c r="BH19" i="7"/>
  <c r="BH21" i="7"/>
  <c r="BH22" i="7"/>
  <c r="BH23" i="7"/>
  <c r="BH27" i="7"/>
  <c r="BH29" i="7"/>
  <c r="BH30" i="7"/>
  <c r="BH31" i="7"/>
  <c r="BH33" i="7"/>
  <c r="BH34" i="7"/>
  <c r="BH35" i="7"/>
  <c r="BH39" i="7"/>
  <c r="BH41" i="7"/>
  <c r="BH43" i="7"/>
  <c r="BH45" i="7"/>
  <c r="BH47" i="7"/>
  <c r="BH55" i="7"/>
  <c r="BI55" i="7"/>
  <c r="BP55" i="7"/>
  <c r="E13" i="7"/>
  <c r="E37" i="7"/>
  <c r="E53" i="7"/>
  <c r="F13" i="7"/>
  <c r="F37" i="7"/>
  <c r="F53" i="7"/>
  <c r="G13" i="7"/>
  <c r="G37" i="7"/>
  <c r="G53" i="7"/>
  <c r="H13" i="7"/>
  <c r="H37" i="7"/>
  <c r="H53" i="7"/>
  <c r="I53" i="7"/>
  <c r="J13" i="7"/>
  <c r="J37" i="7"/>
  <c r="J53" i="7"/>
  <c r="K13" i="7"/>
  <c r="K37" i="7"/>
  <c r="K53" i="7"/>
  <c r="L13" i="7"/>
  <c r="L37" i="7"/>
  <c r="L53" i="7"/>
  <c r="M13" i="7"/>
  <c r="M37" i="7"/>
  <c r="M53" i="7"/>
  <c r="N13" i="7"/>
  <c r="N25" i="7"/>
  <c r="N37" i="7"/>
  <c r="N53" i="7"/>
  <c r="O13" i="7"/>
  <c r="O25" i="7"/>
  <c r="O33" i="7"/>
  <c r="O37" i="7"/>
  <c r="O53" i="7"/>
  <c r="P13" i="7"/>
  <c r="P25" i="7"/>
  <c r="P37" i="7"/>
  <c r="P53" i="7"/>
  <c r="Q13" i="7"/>
  <c r="Q25" i="7"/>
  <c r="Q37" i="7"/>
  <c r="Q53" i="7"/>
  <c r="R13" i="7"/>
  <c r="R25" i="7"/>
  <c r="R37" i="7"/>
  <c r="R53" i="7"/>
  <c r="S13" i="7"/>
  <c r="S25" i="7"/>
  <c r="S37" i="7"/>
  <c r="S53" i="7"/>
  <c r="T13" i="7"/>
  <c r="T25" i="7"/>
  <c r="T37" i="7"/>
  <c r="T53" i="7"/>
  <c r="U13" i="7"/>
  <c r="U25" i="7"/>
  <c r="U37" i="7"/>
  <c r="U53" i="7"/>
  <c r="V53" i="7"/>
  <c r="W13" i="7"/>
  <c r="W25" i="7"/>
  <c r="W37" i="7"/>
  <c r="W53" i="7"/>
  <c r="X13" i="7"/>
  <c r="X25" i="7"/>
  <c r="X37" i="7"/>
  <c r="X53" i="7"/>
  <c r="Y13" i="7"/>
  <c r="Y25" i="7"/>
  <c r="Y37" i="7"/>
  <c r="Y53" i="7"/>
  <c r="Z13" i="7"/>
  <c r="Z25" i="7"/>
  <c r="Z37" i="7"/>
  <c r="Z53" i="7"/>
  <c r="AA13" i="7"/>
  <c r="AA25" i="7"/>
  <c r="AA37" i="7"/>
  <c r="AA53" i="7"/>
  <c r="AB13" i="7"/>
  <c r="AB25" i="7"/>
  <c r="AB37" i="7"/>
  <c r="AB53" i="7"/>
  <c r="AC13" i="7"/>
  <c r="AC25" i="7"/>
  <c r="AC37" i="7"/>
  <c r="AC53" i="7"/>
  <c r="AD13" i="7"/>
  <c r="AD25" i="7"/>
  <c r="AD37" i="7"/>
  <c r="AD53" i="7"/>
  <c r="AE13" i="7"/>
  <c r="AE25" i="7"/>
  <c r="AE37" i="7"/>
  <c r="AE53" i="7"/>
  <c r="AF13" i="7"/>
  <c r="AF25" i="7"/>
  <c r="AF37" i="7"/>
  <c r="AF53" i="7"/>
  <c r="AG13" i="7"/>
  <c r="AG25" i="7"/>
  <c r="AG37" i="7"/>
  <c r="AG53" i="7"/>
  <c r="AH13" i="7"/>
  <c r="AH25" i="7"/>
  <c r="AH37" i="7"/>
  <c r="AH53" i="7"/>
  <c r="AI53" i="7"/>
  <c r="AJ13" i="7"/>
  <c r="AJ25" i="7"/>
  <c r="AJ37" i="7"/>
  <c r="AJ53" i="7"/>
  <c r="AK13" i="7"/>
  <c r="AK25" i="7"/>
  <c r="AK37" i="7"/>
  <c r="AK53" i="7"/>
  <c r="AL13" i="7"/>
  <c r="AL25" i="7"/>
  <c r="AL37" i="7"/>
  <c r="AL53" i="7"/>
  <c r="AM13" i="7"/>
  <c r="AM25" i="7"/>
  <c r="AM37" i="7"/>
  <c r="AM53" i="7"/>
  <c r="AN13" i="7"/>
  <c r="AN25" i="7"/>
  <c r="AN37" i="7"/>
  <c r="AN53" i="7"/>
  <c r="AO13" i="7"/>
  <c r="AO25" i="7"/>
  <c r="AO37" i="7"/>
  <c r="AO53" i="7"/>
  <c r="AP13" i="7"/>
  <c r="AP25" i="7"/>
  <c r="AP37" i="7"/>
  <c r="AP53" i="7"/>
  <c r="AQ13" i="7"/>
  <c r="AQ25" i="7"/>
  <c r="AQ37" i="7"/>
  <c r="AQ53" i="7"/>
  <c r="AR13" i="7"/>
  <c r="AR25" i="7"/>
  <c r="AR37" i="7"/>
  <c r="AR53" i="7"/>
  <c r="AS13" i="7"/>
  <c r="AS25" i="7"/>
  <c r="AS37" i="7"/>
  <c r="AS53" i="7"/>
  <c r="AT13" i="7"/>
  <c r="AT25" i="7"/>
  <c r="AT37" i="7"/>
  <c r="AT53" i="7"/>
  <c r="AU13" i="7"/>
  <c r="AU25" i="7"/>
  <c r="AU37" i="7"/>
  <c r="AU53" i="7"/>
  <c r="AV53" i="7"/>
  <c r="AW13" i="7"/>
  <c r="AW25" i="7"/>
  <c r="AW37" i="7"/>
  <c r="AW53" i="7"/>
  <c r="AX13" i="7"/>
  <c r="AX25" i="7"/>
  <c r="AX37" i="7"/>
  <c r="AX53" i="7"/>
  <c r="AY13" i="7"/>
  <c r="AY25" i="7"/>
  <c r="AY37" i="7"/>
  <c r="AY53" i="7"/>
  <c r="AZ13" i="7"/>
  <c r="AZ25" i="7"/>
  <c r="AZ37" i="7"/>
  <c r="AZ53" i="7"/>
  <c r="BA13" i="7"/>
  <c r="BA25" i="7"/>
  <c r="BA37" i="7"/>
  <c r="BA53" i="7"/>
  <c r="BB13" i="7"/>
  <c r="BB25" i="7"/>
  <c r="BB37" i="7"/>
  <c r="BB53" i="7"/>
  <c r="BC13" i="7"/>
  <c r="BC25" i="7"/>
  <c r="BC37" i="7"/>
  <c r="BC53" i="7"/>
  <c r="BD13" i="7"/>
  <c r="BD25" i="7"/>
  <c r="BD37" i="7"/>
  <c r="BD53" i="7"/>
  <c r="BE13" i="7"/>
  <c r="BE25" i="7"/>
  <c r="BE37" i="7"/>
  <c r="BE53" i="7"/>
  <c r="BF13" i="7"/>
  <c r="BF25" i="7"/>
  <c r="BF37" i="7"/>
  <c r="BF53" i="7"/>
  <c r="BG13" i="7"/>
  <c r="BG25" i="7"/>
  <c r="BG37" i="7"/>
  <c r="BG53" i="7"/>
  <c r="BH13" i="7"/>
  <c r="BH25" i="7"/>
  <c r="BH37" i="7"/>
  <c r="BH53" i="7"/>
  <c r="BI53" i="7"/>
  <c r="BP53" i="7"/>
  <c r="BP54" i="7"/>
  <c r="BI54" i="7"/>
  <c r="BH54" i="7"/>
  <c r="BG54" i="7"/>
  <c r="BF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E12" i="7"/>
  <c r="E36" i="7"/>
  <c r="E52" i="7"/>
  <c r="F12" i="7"/>
  <c r="F36" i="7"/>
  <c r="F52" i="7"/>
  <c r="G12" i="7"/>
  <c r="G36" i="7"/>
  <c r="G52" i="7"/>
  <c r="H12" i="7"/>
  <c r="H36" i="7"/>
  <c r="H52" i="7"/>
  <c r="I52" i="7"/>
  <c r="J12" i="7"/>
  <c r="J36" i="7"/>
  <c r="J52" i="7"/>
  <c r="K12" i="7"/>
  <c r="K36" i="7"/>
  <c r="K52" i="7"/>
  <c r="L12" i="7"/>
  <c r="L36" i="7"/>
  <c r="L52" i="7"/>
  <c r="M12" i="7"/>
  <c r="M36" i="7"/>
  <c r="M52" i="7"/>
  <c r="N12" i="7"/>
  <c r="N24" i="7"/>
  <c r="N36" i="7"/>
  <c r="N52" i="7"/>
  <c r="O12" i="7"/>
  <c r="O24" i="7"/>
  <c r="O36" i="7"/>
  <c r="O52" i="7"/>
  <c r="P12" i="7"/>
  <c r="P24" i="7"/>
  <c r="P36" i="7"/>
  <c r="P52" i="7"/>
  <c r="Q12" i="7"/>
  <c r="Q24" i="7"/>
  <c r="Q36" i="7"/>
  <c r="Q52" i="7"/>
  <c r="R12" i="7"/>
  <c r="R24" i="7"/>
  <c r="R36" i="7"/>
  <c r="R52" i="7"/>
  <c r="S12" i="7"/>
  <c r="S24" i="7"/>
  <c r="S36" i="7"/>
  <c r="S52" i="7"/>
  <c r="T12" i="7"/>
  <c r="T24" i="7"/>
  <c r="T36" i="7"/>
  <c r="T52" i="7"/>
  <c r="U12" i="7"/>
  <c r="U24" i="7"/>
  <c r="U36" i="7"/>
  <c r="U52" i="7"/>
  <c r="V52" i="7"/>
  <c r="W12" i="7"/>
  <c r="W24" i="7"/>
  <c r="W36" i="7"/>
  <c r="W52" i="7"/>
  <c r="X12" i="7"/>
  <c r="X24" i="7"/>
  <c r="X36" i="7"/>
  <c r="X52" i="7"/>
  <c r="Y12" i="7"/>
  <c r="Y24" i="7"/>
  <c r="Y36" i="7"/>
  <c r="Y52" i="7"/>
  <c r="Z12" i="7"/>
  <c r="Z24" i="7"/>
  <c r="Z36" i="7"/>
  <c r="Z52" i="7"/>
  <c r="AA12" i="7"/>
  <c r="AA24" i="7"/>
  <c r="AA36" i="7"/>
  <c r="AA52" i="7"/>
  <c r="AB12" i="7"/>
  <c r="AB24" i="7"/>
  <c r="AB36" i="7"/>
  <c r="AB52" i="7"/>
  <c r="AC12" i="7"/>
  <c r="AC24" i="7"/>
  <c r="AC36" i="7"/>
  <c r="AC52" i="7"/>
  <c r="AD12" i="7"/>
  <c r="AD24" i="7"/>
  <c r="AD36" i="7"/>
  <c r="AD52" i="7"/>
  <c r="AE12" i="7"/>
  <c r="AE24" i="7"/>
  <c r="AE36" i="7"/>
  <c r="AE52" i="7"/>
  <c r="AF12" i="7"/>
  <c r="AF24" i="7"/>
  <c r="AF36" i="7"/>
  <c r="AF52" i="7"/>
  <c r="AG12" i="7"/>
  <c r="AG24" i="7"/>
  <c r="AG36" i="7"/>
  <c r="AG52" i="7"/>
  <c r="AH12" i="7"/>
  <c r="AH24" i="7"/>
  <c r="AH36" i="7"/>
  <c r="AH52" i="7"/>
  <c r="AI52" i="7"/>
  <c r="AJ12" i="7"/>
  <c r="AJ24" i="7"/>
  <c r="AJ36" i="7"/>
  <c r="AJ52" i="7"/>
  <c r="AK12" i="7"/>
  <c r="AK24" i="7"/>
  <c r="AK36" i="7"/>
  <c r="AK52" i="7"/>
  <c r="AL12" i="7"/>
  <c r="AL24" i="7"/>
  <c r="AL36" i="7"/>
  <c r="AL52" i="7"/>
  <c r="AM12" i="7"/>
  <c r="AM24" i="7"/>
  <c r="AM36" i="7"/>
  <c r="AM52" i="7"/>
  <c r="AN12" i="7"/>
  <c r="AN24" i="7"/>
  <c r="AN36" i="7"/>
  <c r="AN52" i="7"/>
  <c r="AO12" i="7"/>
  <c r="AO24" i="7"/>
  <c r="AO36" i="7"/>
  <c r="AO52" i="7"/>
  <c r="AP12" i="7"/>
  <c r="AP24" i="7"/>
  <c r="AP36" i="7"/>
  <c r="AP52" i="7"/>
  <c r="AQ12" i="7"/>
  <c r="AQ24" i="7"/>
  <c r="AQ36" i="7"/>
  <c r="AQ52" i="7"/>
  <c r="AR12" i="7"/>
  <c r="AR24" i="7"/>
  <c r="AR36" i="7"/>
  <c r="AR52" i="7"/>
  <c r="AS12" i="7"/>
  <c r="AS24" i="7"/>
  <c r="AS36" i="7"/>
  <c r="AS52" i="7"/>
  <c r="AT12" i="7"/>
  <c r="AT24" i="7"/>
  <c r="AT36" i="7"/>
  <c r="AT52" i="7"/>
  <c r="AU12" i="7"/>
  <c r="AU24" i="7"/>
  <c r="AU36" i="7"/>
  <c r="AU52" i="7"/>
  <c r="AV52" i="7"/>
  <c r="AW12" i="7"/>
  <c r="AW24" i="7"/>
  <c r="AW36" i="7"/>
  <c r="AW52" i="7"/>
  <c r="AX12" i="7"/>
  <c r="AX24" i="7"/>
  <c r="AX36" i="7"/>
  <c r="AX52" i="7"/>
  <c r="AY12" i="7"/>
  <c r="AY24" i="7"/>
  <c r="AY36" i="7"/>
  <c r="AY52" i="7"/>
  <c r="AZ12" i="7"/>
  <c r="AZ24" i="7"/>
  <c r="AZ36" i="7"/>
  <c r="AZ52" i="7"/>
  <c r="BA12" i="7"/>
  <c r="BA24" i="7"/>
  <c r="BA36" i="7"/>
  <c r="BA52" i="7"/>
  <c r="BB12" i="7"/>
  <c r="BB24" i="7"/>
  <c r="BB36" i="7"/>
  <c r="BB52" i="7"/>
  <c r="BC12" i="7"/>
  <c r="BC24" i="7"/>
  <c r="BC36" i="7"/>
  <c r="BC52" i="7"/>
  <c r="BD12" i="7"/>
  <c r="BD24" i="7"/>
  <c r="BD36" i="7"/>
  <c r="BD52" i="7"/>
  <c r="BE12" i="7"/>
  <c r="BE24" i="7"/>
  <c r="BE36" i="7"/>
  <c r="BE52" i="7"/>
  <c r="BF12" i="7"/>
  <c r="BF24" i="7"/>
  <c r="BF36" i="7"/>
  <c r="BF52" i="7"/>
  <c r="BG12" i="7"/>
  <c r="BG24" i="7"/>
  <c r="BG36" i="7"/>
  <c r="BG52" i="7"/>
  <c r="BH12" i="7"/>
  <c r="BH24" i="7"/>
  <c r="BH36" i="7"/>
  <c r="BH52" i="7"/>
  <c r="BI52" i="7"/>
  <c r="BP52" i="7"/>
  <c r="D12" i="7"/>
  <c r="D24" i="7"/>
  <c r="D36" i="7"/>
  <c r="D52" i="7"/>
  <c r="BQ52" i="7"/>
  <c r="I51" i="7"/>
  <c r="V51" i="7"/>
  <c r="AI51" i="7"/>
  <c r="AV51" i="7"/>
  <c r="BI51" i="7"/>
  <c r="BP51" i="7"/>
  <c r="I49" i="7"/>
  <c r="V49" i="7"/>
  <c r="AI49" i="7"/>
  <c r="AV49" i="7"/>
  <c r="BI49" i="7"/>
  <c r="BP49" i="7"/>
  <c r="BP50" i="7"/>
  <c r="BI50" i="7"/>
  <c r="AV50" i="7"/>
  <c r="AI50" i="7"/>
  <c r="V50" i="7"/>
  <c r="I50" i="7"/>
  <c r="BQ49" i="7"/>
  <c r="I48" i="7"/>
  <c r="V48" i="7"/>
  <c r="AI48" i="7"/>
  <c r="AV48" i="7"/>
  <c r="BI48" i="7"/>
  <c r="BP48" i="7"/>
  <c r="I47" i="7"/>
  <c r="V47" i="7"/>
  <c r="AI47" i="7"/>
  <c r="AV47" i="7"/>
  <c r="BI47" i="7"/>
  <c r="BP47" i="7"/>
  <c r="I45" i="7"/>
  <c r="V45" i="7"/>
  <c r="AI45" i="7"/>
  <c r="AV45" i="7"/>
  <c r="BI45" i="7"/>
  <c r="BP45" i="7"/>
  <c r="BP46" i="7"/>
  <c r="AI46" i="7"/>
  <c r="BI44" i="7"/>
  <c r="AV44" i="7"/>
  <c r="AI44" i="7"/>
  <c r="V44" i="7"/>
  <c r="BP44" i="7"/>
  <c r="BQ44" i="7"/>
  <c r="BR44" i="7"/>
  <c r="I43" i="7"/>
  <c r="V43" i="7"/>
  <c r="AI43" i="7"/>
  <c r="AV43" i="7"/>
  <c r="BI43" i="7"/>
  <c r="BP43" i="7"/>
  <c r="I41" i="7"/>
  <c r="V41" i="7"/>
  <c r="AI41" i="7"/>
  <c r="AV41" i="7"/>
  <c r="BI41" i="7"/>
  <c r="BP41" i="7"/>
  <c r="BP42" i="7"/>
  <c r="BI42" i="7"/>
  <c r="AV42" i="7"/>
  <c r="AI42" i="7"/>
  <c r="V42" i="7"/>
  <c r="I42" i="7"/>
  <c r="I40" i="7"/>
  <c r="V40" i="7"/>
  <c r="AI40" i="7"/>
  <c r="AV40" i="7"/>
  <c r="BI40" i="7"/>
  <c r="BP40" i="7"/>
  <c r="BQ40" i="7"/>
  <c r="I31" i="7"/>
  <c r="I35" i="7"/>
  <c r="I39" i="7"/>
  <c r="V31" i="7"/>
  <c r="V35" i="7"/>
  <c r="V39" i="7"/>
  <c r="AI31" i="7"/>
  <c r="AI35" i="7"/>
  <c r="AI39" i="7"/>
  <c r="AV31" i="7"/>
  <c r="AV35" i="7"/>
  <c r="AV39" i="7"/>
  <c r="BI31" i="7"/>
  <c r="BI35" i="7"/>
  <c r="BI39" i="7"/>
  <c r="BP39" i="7"/>
  <c r="I29" i="7"/>
  <c r="I33" i="7"/>
  <c r="I37" i="7"/>
  <c r="V29" i="7"/>
  <c r="V33" i="7"/>
  <c r="V37" i="7"/>
  <c r="AI29" i="7"/>
  <c r="AI33" i="7"/>
  <c r="AI37" i="7"/>
  <c r="AV29" i="7"/>
  <c r="AV33" i="7"/>
  <c r="AV37" i="7"/>
  <c r="BI29" i="7"/>
  <c r="BI33" i="7"/>
  <c r="BI37" i="7"/>
  <c r="BP37" i="7"/>
  <c r="BP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I28" i="7"/>
  <c r="I32" i="7"/>
  <c r="I36" i="7"/>
  <c r="V28" i="7"/>
  <c r="V32" i="7"/>
  <c r="V36" i="7"/>
  <c r="AI28" i="7"/>
  <c r="AI32" i="7"/>
  <c r="AI36" i="7"/>
  <c r="AV28" i="7"/>
  <c r="AV32" i="7"/>
  <c r="AV36" i="7"/>
  <c r="BI28" i="7"/>
  <c r="BI32" i="7"/>
  <c r="BI36" i="7"/>
  <c r="BP36" i="7"/>
  <c r="BQ36" i="7"/>
  <c r="BP35" i="7"/>
  <c r="BP33" i="7"/>
  <c r="BP34" i="7"/>
  <c r="BI34" i="7"/>
  <c r="AV34" i="7"/>
  <c r="AI34" i="7"/>
  <c r="V34" i="7"/>
  <c r="O34" i="7"/>
  <c r="I34" i="7"/>
  <c r="BP32" i="7"/>
  <c r="BQ32" i="7"/>
  <c r="BP31" i="7"/>
  <c r="BP29" i="7"/>
  <c r="BP30" i="7"/>
  <c r="BI30" i="7"/>
  <c r="AV30" i="7"/>
  <c r="AI30" i="7"/>
  <c r="V30" i="7"/>
  <c r="I30" i="7"/>
  <c r="BP28" i="7"/>
  <c r="BQ28" i="7"/>
  <c r="V19" i="7"/>
  <c r="V23" i="7"/>
  <c r="V27" i="7"/>
  <c r="AI19" i="7"/>
  <c r="AI23" i="7"/>
  <c r="AI27" i="7"/>
  <c r="AV19" i="7"/>
  <c r="AV23" i="7"/>
  <c r="AV27" i="7"/>
  <c r="BI19" i="7"/>
  <c r="BI23" i="7"/>
  <c r="BI27" i="7"/>
  <c r="BP27" i="7"/>
  <c r="V17" i="7"/>
  <c r="V21" i="7"/>
  <c r="V25" i="7"/>
  <c r="AI17" i="7"/>
  <c r="AI21" i="7"/>
  <c r="AI25" i="7"/>
  <c r="AV17" i="7"/>
  <c r="AV21" i="7"/>
  <c r="AV25" i="7"/>
  <c r="BI17" i="7"/>
  <c r="BI21" i="7"/>
  <c r="BI25" i="7"/>
  <c r="BP25" i="7"/>
  <c r="BP26" i="7"/>
  <c r="BI26" i="7"/>
  <c r="BH26" i="7"/>
  <c r="BG26" i="7"/>
  <c r="BF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V16" i="7"/>
  <c r="V20" i="7"/>
  <c r="V24" i="7"/>
  <c r="AI16" i="7"/>
  <c r="AI20" i="7"/>
  <c r="AI24" i="7"/>
  <c r="AV16" i="7"/>
  <c r="AV20" i="7"/>
  <c r="AV24" i="7"/>
  <c r="BI16" i="7"/>
  <c r="BI20" i="7"/>
  <c r="BI24" i="7"/>
  <c r="BP24" i="7"/>
  <c r="BP23" i="7"/>
  <c r="BP21" i="7"/>
  <c r="BP22" i="7"/>
  <c r="BI22" i="7"/>
  <c r="AV22" i="7"/>
  <c r="AI22" i="7"/>
  <c r="V22" i="7"/>
  <c r="BP20" i="7"/>
  <c r="BQ20" i="7"/>
  <c r="BP19" i="7"/>
  <c r="BP17" i="7"/>
  <c r="BP18" i="7"/>
  <c r="BI18" i="7"/>
  <c r="AV18" i="7"/>
  <c r="AI18" i="7"/>
  <c r="V18" i="7"/>
  <c r="BP16" i="7"/>
  <c r="BQ16" i="7"/>
  <c r="I7" i="7"/>
  <c r="I11" i="7"/>
  <c r="I15" i="7"/>
  <c r="V7" i="7"/>
  <c r="V11" i="7"/>
  <c r="V15" i="7"/>
  <c r="AI7" i="7"/>
  <c r="AI11" i="7"/>
  <c r="AI15" i="7"/>
  <c r="AV7" i="7"/>
  <c r="AV11" i="7"/>
  <c r="AV15" i="7"/>
  <c r="BI7" i="7"/>
  <c r="BI11" i="7"/>
  <c r="BI15" i="7"/>
  <c r="BP15" i="7"/>
  <c r="I5" i="7"/>
  <c r="I9" i="7"/>
  <c r="I13" i="7"/>
  <c r="V5" i="7"/>
  <c r="V9" i="7"/>
  <c r="V13" i="7"/>
  <c r="AI5" i="7"/>
  <c r="AI9" i="7"/>
  <c r="AI13" i="7"/>
  <c r="AV5" i="7"/>
  <c r="AV9" i="7"/>
  <c r="AV13" i="7"/>
  <c r="BI5" i="7"/>
  <c r="BI9" i="7"/>
  <c r="BI13" i="7"/>
  <c r="BP13" i="7"/>
  <c r="BP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I4" i="7"/>
  <c r="I8" i="7"/>
  <c r="I12" i="7"/>
  <c r="V4" i="7"/>
  <c r="V8" i="7"/>
  <c r="V12" i="7"/>
  <c r="AI4" i="7"/>
  <c r="AI8" i="7"/>
  <c r="AI12" i="7"/>
  <c r="AV4" i="7"/>
  <c r="AV8" i="7"/>
  <c r="AV12" i="7"/>
  <c r="BI4" i="7"/>
  <c r="BI8" i="7"/>
  <c r="BI12" i="7"/>
  <c r="BP12" i="7"/>
  <c r="BQ12" i="7"/>
  <c r="BP11" i="7"/>
  <c r="BP9" i="7"/>
  <c r="BP10" i="7"/>
  <c r="BI10" i="7"/>
  <c r="AV10" i="7"/>
  <c r="AI10" i="7"/>
  <c r="V10" i="7"/>
  <c r="I10" i="7"/>
  <c r="BP8" i="7"/>
  <c r="BQ8" i="7"/>
  <c r="BP7" i="7"/>
  <c r="BP5" i="7"/>
  <c r="BP6" i="7"/>
  <c r="BI6" i="7"/>
  <c r="AV6" i="7"/>
  <c r="AI6" i="7"/>
  <c r="V6" i="7"/>
  <c r="I6" i="7"/>
  <c r="BP4" i="7"/>
  <c r="BQ4" i="7"/>
  <c r="J646" i="6"/>
  <c r="H646" i="6"/>
  <c r="F609" i="6"/>
  <c r="F612" i="6"/>
  <c r="F615" i="6"/>
  <c r="F618" i="6"/>
  <c r="F608" i="6"/>
  <c r="F19" i="6"/>
  <c r="F4" i="6"/>
  <c r="F29" i="6"/>
  <c r="F71" i="6"/>
  <c r="F72" i="6"/>
  <c r="F73" i="6"/>
  <c r="F74" i="6"/>
  <c r="F70" i="6"/>
  <c r="F45" i="6"/>
  <c r="F88" i="6"/>
  <c r="F75" i="6"/>
  <c r="F108" i="6"/>
  <c r="F141" i="6"/>
  <c r="F133" i="6"/>
  <c r="F162" i="6"/>
  <c r="F165" i="6"/>
  <c r="F147" i="6"/>
  <c r="F169" i="6"/>
  <c r="F172" i="6"/>
  <c r="F175" i="6"/>
  <c r="F178" i="6"/>
  <c r="F168" i="6"/>
  <c r="F203" i="6"/>
  <c r="F206" i="6"/>
  <c r="F187" i="6"/>
  <c r="F219" i="6"/>
  <c r="F220" i="6"/>
  <c r="F221" i="6"/>
  <c r="F222" i="6"/>
  <c r="F223" i="6"/>
  <c r="F224" i="6"/>
  <c r="F225" i="6"/>
  <c r="F226" i="6"/>
  <c r="F218" i="6"/>
  <c r="F28" i="6"/>
  <c r="F228" i="6"/>
  <c r="F257" i="6"/>
  <c r="F298" i="6"/>
  <c r="F304" i="6"/>
  <c r="F307" i="6"/>
  <c r="F313" i="6"/>
  <c r="F316" i="6"/>
  <c r="F319" i="6"/>
  <c r="F297" i="6"/>
  <c r="F322" i="6"/>
  <c r="F337" i="6"/>
  <c r="F344" i="6"/>
  <c r="F348" i="6"/>
  <c r="F347" i="6"/>
  <c r="F227" i="6"/>
  <c r="F354" i="6"/>
  <c r="F357" i="6"/>
  <c r="F360" i="6"/>
  <c r="F363" i="6"/>
  <c r="F370" i="6"/>
  <c r="F350" i="6"/>
  <c r="F380" i="6"/>
  <c r="F383" i="6"/>
  <c r="F373" i="6"/>
  <c r="F405" i="6"/>
  <c r="F404" i="6"/>
  <c r="F408" i="6"/>
  <c r="F407" i="6"/>
  <c r="F410" i="6"/>
  <c r="F413" i="6"/>
  <c r="F403" i="6"/>
  <c r="F422" i="6"/>
  <c r="F416" i="6"/>
  <c r="F425" i="6"/>
  <c r="F443" i="6"/>
  <c r="F449" i="6"/>
  <c r="F452" i="6"/>
  <c r="F435" i="6"/>
  <c r="F459" i="6"/>
  <c r="F455" i="6"/>
  <c r="F467" i="6"/>
  <c r="F470" i="6"/>
  <c r="F473" i="6"/>
  <c r="F466" i="6"/>
  <c r="F477" i="6"/>
  <c r="F480" i="6"/>
  <c r="F483" i="6"/>
  <c r="F476" i="6"/>
  <c r="F349" i="6"/>
  <c r="F491" i="6"/>
  <c r="F494" i="6"/>
  <c r="F497" i="6"/>
  <c r="F500" i="6"/>
  <c r="F490" i="6"/>
  <c r="F507" i="6"/>
  <c r="F503" i="6"/>
  <c r="F485" i="6"/>
  <c r="F521" i="6"/>
  <c r="F526" i="6"/>
  <c r="F530" i="6"/>
  <c r="F529" i="6"/>
  <c r="F533" i="6"/>
  <c r="F532" i="6"/>
  <c r="F525" i="6"/>
  <c r="F524" i="6"/>
  <c r="F557" i="6"/>
  <c r="F565" i="6"/>
  <c r="F549" i="6"/>
  <c r="F571" i="6"/>
  <c r="F574" i="6"/>
  <c r="F582" i="6"/>
  <c r="F590" i="6"/>
  <c r="F548" i="6"/>
  <c r="F602" i="6"/>
  <c r="F605" i="6"/>
  <c r="F601" i="6"/>
  <c r="F523" i="6"/>
  <c r="F622" i="6"/>
  <c r="F625" i="6"/>
  <c r="F628" i="6"/>
  <c r="F632" i="6"/>
  <c r="F636" i="6"/>
  <c r="F635" i="6"/>
  <c r="F638" i="6"/>
  <c r="F621" i="6"/>
  <c r="F641" i="6"/>
  <c r="F644" i="6"/>
  <c r="F645" i="6"/>
  <c r="F646" i="6"/>
  <c r="G646" i="6"/>
  <c r="J645" i="6"/>
  <c r="H645" i="6"/>
  <c r="G645" i="6"/>
  <c r="E4" i="6"/>
  <c r="E29" i="6"/>
  <c r="E45" i="6"/>
  <c r="E75" i="6"/>
  <c r="E108" i="6"/>
  <c r="E133" i="6"/>
  <c r="E147" i="6"/>
  <c r="E168" i="6"/>
  <c r="E187" i="6"/>
  <c r="E28" i="6"/>
  <c r="E228" i="6"/>
  <c r="E257" i="6"/>
  <c r="E297" i="6"/>
  <c r="E322" i="6"/>
  <c r="E337" i="6"/>
  <c r="E227" i="6"/>
  <c r="E350" i="6"/>
  <c r="E373" i="6"/>
  <c r="E403" i="6"/>
  <c r="E416" i="6"/>
  <c r="E425" i="6"/>
  <c r="E435" i="6"/>
  <c r="E455" i="6"/>
  <c r="E466" i="6"/>
  <c r="E476" i="6"/>
  <c r="E349" i="6"/>
  <c r="E490" i="6"/>
  <c r="E485" i="6"/>
  <c r="E521" i="6"/>
  <c r="E645" i="6"/>
  <c r="D645" i="6"/>
  <c r="J644" i="6"/>
  <c r="H644" i="6"/>
  <c r="G644" i="6"/>
  <c r="D644" i="6"/>
  <c r="J643" i="6"/>
  <c r="F642" i="6"/>
  <c r="F643" i="6"/>
  <c r="H643" i="6"/>
  <c r="G643" i="6"/>
  <c r="D643" i="6"/>
  <c r="J642" i="6"/>
  <c r="H642" i="6"/>
  <c r="G642" i="6"/>
  <c r="D642" i="6"/>
  <c r="D641" i="6"/>
  <c r="J641" i="6"/>
  <c r="H641" i="6"/>
  <c r="K640" i="6"/>
  <c r="J640" i="6"/>
  <c r="I640" i="6"/>
  <c r="H640" i="6"/>
  <c r="G640" i="6"/>
  <c r="H639" i="6"/>
  <c r="G639" i="6"/>
  <c r="G638" i="6"/>
  <c r="D638" i="6"/>
  <c r="J638" i="6"/>
  <c r="H638" i="6"/>
  <c r="H636" i="6"/>
  <c r="G636" i="6"/>
  <c r="B636" i="6"/>
  <c r="G635" i="6"/>
  <c r="D635" i="6"/>
  <c r="J635" i="6"/>
  <c r="H635" i="6"/>
  <c r="G632" i="6"/>
  <c r="D632" i="6"/>
  <c r="J632" i="6"/>
  <c r="H632" i="6"/>
  <c r="G631" i="6"/>
  <c r="G630" i="6"/>
  <c r="H629" i="6"/>
  <c r="G629" i="6"/>
  <c r="K628" i="6"/>
  <c r="J628" i="6"/>
  <c r="I628" i="6"/>
  <c r="H628" i="6"/>
  <c r="G628" i="6"/>
  <c r="D628" i="6"/>
  <c r="G625" i="6"/>
  <c r="D625" i="6"/>
  <c r="J625" i="6"/>
  <c r="H625" i="6"/>
  <c r="G622" i="6"/>
  <c r="D622" i="6"/>
  <c r="J622" i="6"/>
  <c r="H622" i="6"/>
  <c r="G621" i="6"/>
  <c r="D621" i="6"/>
  <c r="J621" i="6"/>
  <c r="I621" i="6"/>
  <c r="H621" i="6"/>
  <c r="G618" i="6"/>
  <c r="D618" i="6"/>
  <c r="J618" i="6"/>
  <c r="H618" i="6"/>
  <c r="G615" i="6"/>
  <c r="D615" i="6"/>
  <c r="J615" i="6"/>
  <c r="H615" i="6"/>
  <c r="G612" i="6"/>
  <c r="D612" i="6"/>
  <c r="J612" i="6"/>
  <c r="H612" i="6"/>
  <c r="G609" i="6"/>
  <c r="D609" i="6"/>
  <c r="J609" i="6"/>
  <c r="H609" i="6"/>
  <c r="G608" i="6"/>
  <c r="D608" i="6"/>
  <c r="J608" i="6"/>
  <c r="I608" i="6"/>
  <c r="H608" i="6"/>
  <c r="G605" i="6"/>
  <c r="E605" i="6"/>
  <c r="D605" i="6"/>
  <c r="J605" i="6"/>
  <c r="I605" i="6"/>
  <c r="H605" i="6"/>
  <c r="G602" i="6"/>
  <c r="E602" i="6"/>
  <c r="D602" i="6"/>
  <c r="J602" i="6"/>
  <c r="I602" i="6"/>
  <c r="H602" i="6"/>
  <c r="I601" i="6"/>
  <c r="H601" i="6"/>
  <c r="G601" i="6"/>
  <c r="J598" i="6"/>
  <c r="I598" i="6"/>
  <c r="H598" i="6"/>
  <c r="G598" i="6"/>
  <c r="F598" i="6"/>
  <c r="G590" i="6"/>
  <c r="E590" i="6"/>
  <c r="D590" i="6"/>
  <c r="J590" i="6"/>
  <c r="I590" i="6"/>
  <c r="H590" i="6"/>
  <c r="G582" i="6"/>
  <c r="E582" i="6"/>
  <c r="D582" i="6"/>
  <c r="J582" i="6"/>
  <c r="I582" i="6"/>
  <c r="H582" i="6"/>
  <c r="G574" i="6"/>
  <c r="E574" i="6"/>
  <c r="D574" i="6"/>
  <c r="J574" i="6"/>
  <c r="I574" i="6"/>
  <c r="H574" i="6"/>
  <c r="G571" i="6"/>
  <c r="E571" i="6"/>
  <c r="D571" i="6"/>
  <c r="J571" i="6"/>
  <c r="I571" i="6"/>
  <c r="H571" i="6"/>
  <c r="G565" i="6"/>
  <c r="E565" i="6"/>
  <c r="D565" i="6"/>
  <c r="J565" i="6"/>
  <c r="I565" i="6"/>
  <c r="H565" i="6"/>
  <c r="G557" i="6"/>
  <c r="E557" i="6"/>
  <c r="D557" i="6"/>
  <c r="J557" i="6"/>
  <c r="I557" i="6"/>
  <c r="H557" i="6"/>
  <c r="G549" i="6"/>
  <c r="E549" i="6"/>
  <c r="D549" i="6"/>
  <c r="J549" i="6"/>
  <c r="I549" i="6"/>
  <c r="H549" i="6"/>
  <c r="G548" i="6"/>
  <c r="D548" i="6"/>
  <c r="J548" i="6"/>
  <c r="I548" i="6"/>
  <c r="H548" i="6"/>
  <c r="G542" i="6"/>
  <c r="D542" i="6"/>
  <c r="J542" i="6"/>
  <c r="H542" i="6"/>
  <c r="F542" i="6"/>
  <c r="G539" i="6"/>
  <c r="D539" i="6"/>
  <c r="J539" i="6"/>
  <c r="H539" i="6"/>
  <c r="F539" i="6"/>
  <c r="G536" i="6"/>
  <c r="D536" i="6"/>
  <c r="J536" i="6"/>
  <c r="H536" i="6"/>
  <c r="F536" i="6"/>
  <c r="G535" i="6"/>
  <c r="E535" i="6"/>
  <c r="D535" i="6"/>
  <c r="J535" i="6"/>
  <c r="F535" i="6"/>
  <c r="I535" i="6"/>
  <c r="H535" i="6"/>
  <c r="H533" i="6"/>
  <c r="G533" i="6"/>
  <c r="B533" i="6"/>
  <c r="G532" i="6"/>
  <c r="D532" i="6"/>
  <c r="J532" i="6"/>
  <c r="H532" i="6"/>
  <c r="H530" i="6"/>
  <c r="G530" i="6"/>
  <c r="B530" i="6"/>
  <c r="G529" i="6"/>
  <c r="D529" i="6"/>
  <c r="J529" i="6"/>
  <c r="H529" i="6"/>
  <c r="G526" i="6"/>
  <c r="D526" i="6"/>
  <c r="J526" i="6"/>
  <c r="H526" i="6"/>
  <c r="G525" i="6"/>
  <c r="E525" i="6"/>
  <c r="D525" i="6"/>
  <c r="J525" i="6"/>
  <c r="I525" i="6"/>
  <c r="H525" i="6"/>
  <c r="I524" i="6"/>
  <c r="H524" i="6"/>
  <c r="G524" i="6"/>
  <c r="G523" i="6"/>
  <c r="D523" i="6"/>
  <c r="J523" i="6"/>
  <c r="I523" i="6"/>
  <c r="H523" i="6"/>
  <c r="H522" i="6"/>
  <c r="G522" i="6"/>
  <c r="D522" i="6"/>
  <c r="G6" i="6"/>
  <c r="G5" i="6"/>
  <c r="G10" i="6"/>
  <c r="G11" i="6"/>
  <c r="G9" i="6"/>
  <c r="G14" i="6"/>
  <c r="G13" i="6"/>
  <c r="G17" i="6"/>
  <c r="G18" i="6"/>
  <c r="G19" i="6"/>
  <c r="G23" i="6"/>
  <c r="G22" i="6"/>
  <c r="G16" i="6"/>
  <c r="G26" i="6"/>
  <c r="G25" i="6"/>
  <c r="G4" i="6"/>
  <c r="G31" i="6"/>
  <c r="G32" i="6"/>
  <c r="G33" i="6"/>
  <c r="G30" i="6"/>
  <c r="G35" i="6"/>
  <c r="G36" i="6"/>
  <c r="G37" i="6"/>
  <c r="G38" i="6"/>
  <c r="G39" i="6"/>
  <c r="G34" i="6"/>
  <c r="G42" i="6"/>
  <c r="G43" i="6"/>
  <c r="G44" i="6"/>
  <c r="G41" i="6"/>
  <c r="G29" i="6"/>
  <c r="G47" i="6"/>
  <c r="G48" i="6"/>
  <c r="G46" i="6"/>
  <c r="G50" i="6"/>
  <c r="G49" i="6"/>
  <c r="G53" i="6"/>
  <c r="G52" i="6"/>
  <c r="G56" i="6"/>
  <c r="G57" i="6"/>
  <c r="G55" i="6"/>
  <c r="G60" i="6"/>
  <c r="G61" i="6"/>
  <c r="G62" i="6"/>
  <c r="G59" i="6"/>
  <c r="G65" i="6"/>
  <c r="G66" i="6"/>
  <c r="G67" i="6"/>
  <c r="G68" i="6"/>
  <c r="G69" i="6"/>
  <c r="G64" i="6"/>
  <c r="G71" i="6"/>
  <c r="G72" i="6"/>
  <c r="G73" i="6"/>
  <c r="G74" i="6"/>
  <c r="G70" i="6"/>
  <c r="G45" i="6"/>
  <c r="G99" i="6"/>
  <c r="G100" i="6"/>
  <c r="G98" i="6"/>
  <c r="G85" i="6"/>
  <c r="G86" i="6"/>
  <c r="G84" i="6"/>
  <c r="G88" i="6"/>
  <c r="G77" i="6"/>
  <c r="G78" i="6"/>
  <c r="G79" i="6"/>
  <c r="G80" i="6"/>
  <c r="G81" i="6"/>
  <c r="G82" i="6"/>
  <c r="G76" i="6"/>
  <c r="G91" i="6"/>
  <c r="G103" i="6"/>
  <c r="G95" i="6"/>
  <c r="G96" i="6"/>
  <c r="G94" i="6"/>
  <c r="G75" i="6"/>
  <c r="G110" i="6"/>
  <c r="G111" i="6"/>
  <c r="G112" i="6"/>
  <c r="G109" i="6"/>
  <c r="G115" i="6"/>
  <c r="G116" i="6"/>
  <c r="G117" i="6"/>
  <c r="G118" i="6"/>
  <c r="G119" i="6"/>
  <c r="G120" i="6"/>
  <c r="G121" i="6"/>
  <c r="G122" i="6"/>
  <c r="G114" i="6"/>
  <c r="G125" i="6"/>
  <c r="G126" i="6"/>
  <c r="G127" i="6"/>
  <c r="G124" i="6"/>
  <c r="G130" i="6"/>
  <c r="G131" i="6"/>
  <c r="G129" i="6"/>
  <c r="G108" i="6"/>
  <c r="G135" i="6"/>
  <c r="G136" i="6"/>
  <c r="G134" i="6"/>
  <c r="G138" i="6"/>
  <c r="G141" i="6"/>
  <c r="G145" i="6"/>
  <c r="G144" i="6"/>
  <c r="G133" i="6"/>
  <c r="G149" i="6"/>
  <c r="G150" i="6"/>
  <c r="G148" i="6"/>
  <c r="G153" i="6"/>
  <c r="G154" i="6"/>
  <c r="G152" i="6"/>
  <c r="G157" i="6"/>
  <c r="G156" i="6"/>
  <c r="G160" i="6"/>
  <c r="G159" i="6"/>
  <c r="G162" i="6"/>
  <c r="G165" i="6"/>
  <c r="G147" i="6"/>
  <c r="G169" i="6"/>
  <c r="G172" i="6"/>
  <c r="G175" i="6"/>
  <c r="G178" i="6"/>
  <c r="G182" i="6"/>
  <c r="G181" i="6"/>
  <c r="G185" i="6"/>
  <c r="G184" i="6"/>
  <c r="G168" i="6"/>
  <c r="G189" i="6"/>
  <c r="G190" i="6"/>
  <c r="G188" i="6"/>
  <c r="G194" i="6"/>
  <c r="G195" i="6"/>
  <c r="G196" i="6"/>
  <c r="G193" i="6"/>
  <c r="G199" i="6"/>
  <c r="G200" i="6"/>
  <c r="G201" i="6"/>
  <c r="G198" i="6"/>
  <c r="G203" i="6"/>
  <c r="G206" i="6"/>
  <c r="G210" i="6"/>
  <c r="G211" i="6"/>
  <c r="G209" i="6"/>
  <c r="G214" i="6"/>
  <c r="G215" i="6"/>
  <c r="G216" i="6"/>
  <c r="G213" i="6"/>
  <c r="G187" i="6"/>
  <c r="G219" i="6"/>
  <c r="G220" i="6"/>
  <c r="G221" i="6"/>
  <c r="G222" i="6"/>
  <c r="G223" i="6"/>
  <c r="G224" i="6"/>
  <c r="G225" i="6"/>
  <c r="G226" i="6"/>
  <c r="G218" i="6"/>
  <c r="G28" i="6"/>
  <c r="G230" i="6"/>
  <c r="G229" i="6"/>
  <c r="G233" i="6"/>
  <c r="G232" i="6"/>
  <c r="G236" i="6"/>
  <c r="G240" i="6"/>
  <c r="G241" i="6"/>
  <c r="G242" i="6"/>
  <c r="G243" i="6"/>
  <c r="G239" i="6"/>
  <c r="G245" i="6"/>
  <c r="G249" i="6"/>
  <c r="G248" i="6"/>
  <c r="G253" i="6"/>
  <c r="G254" i="6"/>
  <c r="G255" i="6"/>
  <c r="G252" i="6"/>
  <c r="G228" i="6"/>
  <c r="G259" i="6"/>
  <c r="G260" i="6"/>
  <c r="G261" i="6"/>
  <c r="G262" i="6"/>
  <c r="G263" i="6"/>
  <c r="G264" i="6"/>
  <c r="G258" i="6"/>
  <c r="G267" i="6"/>
  <c r="G266" i="6"/>
  <c r="G271" i="6"/>
  <c r="G272" i="6"/>
  <c r="G273" i="6"/>
  <c r="G270" i="6"/>
  <c r="G275" i="6"/>
  <c r="G276" i="6"/>
  <c r="G277" i="6"/>
  <c r="G274" i="6"/>
  <c r="G280" i="6"/>
  <c r="G279" i="6"/>
  <c r="G283" i="6"/>
  <c r="G282" i="6"/>
  <c r="G286" i="6"/>
  <c r="G287" i="6"/>
  <c r="G288" i="6"/>
  <c r="G285" i="6"/>
  <c r="G293" i="6"/>
  <c r="G292" i="6"/>
  <c r="G257" i="6"/>
  <c r="G298" i="6"/>
  <c r="G302" i="6"/>
  <c r="G301" i="6"/>
  <c r="G304" i="6"/>
  <c r="G307" i="6"/>
  <c r="G311" i="6"/>
  <c r="G312" i="6"/>
  <c r="G310" i="6"/>
  <c r="G313" i="6"/>
  <c r="G316" i="6"/>
  <c r="G319" i="6"/>
  <c r="G297" i="6"/>
  <c r="G324" i="6"/>
  <c r="G325" i="6"/>
  <c r="G326" i="6"/>
  <c r="G327" i="6"/>
  <c r="G323" i="6"/>
  <c r="G329" i="6"/>
  <c r="G330" i="6"/>
  <c r="G331" i="6"/>
  <c r="G328" i="6"/>
  <c r="G334" i="6"/>
  <c r="G333" i="6"/>
  <c r="G322" i="6"/>
  <c r="G339" i="6"/>
  <c r="G338" i="6"/>
  <c r="G341" i="6"/>
  <c r="G340" i="6"/>
  <c r="G337" i="6"/>
  <c r="G344" i="6"/>
  <c r="G227" i="6"/>
  <c r="G352" i="6"/>
  <c r="G353" i="6"/>
  <c r="G351" i="6"/>
  <c r="G354" i="6"/>
  <c r="G357" i="6"/>
  <c r="G360" i="6"/>
  <c r="G363" i="6"/>
  <c r="G367" i="6"/>
  <c r="G368" i="6"/>
  <c r="G366" i="6"/>
  <c r="G370" i="6"/>
  <c r="G350" i="6"/>
  <c r="G375" i="6"/>
  <c r="G374" i="6"/>
  <c r="G378" i="6"/>
  <c r="G377" i="6"/>
  <c r="G380" i="6"/>
  <c r="G383" i="6"/>
  <c r="G400" i="6"/>
  <c r="G399" i="6"/>
  <c r="G387" i="6"/>
  <c r="G386" i="6"/>
  <c r="G391" i="6"/>
  <c r="G390" i="6"/>
  <c r="G394" i="6"/>
  <c r="G393" i="6"/>
  <c r="G397" i="6"/>
  <c r="G396" i="6"/>
  <c r="G373" i="6"/>
  <c r="G405" i="6"/>
  <c r="G404" i="6"/>
  <c r="G407" i="6"/>
  <c r="G410" i="6"/>
  <c r="G413" i="6"/>
  <c r="G403" i="6"/>
  <c r="G418" i="6"/>
  <c r="G419" i="6"/>
  <c r="G420" i="6"/>
  <c r="G421" i="6"/>
  <c r="G417" i="6"/>
  <c r="G422" i="6"/>
  <c r="G416" i="6"/>
  <c r="G427" i="6"/>
  <c r="G426" i="6"/>
  <c r="G430" i="6"/>
  <c r="G431" i="6"/>
  <c r="G429" i="6"/>
  <c r="G433" i="6"/>
  <c r="G432" i="6"/>
  <c r="G425" i="6"/>
  <c r="G437" i="6"/>
  <c r="G438" i="6"/>
  <c r="G436" i="6"/>
  <c r="G441" i="6"/>
  <c r="G440" i="6"/>
  <c r="G443" i="6"/>
  <c r="G447" i="6"/>
  <c r="G446" i="6"/>
  <c r="G449" i="6"/>
  <c r="G452" i="6"/>
  <c r="G435" i="6"/>
  <c r="G457" i="6"/>
  <c r="G456" i="6"/>
  <c r="G459" i="6"/>
  <c r="G463" i="6"/>
  <c r="G464" i="6"/>
  <c r="G462" i="6"/>
  <c r="G455" i="6"/>
  <c r="G467" i="6"/>
  <c r="G470" i="6"/>
  <c r="G473" i="6"/>
  <c r="G466" i="6"/>
  <c r="G477" i="6"/>
  <c r="G480" i="6"/>
  <c r="G483" i="6"/>
  <c r="G476" i="6"/>
  <c r="G349" i="6"/>
  <c r="G487" i="6"/>
  <c r="G488" i="6"/>
  <c r="G486" i="6"/>
  <c r="G491" i="6"/>
  <c r="G494" i="6"/>
  <c r="G497" i="6"/>
  <c r="G500" i="6"/>
  <c r="G490" i="6"/>
  <c r="G507" i="6"/>
  <c r="G503" i="6"/>
  <c r="G485" i="6"/>
  <c r="G511" i="6"/>
  <c r="G512" i="6"/>
  <c r="G513" i="6"/>
  <c r="G514" i="6"/>
  <c r="G515" i="6"/>
  <c r="G516" i="6"/>
  <c r="G510" i="6"/>
  <c r="G521" i="6"/>
  <c r="D5" i="6"/>
  <c r="D9" i="6"/>
  <c r="D13" i="6"/>
  <c r="D16" i="6"/>
  <c r="D19" i="6"/>
  <c r="D22" i="6"/>
  <c r="D25" i="6"/>
  <c r="D4" i="6"/>
  <c r="D30" i="6"/>
  <c r="D34" i="6"/>
  <c r="D41" i="6"/>
  <c r="D29" i="6"/>
  <c r="D46" i="6"/>
  <c r="D49" i="6"/>
  <c r="D52" i="6"/>
  <c r="D55" i="6"/>
  <c r="D59" i="6"/>
  <c r="D64" i="6"/>
  <c r="D70" i="6"/>
  <c r="D45" i="6"/>
  <c r="D98" i="6"/>
  <c r="D84" i="6"/>
  <c r="D88" i="6"/>
  <c r="D76" i="6"/>
  <c r="D91" i="6"/>
  <c r="D103" i="6"/>
  <c r="D94" i="6"/>
  <c r="D75" i="6"/>
  <c r="D109" i="6"/>
  <c r="D114" i="6"/>
  <c r="D124" i="6"/>
  <c r="D129" i="6"/>
  <c r="D108" i="6"/>
  <c r="D134" i="6"/>
  <c r="D138" i="6"/>
  <c r="D141" i="6"/>
  <c r="D144" i="6"/>
  <c r="D133" i="6"/>
  <c r="D148" i="6"/>
  <c r="D152" i="6"/>
  <c r="D156" i="6"/>
  <c r="D159" i="6"/>
  <c r="D162" i="6"/>
  <c r="D165" i="6"/>
  <c r="D147" i="6"/>
  <c r="D169" i="6"/>
  <c r="D172" i="6"/>
  <c r="D175" i="6"/>
  <c r="D178" i="6"/>
  <c r="D181" i="6"/>
  <c r="D184" i="6"/>
  <c r="D168" i="6"/>
  <c r="D188" i="6"/>
  <c r="D193" i="6"/>
  <c r="D198" i="6"/>
  <c r="D203" i="6"/>
  <c r="D206" i="6"/>
  <c r="D209" i="6"/>
  <c r="D213" i="6"/>
  <c r="D187" i="6"/>
  <c r="D28" i="6"/>
  <c r="D229" i="6"/>
  <c r="D232" i="6"/>
  <c r="D236" i="6"/>
  <c r="D239" i="6"/>
  <c r="D245" i="6"/>
  <c r="D248" i="6"/>
  <c r="D252" i="6"/>
  <c r="D228" i="6"/>
  <c r="D258" i="6"/>
  <c r="D266" i="6"/>
  <c r="D270" i="6"/>
  <c r="D274" i="6"/>
  <c r="D279" i="6"/>
  <c r="D282" i="6"/>
  <c r="D285" i="6"/>
  <c r="D292" i="6"/>
  <c r="D257" i="6"/>
  <c r="D298" i="6"/>
  <c r="D301" i="6"/>
  <c r="D304" i="6"/>
  <c r="D307" i="6"/>
  <c r="D310" i="6"/>
  <c r="D313" i="6"/>
  <c r="D316" i="6"/>
  <c r="D319" i="6"/>
  <c r="D297" i="6"/>
  <c r="D323" i="6"/>
  <c r="D328" i="6"/>
  <c r="D333" i="6"/>
  <c r="D322" i="6"/>
  <c r="D337" i="6"/>
  <c r="D344" i="6"/>
  <c r="D227" i="6"/>
  <c r="D351" i="6"/>
  <c r="D354" i="6"/>
  <c r="D357" i="6"/>
  <c r="D360" i="6"/>
  <c r="D363" i="6"/>
  <c r="D366" i="6"/>
  <c r="D370" i="6"/>
  <c r="D350" i="6"/>
  <c r="D374" i="6"/>
  <c r="D377" i="6"/>
  <c r="D380" i="6"/>
  <c r="D383" i="6"/>
  <c r="D399" i="6"/>
  <c r="D386" i="6"/>
  <c r="D390" i="6"/>
  <c r="D393" i="6"/>
  <c r="D396" i="6"/>
  <c r="D373" i="6"/>
  <c r="D404" i="6"/>
  <c r="D407" i="6"/>
  <c r="D410" i="6"/>
  <c r="D413" i="6"/>
  <c r="D403" i="6"/>
  <c r="D417" i="6"/>
  <c r="D422" i="6"/>
  <c r="D416" i="6"/>
  <c r="D426" i="6"/>
  <c r="D429" i="6"/>
  <c r="D432" i="6"/>
  <c r="D425" i="6"/>
  <c r="D436" i="6"/>
  <c r="D440" i="6"/>
  <c r="D443" i="6"/>
  <c r="D446" i="6"/>
  <c r="D449" i="6"/>
  <c r="D452" i="6"/>
  <c r="D435" i="6"/>
  <c r="D456" i="6"/>
  <c r="D459" i="6"/>
  <c r="D462" i="6"/>
  <c r="D455" i="6"/>
  <c r="D467" i="6"/>
  <c r="D470" i="6"/>
  <c r="D473" i="6"/>
  <c r="D466" i="6"/>
  <c r="D477" i="6"/>
  <c r="D480" i="6"/>
  <c r="D483" i="6"/>
  <c r="D476" i="6"/>
  <c r="D349" i="6"/>
  <c r="D486" i="6"/>
  <c r="D491" i="6"/>
  <c r="D494" i="6"/>
  <c r="D497" i="6"/>
  <c r="D500" i="6"/>
  <c r="D490" i="6"/>
  <c r="D503" i="6"/>
  <c r="D485" i="6"/>
  <c r="D510" i="6"/>
  <c r="D521" i="6"/>
  <c r="J521" i="6"/>
  <c r="I521" i="6"/>
  <c r="H6" i="6"/>
  <c r="H7" i="6"/>
  <c r="H8" i="6"/>
  <c r="H5" i="6"/>
  <c r="H10" i="6"/>
  <c r="H11" i="6"/>
  <c r="H12" i="6"/>
  <c r="H9" i="6"/>
  <c r="H14" i="6"/>
  <c r="H15" i="6"/>
  <c r="H13" i="6"/>
  <c r="H17" i="6"/>
  <c r="H18" i="6"/>
  <c r="H20" i="6"/>
  <c r="H21" i="6"/>
  <c r="H19" i="6"/>
  <c r="H23" i="6"/>
  <c r="H24" i="6"/>
  <c r="H22" i="6"/>
  <c r="H16" i="6"/>
  <c r="H26" i="6"/>
  <c r="H27" i="6"/>
  <c r="H25" i="6"/>
  <c r="H4" i="6"/>
  <c r="H31" i="6"/>
  <c r="H32" i="6"/>
  <c r="H33" i="6"/>
  <c r="H30" i="6"/>
  <c r="H35" i="6"/>
  <c r="H36" i="6"/>
  <c r="H37" i="6"/>
  <c r="H38" i="6"/>
  <c r="H39" i="6"/>
  <c r="H34" i="6"/>
  <c r="H42" i="6"/>
  <c r="H43" i="6"/>
  <c r="H44" i="6"/>
  <c r="H41" i="6"/>
  <c r="H29" i="6"/>
  <c r="H47" i="6"/>
  <c r="H48" i="6"/>
  <c r="H46" i="6"/>
  <c r="H50" i="6"/>
  <c r="H51" i="6"/>
  <c r="H49" i="6"/>
  <c r="H53" i="6"/>
  <c r="H54" i="6"/>
  <c r="H52" i="6"/>
  <c r="H56" i="6"/>
  <c r="H57" i="6"/>
  <c r="H58" i="6"/>
  <c r="H55" i="6"/>
  <c r="H60" i="6"/>
  <c r="H61" i="6"/>
  <c r="H62" i="6"/>
  <c r="H63" i="6"/>
  <c r="H59" i="6"/>
  <c r="H65" i="6"/>
  <c r="H66" i="6"/>
  <c r="H67" i="6"/>
  <c r="H68" i="6"/>
  <c r="H69" i="6"/>
  <c r="H64" i="6"/>
  <c r="H71" i="6"/>
  <c r="H72" i="6"/>
  <c r="H73" i="6"/>
  <c r="H74" i="6"/>
  <c r="H70" i="6"/>
  <c r="H45" i="6"/>
  <c r="H99" i="6"/>
  <c r="H100" i="6"/>
  <c r="H102" i="6"/>
  <c r="H98" i="6"/>
  <c r="H85" i="6"/>
  <c r="H86" i="6"/>
  <c r="H87" i="6"/>
  <c r="H84" i="6"/>
  <c r="H89" i="6"/>
  <c r="H90" i="6"/>
  <c r="H88" i="6"/>
  <c r="H77" i="6"/>
  <c r="H78" i="6"/>
  <c r="H79" i="6"/>
  <c r="H80" i="6"/>
  <c r="H81" i="6"/>
  <c r="H82" i="6"/>
  <c r="H76" i="6"/>
  <c r="H92" i="6"/>
  <c r="H93" i="6"/>
  <c r="H91" i="6"/>
  <c r="H104" i="6"/>
  <c r="H105" i="6"/>
  <c r="H106" i="6"/>
  <c r="H107" i="6"/>
  <c r="H103" i="6"/>
  <c r="H95" i="6"/>
  <c r="H96" i="6"/>
  <c r="H94" i="6"/>
  <c r="H75" i="6"/>
  <c r="H110" i="6"/>
  <c r="H111" i="6"/>
  <c r="H112" i="6"/>
  <c r="H113" i="6"/>
  <c r="H109" i="6"/>
  <c r="H115" i="6"/>
  <c r="H116" i="6"/>
  <c r="H117" i="6"/>
  <c r="H118" i="6"/>
  <c r="H119" i="6"/>
  <c r="H120" i="6"/>
  <c r="H121" i="6"/>
  <c r="H122" i="6"/>
  <c r="H114" i="6"/>
  <c r="H125" i="6"/>
  <c r="H126" i="6"/>
  <c r="H127" i="6"/>
  <c r="H124" i="6"/>
  <c r="H130" i="6"/>
  <c r="H131" i="6"/>
  <c r="H129" i="6"/>
  <c r="H108" i="6"/>
  <c r="H135" i="6"/>
  <c r="H136" i="6"/>
  <c r="H134" i="6"/>
  <c r="H139" i="6"/>
  <c r="H138" i="6"/>
  <c r="H141" i="6"/>
  <c r="H145" i="6"/>
  <c r="H144" i="6"/>
  <c r="H133" i="6"/>
  <c r="H149" i="6"/>
  <c r="H150" i="6"/>
  <c r="H148" i="6"/>
  <c r="H153" i="6"/>
  <c r="H154" i="6"/>
  <c r="H152" i="6"/>
  <c r="H157" i="6"/>
  <c r="H156" i="6"/>
  <c r="H160" i="6"/>
  <c r="H159" i="6"/>
  <c r="H162" i="6"/>
  <c r="H165" i="6"/>
  <c r="H147" i="6"/>
  <c r="H169" i="6"/>
  <c r="H172" i="6"/>
  <c r="H175" i="6"/>
  <c r="H178" i="6"/>
  <c r="H182" i="6"/>
  <c r="H181" i="6"/>
  <c r="H185" i="6"/>
  <c r="H184" i="6"/>
  <c r="H168" i="6"/>
  <c r="H189" i="6"/>
  <c r="H190" i="6"/>
  <c r="H188" i="6"/>
  <c r="H194" i="6"/>
  <c r="H195" i="6"/>
  <c r="H196" i="6"/>
  <c r="H193" i="6"/>
  <c r="H199" i="6"/>
  <c r="H200" i="6"/>
  <c r="H201" i="6"/>
  <c r="H198" i="6"/>
  <c r="H203" i="6"/>
  <c r="H206" i="6"/>
  <c r="H210" i="6"/>
  <c r="H211" i="6"/>
  <c r="H209" i="6"/>
  <c r="H214" i="6"/>
  <c r="H215" i="6"/>
  <c r="H216" i="6"/>
  <c r="H213" i="6"/>
  <c r="H187" i="6"/>
  <c r="H219" i="6"/>
  <c r="H220" i="6"/>
  <c r="H221" i="6"/>
  <c r="H222" i="6"/>
  <c r="H223" i="6"/>
  <c r="H224" i="6"/>
  <c r="H225" i="6"/>
  <c r="H226" i="6"/>
  <c r="H218" i="6"/>
  <c r="H28" i="6"/>
  <c r="H230" i="6"/>
  <c r="H231" i="6"/>
  <c r="H229" i="6"/>
  <c r="H233" i="6"/>
  <c r="H234" i="6"/>
  <c r="H235" i="6"/>
  <c r="H232" i="6"/>
  <c r="H237" i="6"/>
  <c r="H236" i="6"/>
  <c r="H240" i="6"/>
  <c r="H241" i="6"/>
  <c r="H242" i="6"/>
  <c r="H243" i="6"/>
  <c r="H239" i="6"/>
  <c r="H246" i="6"/>
  <c r="H247" i="6"/>
  <c r="H245" i="6"/>
  <c r="H249" i="6"/>
  <c r="H248" i="6"/>
  <c r="H253" i="6"/>
  <c r="H254" i="6"/>
  <c r="H255" i="6"/>
  <c r="H252" i="6"/>
  <c r="H228" i="6"/>
  <c r="H259" i="6"/>
  <c r="H260" i="6"/>
  <c r="H261" i="6"/>
  <c r="H262" i="6"/>
  <c r="H263" i="6"/>
  <c r="H264" i="6"/>
  <c r="H265" i="6"/>
  <c r="H258" i="6"/>
  <c r="H267" i="6"/>
  <c r="H268" i="6"/>
  <c r="H269" i="6"/>
  <c r="H266" i="6"/>
  <c r="H271" i="6"/>
  <c r="H272" i="6"/>
  <c r="H273" i="6"/>
  <c r="H270" i="6"/>
  <c r="H275" i="6"/>
  <c r="H276" i="6"/>
  <c r="H277" i="6"/>
  <c r="H278" i="6"/>
  <c r="H274" i="6"/>
  <c r="H280" i="6"/>
  <c r="H281" i="6"/>
  <c r="H279" i="6"/>
  <c r="H283" i="6"/>
  <c r="H284" i="6"/>
  <c r="H282" i="6"/>
  <c r="H286" i="6"/>
  <c r="H287" i="6"/>
  <c r="H288" i="6"/>
  <c r="H285" i="6"/>
  <c r="H293" i="6"/>
  <c r="H294" i="6"/>
  <c r="H296" i="6"/>
  <c r="H292" i="6"/>
  <c r="H257" i="6"/>
  <c r="H298" i="6"/>
  <c r="H302" i="6"/>
  <c r="H301" i="6"/>
  <c r="H304" i="6"/>
  <c r="H307" i="6"/>
  <c r="H311" i="6"/>
  <c r="H312" i="6"/>
  <c r="H310" i="6"/>
  <c r="H313" i="6"/>
  <c r="H316" i="6"/>
  <c r="H319" i="6"/>
  <c r="H297" i="6"/>
  <c r="H324" i="6"/>
  <c r="H325" i="6"/>
  <c r="H326" i="6"/>
  <c r="H327" i="6"/>
  <c r="H323" i="6"/>
  <c r="H329" i="6"/>
  <c r="H330" i="6"/>
  <c r="H331" i="6"/>
  <c r="H328" i="6"/>
  <c r="H334" i="6"/>
  <c r="H333" i="6"/>
  <c r="H322" i="6"/>
  <c r="H339" i="6"/>
  <c r="H338" i="6"/>
  <c r="H341" i="6"/>
  <c r="H340" i="6"/>
  <c r="H337" i="6"/>
  <c r="H344" i="6"/>
  <c r="H348" i="6"/>
  <c r="H347" i="6"/>
  <c r="H227" i="6"/>
  <c r="H352" i="6"/>
  <c r="H353" i="6"/>
  <c r="H351" i="6"/>
  <c r="H354" i="6"/>
  <c r="H358" i="6"/>
  <c r="H359" i="6"/>
  <c r="H357" i="6"/>
  <c r="H360" i="6"/>
  <c r="H363" i="6"/>
  <c r="H367" i="6"/>
  <c r="H368" i="6"/>
  <c r="H366" i="6"/>
  <c r="H370" i="6"/>
  <c r="H350" i="6"/>
  <c r="H375" i="6"/>
  <c r="H374" i="6"/>
  <c r="H378" i="6"/>
  <c r="H377" i="6"/>
  <c r="H380" i="6"/>
  <c r="H383" i="6"/>
  <c r="H400" i="6"/>
  <c r="H401" i="6"/>
  <c r="H399" i="6"/>
  <c r="H387" i="6"/>
  <c r="H386" i="6"/>
  <c r="H391" i="6"/>
  <c r="H390" i="6"/>
  <c r="H394" i="6"/>
  <c r="H393" i="6"/>
  <c r="H397" i="6"/>
  <c r="H396" i="6"/>
  <c r="H373" i="6"/>
  <c r="H405" i="6"/>
  <c r="H404" i="6"/>
  <c r="H408" i="6"/>
  <c r="H407" i="6"/>
  <c r="H410" i="6"/>
  <c r="H413" i="6"/>
  <c r="H403" i="6"/>
  <c r="H418" i="6"/>
  <c r="H419" i="6"/>
  <c r="H420" i="6"/>
  <c r="H421" i="6"/>
  <c r="H417" i="6"/>
  <c r="H422" i="6"/>
  <c r="H416" i="6"/>
  <c r="H427" i="6"/>
  <c r="H426" i="6"/>
  <c r="H430" i="6"/>
  <c r="H431" i="6"/>
  <c r="H429" i="6"/>
  <c r="H433" i="6"/>
  <c r="H432" i="6"/>
  <c r="H425" i="6"/>
  <c r="H437" i="6"/>
  <c r="H438" i="6"/>
  <c r="H436" i="6"/>
  <c r="H441" i="6"/>
  <c r="H440" i="6"/>
  <c r="H443" i="6"/>
  <c r="H447" i="6"/>
  <c r="H446" i="6"/>
  <c r="H449" i="6"/>
  <c r="H452" i="6"/>
  <c r="H435" i="6"/>
  <c r="H457" i="6"/>
  <c r="H456" i="6"/>
  <c r="H459" i="6"/>
  <c r="H463" i="6"/>
  <c r="H464" i="6"/>
  <c r="H462" i="6"/>
  <c r="H455" i="6"/>
  <c r="H467" i="6"/>
  <c r="H470" i="6"/>
  <c r="H473" i="6"/>
  <c r="H466" i="6"/>
  <c r="H477" i="6"/>
  <c r="H480" i="6"/>
  <c r="H483" i="6"/>
  <c r="H476" i="6"/>
  <c r="H349" i="6"/>
  <c r="H487" i="6"/>
  <c r="H488" i="6"/>
  <c r="H486" i="6"/>
  <c r="H491" i="6"/>
  <c r="H494" i="6"/>
  <c r="H497" i="6"/>
  <c r="H500" i="6"/>
  <c r="H490" i="6"/>
  <c r="H507" i="6"/>
  <c r="H503" i="6"/>
  <c r="H485" i="6"/>
  <c r="H511" i="6"/>
  <c r="H512" i="6"/>
  <c r="H513" i="6"/>
  <c r="H514" i="6"/>
  <c r="H515" i="6"/>
  <c r="H516" i="6"/>
  <c r="H510" i="6"/>
  <c r="H521" i="6"/>
  <c r="J510" i="6"/>
  <c r="J486" i="6"/>
  <c r="J490" i="6"/>
  <c r="J507" i="6"/>
  <c r="J503" i="6"/>
  <c r="J485" i="6"/>
  <c r="J349" i="6"/>
  <c r="J227" i="6"/>
  <c r="J29" i="6"/>
  <c r="J45" i="6"/>
  <c r="J75" i="6"/>
  <c r="J114" i="6"/>
  <c r="J124" i="6"/>
  <c r="J129" i="6"/>
  <c r="J108" i="6"/>
  <c r="J218" i="6"/>
  <c r="J28" i="6"/>
  <c r="J520" i="6"/>
  <c r="I510" i="6"/>
  <c r="I486" i="6"/>
  <c r="I490" i="6"/>
  <c r="I507" i="6"/>
  <c r="I503" i="6"/>
  <c r="I485" i="6"/>
  <c r="I349" i="6"/>
  <c r="I227" i="6"/>
  <c r="I29" i="6"/>
  <c r="I45" i="6"/>
  <c r="I75" i="6"/>
  <c r="I114" i="6"/>
  <c r="I124" i="6"/>
  <c r="I129" i="6"/>
  <c r="I108" i="6"/>
  <c r="I218" i="6"/>
  <c r="I28" i="6"/>
  <c r="I520" i="6"/>
  <c r="H520" i="6"/>
  <c r="G520" i="6"/>
  <c r="F520" i="6"/>
  <c r="E520" i="6"/>
  <c r="D520" i="6"/>
  <c r="B516" i="6"/>
  <c r="B515" i="6"/>
  <c r="B514" i="6"/>
  <c r="B513" i="6"/>
  <c r="B512" i="6"/>
  <c r="B511" i="6"/>
  <c r="M507" i="6"/>
  <c r="J497" i="6"/>
  <c r="I497" i="6"/>
  <c r="B488" i="6"/>
  <c r="B487" i="6"/>
  <c r="J476" i="6"/>
  <c r="I476" i="6"/>
  <c r="J466" i="6"/>
  <c r="I466" i="6"/>
  <c r="B464" i="6"/>
  <c r="B463" i="6"/>
  <c r="J459" i="6"/>
  <c r="I459" i="6"/>
  <c r="B457" i="6"/>
  <c r="J455" i="6"/>
  <c r="I455" i="6"/>
  <c r="J452" i="6"/>
  <c r="I452" i="6"/>
  <c r="B447" i="6"/>
  <c r="B441" i="6"/>
  <c r="J440" i="6"/>
  <c r="I440" i="6"/>
  <c r="B438" i="6"/>
  <c r="B437" i="6"/>
  <c r="J435" i="6"/>
  <c r="I435" i="6"/>
  <c r="B433" i="6"/>
  <c r="B431" i="6"/>
  <c r="B430" i="6"/>
  <c r="B427" i="6"/>
  <c r="J425" i="6"/>
  <c r="I425" i="6"/>
  <c r="B421" i="6"/>
  <c r="B420" i="6"/>
  <c r="B419" i="6"/>
  <c r="B418" i="6"/>
  <c r="J416" i="6"/>
  <c r="I416" i="6"/>
  <c r="B408" i="6"/>
  <c r="B405" i="6"/>
  <c r="J403" i="6"/>
  <c r="I403" i="6"/>
  <c r="G401" i="6"/>
  <c r="B401" i="6"/>
  <c r="B400" i="6"/>
  <c r="B397" i="6"/>
  <c r="B394" i="6"/>
  <c r="B391" i="6"/>
  <c r="B387" i="6"/>
  <c r="B378" i="6"/>
  <c r="J377" i="6"/>
  <c r="I377" i="6"/>
  <c r="B375" i="6"/>
  <c r="J374" i="6"/>
  <c r="I374" i="6"/>
  <c r="J373" i="6"/>
  <c r="I373" i="6"/>
  <c r="B368" i="6"/>
  <c r="B367" i="6"/>
  <c r="B353" i="6"/>
  <c r="B352" i="6"/>
  <c r="J351" i="6"/>
  <c r="I351" i="6"/>
  <c r="J350" i="6"/>
  <c r="I350" i="6"/>
  <c r="B348" i="6"/>
  <c r="J344" i="6"/>
  <c r="I344" i="6"/>
  <c r="B341" i="6"/>
  <c r="D340" i="6"/>
  <c r="B339" i="6"/>
  <c r="D338" i="6"/>
  <c r="J337" i="6"/>
  <c r="I337" i="6"/>
  <c r="B334" i="6"/>
  <c r="B331" i="6"/>
  <c r="B330" i="6"/>
  <c r="B329" i="6"/>
  <c r="B327" i="6"/>
  <c r="B326" i="6"/>
  <c r="B325" i="6"/>
  <c r="B324" i="6"/>
  <c r="J322" i="6"/>
  <c r="I322" i="6"/>
  <c r="I319" i="6"/>
  <c r="I316" i="6"/>
  <c r="I313" i="6"/>
  <c r="B312" i="6"/>
  <c r="B311" i="6"/>
  <c r="I310" i="6"/>
  <c r="I307" i="6"/>
  <c r="I304" i="6"/>
  <c r="B302" i="6"/>
  <c r="I301" i="6"/>
  <c r="I298" i="6"/>
  <c r="J297" i="6"/>
  <c r="I297" i="6"/>
  <c r="B293" i="6"/>
  <c r="I292" i="6"/>
  <c r="H291" i="6"/>
  <c r="H289" i="6"/>
  <c r="F289" i="6"/>
  <c r="G289" i="6"/>
  <c r="B289" i="6"/>
  <c r="B288" i="6"/>
  <c r="B287" i="6"/>
  <c r="B286" i="6"/>
  <c r="I285" i="6"/>
  <c r="B283" i="6"/>
  <c r="I282" i="6"/>
  <c r="B280" i="6"/>
  <c r="I279" i="6"/>
  <c r="B277" i="6"/>
  <c r="B276" i="6"/>
  <c r="B275" i="6"/>
  <c r="I274" i="6"/>
  <c r="B273" i="6"/>
  <c r="B272" i="6"/>
  <c r="B271" i="6"/>
  <c r="I270" i="6"/>
  <c r="B267" i="6"/>
  <c r="I266" i="6"/>
  <c r="B264" i="6"/>
  <c r="B263" i="6"/>
  <c r="B262" i="6"/>
  <c r="B261" i="6"/>
  <c r="B260" i="6"/>
  <c r="B259" i="6"/>
  <c r="I258" i="6"/>
  <c r="J257" i="6"/>
  <c r="I257" i="6"/>
  <c r="B255" i="6"/>
  <c r="B254" i="6"/>
  <c r="B253" i="6"/>
  <c r="B249" i="6"/>
  <c r="B246" i="6"/>
  <c r="B243" i="6"/>
  <c r="B242" i="6"/>
  <c r="B241" i="6"/>
  <c r="B240" i="6"/>
  <c r="B237" i="6"/>
  <c r="B233" i="6"/>
  <c r="B230" i="6"/>
  <c r="J228" i="6"/>
  <c r="I228" i="6"/>
  <c r="B226" i="6"/>
  <c r="B225" i="6"/>
  <c r="B224" i="6"/>
  <c r="B223" i="6"/>
  <c r="B222" i="6"/>
  <c r="B221" i="6"/>
  <c r="B220" i="6"/>
  <c r="B219" i="6"/>
  <c r="K218" i="6"/>
  <c r="B216" i="6"/>
  <c r="B215" i="6"/>
  <c r="B214" i="6"/>
  <c r="B211" i="6"/>
  <c r="B210" i="6"/>
  <c r="J203" i="6"/>
  <c r="I203" i="6"/>
  <c r="B201" i="6"/>
  <c r="B200" i="6"/>
  <c r="B199" i="6"/>
  <c r="B196" i="6"/>
  <c r="B195" i="6"/>
  <c r="B194" i="6"/>
  <c r="B190" i="6"/>
  <c r="B189" i="6"/>
  <c r="J187" i="6"/>
  <c r="I187" i="6"/>
  <c r="B185" i="6"/>
  <c r="B182" i="6"/>
  <c r="J178" i="6"/>
  <c r="I178" i="6"/>
  <c r="J168" i="6"/>
  <c r="I168" i="6"/>
  <c r="B160" i="6"/>
  <c r="B157" i="6"/>
  <c r="B154" i="6"/>
  <c r="B153" i="6"/>
  <c r="B150" i="6"/>
  <c r="B149" i="6"/>
  <c r="J147" i="6"/>
  <c r="I147" i="6"/>
  <c r="B145" i="6"/>
  <c r="J144" i="6"/>
  <c r="I144" i="6"/>
  <c r="B139" i="6"/>
  <c r="B136" i="6"/>
  <c r="B135" i="6"/>
  <c r="J134" i="6"/>
  <c r="I134" i="6"/>
  <c r="J133" i="6"/>
  <c r="I133" i="6"/>
  <c r="B131" i="6"/>
  <c r="B130" i="6"/>
  <c r="B127" i="6"/>
  <c r="B126" i="6"/>
  <c r="B125" i="6"/>
  <c r="B122" i="6"/>
  <c r="B121" i="6"/>
  <c r="B120" i="6"/>
  <c r="B119" i="6"/>
  <c r="B118" i="6"/>
  <c r="B117" i="6"/>
  <c r="B116" i="6"/>
  <c r="B115" i="6"/>
  <c r="B113" i="6"/>
  <c r="B112" i="6"/>
  <c r="B111" i="6"/>
  <c r="B110" i="6"/>
  <c r="J107" i="6"/>
  <c r="J106" i="6"/>
  <c r="B105" i="6"/>
  <c r="B104" i="6"/>
  <c r="J103" i="6"/>
  <c r="I103" i="6"/>
  <c r="B100" i="6"/>
  <c r="B99" i="6"/>
  <c r="B96" i="6"/>
  <c r="B95" i="6"/>
  <c r="J94" i="6"/>
  <c r="I94" i="6"/>
  <c r="B92" i="6"/>
  <c r="J88" i="6"/>
  <c r="I88" i="6"/>
  <c r="B86" i="6"/>
  <c r="B85" i="6"/>
  <c r="B82" i="6"/>
  <c r="B81" i="6"/>
  <c r="B80" i="6"/>
  <c r="B79" i="6"/>
  <c r="B78" i="6"/>
  <c r="B77" i="6"/>
  <c r="B74" i="6"/>
  <c r="B73" i="6"/>
  <c r="B72" i="6"/>
  <c r="B71" i="6"/>
  <c r="J70" i="6"/>
  <c r="I70" i="6"/>
  <c r="B69" i="6"/>
  <c r="B68" i="6"/>
  <c r="B67" i="6"/>
  <c r="B66" i="6"/>
  <c r="B65" i="6"/>
  <c r="J64" i="6"/>
  <c r="I64" i="6"/>
  <c r="B62" i="6"/>
  <c r="B61" i="6"/>
  <c r="B60" i="6"/>
  <c r="B57" i="6"/>
  <c r="B56" i="6"/>
  <c r="B53" i="6"/>
  <c r="B50" i="6"/>
  <c r="J49" i="6"/>
  <c r="I49" i="6"/>
  <c r="B48" i="6"/>
  <c r="B47" i="6"/>
  <c r="B44" i="6"/>
  <c r="B43" i="6"/>
  <c r="B42" i="6"/>
  <c r="B39" i="6"/>
  <c r="B38" i="6"/>
  <c r="B37" i="6"/>
  <c r="B36" i="6"/>
  <c r="B35" i="6"/>
  <c r="B33" i="6"/>
  <c r="B32" i="6"/>
  <c r="B31" i="6"/>
  <c r="B26" i="6"/>
  <c r="J25" i="6"/>
  <c r="I25" i="6"/>
  <c r="B23" i="6"/>
  <c r="J22" i="6"/>
  <c r="I22" i="6"/>
  <c r="J19" i="6"/>
  <c r="I19" i="6"/>
  <c r="B18" i="6"/>
  <c r="B17" i="6"/>
  <c r="J16" i="6"/>
  <c r="I16" i="6"/>
  <c r="J14" i="6"/>
  <c r="I14" i="6"/>
  <c r="B14" i="6"/>
  <c r="J13" i="6"/>
  <c r="I13" i="6"/>
  <c r="J11" i="6"/>
  <c r="I11" i="6"/>
  <c r="B11" i="6"/>
  <c r="J10" i="6"/>
  <c r="I10" i="6"/>
  <c r="B10" i="6"/>
  <c r="J9" i="6"/>
  <c r="I9" i="6"/>
  <c r="B6" i="6"/>
  <c r="J5" i="6"/>
  <c r="I5" i="6"/>
  <c r="J4" i="6"/>
  <c r="I4" i="6"/>
  <c r="J9" i="5"/>
  <c r="N9" i="5"/>
  <c r="J10" i="5"/>
  <c r="L10" i="5"/>
  <c r="N10" i="5"/>
  <c r="J11" i="5"/>
  <c r="L11" i="5"/>
  <c r="N11" i="5"/>
  <c r="J12" i="5"/>
  <c r="N12" i="5"/>
  <c r="J13" i="5"/>
  <c r="L13" i="5"/>
  <c r="N13" i="5"/>
  <c r="J14" i="5"/>
  <c r="N14" i="5"/>
  <c r="J15" i="5"/>
  <c r="N15" i="5"/>
  <c r="N8" i="5"/>
  <c r="J18" i="5"/>
  <c r="L18" i="5"/>
  <c r="N18" i="5"/>
  <c r="J19" i="5"/>
  <c r="N19" i="5"/>
  <c r="J20" i="5"/>
  <c r="N20" i="5"/>
  <c r="N17" i="5"/>
  <c r="J22" i="5"/>
  <c r="L22" i="5"/>
  <c r="N22" i="5"/>
  <c r="J23" i="5"/>
  <c r="N23" i="5"/>
  <c r="J24" i="5"/>
  <c r="N24" i="5"/>
  <c r="J25" i="5"/>
  <c r="N25" i="5"/>
  <c r="J26" i="5"/>
  <c r="N26" i="5"/>
  <c r="J27" i="5"/>
  <c r="L27" i="5"/>
  <c r="N27" i="5"/>
  <c r="N21" i="5"/>
  <c r="J29" i="5"/>
  <c r="N29" i="5"/>
  <c r="J30" i="5"/>
  <c r="N30" i="5"/>
  <c r="J31" i="5"/>
  <c r="N31" i="5"/>
  <c r="J32" i="5"/>
  <c r="N32" i="5"/>
  <c r="J33" i="5"/>
  <c r="L33" i="5"/>
  <c r="N33" i="5"/>
  <c r="J34" i="5"/>
  <c r="N34" i="5"/>
  <c r="J35" i="5"/>
  <c r="N35" i="5"/>
  <c r="N28" i="5"/>
  <c r="J37" i="5"/>
  <c r="N37" i="5"/>
  <c r="J38" i="5"/>
  <c r="L38" i="5"/>
  <c r="N38" i="5"/>
  <c r="J39" i="5"/>
  <c r="L39" i="5"/>
  <c r="N39" i="5"/>
  <c r="J40" i="5"/>
  <c r="L40" i="5"/>
  <c r="N40" i="5"/>
  <c r="N36" i="5"/>
  <c r="J42" i="5"/>
  <c r="N42" i="5"/>
  <c r="J43" i="5"/>
  <c r="L43" i="5"/>
  <c r="N43" i="5"/>
  <c r="J44" i="5"/>
  <c r="N44" i="5"/>
  <c r="J45" i="5"/>
  <c r="N45" i="5"/>
  <c r="N41" i="5"/>
  <c r="J49" i="5"/>
  <c r="N49" i="5"/>
  <c r="J50" i="5"/>
  <c r="L50" i="5"/>
  <c r="N50" i="5"/>
  <c r="J51" i="5"/>
  <c r="N51" i="5"/>
  <c r="J52" i="5"/>
  <c r="N52" i="5"/>
  <c r="J53" i="5"/>
  <c r="N53" i="5"/>
  <c r="J54" i="5"/>
  <c r="L54" i="5"/>
  <c r="N54" i="5"/>
  <c r="N48" i="5"/>
  <c r="J56" i="5"/>
  <c r="L56" i="5"/>
  <c r="N56" i="5"/>
  <c r="J57" i="5"/>
  <c r="L57" i="5"/>
  <c r="N57" i="5"/>
  <c r="J58" i="5"/>
  <c r="L58" i="5"/>
  <c r="N58" i="5"/>
  <c r="J59" i="5"/>
  <c r="L59" i="5"/>
  <c r="N59" i="5"/>
  <c r="J60" i="5"/>
  <c r="L60" i="5"/>
  <c r="N60" i="5"/>
  <c r="J61" i="5"/>
  <c r="L61" i="5"/>
  <c r="N61" i="5"/>
  <c r="N55" i="5"/>
  <c r="J63" i="5"/>
  <c r="L63" i="5"/>
  <c r="N63" i="5"/>
  <c r="J64" i="5"/>
  <c r="L64" i="5"/>
  <c r="N64" i="5"/>
  <c r="J65" i="5"/>
  <c r="L65" i="5"/>
  <c r="N65" i="5"/>
  <c r="J66" i="5"/>
  <c r="L66" i="5"/>
  <c r="N66" i="5"/>
  <c r="J67" i="5"/>
  <c r="L67" i="5"/>
  <c r="N67" i="5"/>
  <c r="J68" i="5"/>
  <c r="L68" i="5"/>
  <c r="N68" i="5"/>
  <c r="J69" i="5"/>
  <c r="L69" i="5"/>
  <c r="N69" i="5"/>
  <c r="N62" i="5"/>
  <c r="N16" i="5"/>
  <c r="J72" i="5"/>
  <c r="N72" i="5"/>
  <c r="J73" i="5"/>
  <c r="N73" i="5"/>
  <c r="J74" i="5"/>
  <c r="L74" i="5"/>
  <c r="N74" i="5"/>
  <c r="J75" i="5"/>
  <c r="L75" i="5"/>
  <c r="N75" i="5"/>
  <c r="J76" i="5"/>
  <c r="L76" i="5"/>
  <c r="N76" i="5"/>
  <c r="J77" i="5"/>
  <c r="N77" i="5"/>
  <c r="J78" i="5"/>
  <c r="N78" i="5"/>
  <c r="N71" i="5"/>
  <c r="J80" i="5"/>
  <c r="L80" i="5"/>
  <c r="N80" i="5"/>
  <c r="J81" i="5"/>
  <c r="L81" i="5"/>
  <c r="N81" i="5"/>
  <c r="J82" i="5"/>
  <c r="N82" i="5"/>
  <c r="J83" i="5"/>
  <c r="L83" i="5"/>
  <c r="N83" i="5"/>
  <c r="J84" i="5"/>
  <c r="L84" i="5"/>
  <c r="N84" i="5"/>
  <c r="J85" i="5"/>
  <c r="L85" i="5"/>
  <c r="N85" i="5"/>
  <c r="J86" i="5"/>
  <c r="L86" i="5"/>
  <c r="N86" i="5"/>
  <c r="J87" i="5"/>
  <c r="L87" i="5"/>
  <c r="N87" i="5"/>
  <c r="N79" i="5"/>
  <c r="J89" i="5"/>
  <c r="L89" i="5"/>
  <c r="N89" i="5"/>
  <c r="J90" i="5"/>
  <c r="L90" i="5"/>
  <c r="N90" i="5"/>
  <c r="J91" i="5"/>
  <c r="L91" i="5"/>
  <c r="N91" i="5"/>
  <c r="J92" i="5"/>
  <c r="L92" i="5"/>
  <c r="N92" i="5"/>
  <c r="J93" i="5"/>
  <c r="N93" i="5"/>
  <c r="J94" i="5"/>
  <c r="N94" i="5"/>
  <c r="J95" i="5"/>
  <c r="L95" i="5"/>
  <c r="N95" i="5"/>
  <c r="J96" i="5"/>
  <c r="L96" i="5"/>
  <c r="N96" i="5"/>
  <c r="N88" i="5"/>
  <c r="J98" i="5"/>
  <c r="L98" i="5"/>
  <c r="N98" i="5"/>
  <c r="J99" i="5"/>
  <c r="L99" i="5"/>
  <c r="N99" i="5"/>
  <c r="J100" i="5"/>
  <c r="L100" i="5"/>
  <c r="N100" i="5"/>
  <c r="N97" i="5"/>
  <c r="J102" i="5"/>
  <c r="N102" i="5"/>
  <c r="J103" i="5"/>
  <c r="N103" i="5"/>
  <c r="N101" i="5"/>
  <c r="J104" i="5"/>
  <c r="N104" i="5"/>
  <c r="N70" i="5"/>
  <c r="J107" i="5"/>
  <c r="L107" i="5"/>
  <c r="N107" i="5"/>
  <c r="J108" i="5"/>
  <c r="L108" i="5"/>
  <c r="N108" i="5"/>
  <c r="J109" i="5"/>
  <c r="L109" i="5"/>
  <c r="N109" i="5"/>
  <c r="J110" i="5"/>
  <c r="L110" i="5"/>
  <c r="N110" i="5"/>
  <c r="J111" i="5"/>
  <c r="L111" i="5"/>
  <c r="N111" i="5"/>
  <c r="J112" i="5"/>
  <c r="L112" i="5"/>
  <c r="N112" i="5"/>
  <c r="J113" i="5"/>
  <c r="L113" i="5"/>
  <c r="N113" i="5"/>
  <c r="N106" i="5"/>
  <c r="J115" i="5"/>
  <c r="L115" i="5"/>
  <c r="N115" i="5"/>
  <c r="J116" i="5"/>
  <c r="L116" i="5"/>
  <c r="N116" i="5"/>
  <c r="J117" i="5"/>
  <c r="L117" i="5"/>
  <c r="N117" i="5"/>
  <c r="J118" i="5"/>
  <c r="L118" i="5"/>
  <c r="N118" i="5"/>
  <c r="J119" i="5"/>
  <c r="L119" i="5"/>
  <c r="N119" i="5"/>
  <c r="J120" i="5"/>
  <c r="L120" i="5"/>
  <c r="N120" i="5"/>
  <c r="J121" i="5"/>
  <c r="L121" i="5"/>
  <c r="N121" i="5"/>
  <c r="J122" i="5"/>
  <c r="L122" i="5"/>
  <c r="N122" i="5"/>
  <c r="J123" i="5"/>
  <c r="L123" i="5"/>
  <c r="N123" i="5"/>
  <c r="N114" i="5"/>
  <c r="J125" i="5"/>
  <c r="L125" i="5"/>
  <c r="N125" i="5"/>
  <c r="J126" i="5"/>
  <c r="L126" i="5"/>
  <c r="N126" i="5"/>
  <c r="J127" i="5"/>
  <c r="L127" i="5"/>
  <c r="N127" i="5"/>
  <c r="J128" i="5"/>
  <c r="L128" i="5"/>
  <c r="N128" i="5"/>
  <c r="N124" i="5"/>
  <c r="J130" i="5"/>
  <c r="L130" i="5"/>
  <c r="N130" i="5"/>
  <c r="J131" i="5"/>
  <c r="L131" i="5"/>
  <c r="N131" i="5"/>
  <c r="N129" i="5"/>
  <c r="J133" i="5"/>
  <c r="N133" i="5"/>
  <c r="J134" i="5"/>
  <c r="L134" i="5"/>
  <c r="N134" i="5"/>
  <c r="J135" i="5"/>
  <c r="L135" i="5"/>
  <c r="N135" i="5"/>
  <c r="N132" i="5"/>
  <c r="J137" i="5"/>
  <c r="L137" i="5"/>
  <c r="N137" i="5"/>
  <c r="J138" i="5"/>
  <c r="L138" i="5"/>
  <c r="N138" i="5"/>
  <c r="J139" i="5"/>
  <c r="N139" i="5"/>
  <c r="J140" i="5"/>
  <c r="L140" i="5"/>
  <c r="N140" i="5"/>
  <c r="J141" i="5"/>
  <c r="L141" i="5"/>
  <c r="N141" i="5"/>
  <c r="J142" i="5"/>
  <c r="L142" i="5"/>
  <c r="N142" i="5"/>
  <c r="N136" i="5"/>
  <c r="J144" i="5"/>
  <c r="N144" i="5"/>
  <c r="J145" i="5"/>
  <c r="N145" i="5"/>
  <c r="J146" i="5"/>
  <c r="N146" i="5"/>
  <c r="N143" i="5"/>
  <c r="J148" i="5"/>
  <c r="L148" i="5"/>
  <c r="N148" i="5"/>
  <c r="J149" i="5"/>
  <c r="L149" i="5"/>
  <c r="N149" i="5"/>
  <c r="J150" i="5"/>
  <c r="L150" i="5"/>
  <c r="N150" i="5"/>
  <c r="N147" i="5"/>
  <c r="J152" i="5"/>
  <c r="L152" i="5"/>
  <c r="N152" i="5"/>
  <c r="J153" i="5"/>
  <c r="L153" i="5"/>
  <c r="N153" i="5"/>
  <c r="J154" i="5"/>
  <c r="L154" i="5"/>
  <c r="N154" i="5"/>
  <c r="N151" i="5"/>
  <c r="N105" i="5"/>
  <c r="J156" i="5"/>
  <c r="L156" i="5"/>
  <c r="N156" i="5"/>
  <c r="J158" i="5"/>
  <c r="L158" i="5"/>
  <c r="N158" i="5"/>
  <c r="J159" i="5"/>
  <c r="L159" i="5"/>
  <c r="N159" i="5"/>
  <c r="J160" i="5"/>
  <c r="L160" i="5"/>
  <c r="N160" i="5"/>
  <c r="J161" i="5"/>
  <c r="L161" i="5"/>
  <c r="N161" i="5"/>
  <c r="N157" i="5"/>
  <c r="N155" i="5"/>
  <c r="J163" i="5"/>
  <c r="L163" i="5"/>
  <c r="N163" i="5"/>
  <c r="N164" i="5"/>
  <c r="N167" i="5"/>
  <c r="L168" i="5"/>
  <c r="N168" i="5"/>
  <c r="J169" i="5"/>
  <c r="L169" i="5"/>
  <c r="N169" i="5"/>
  <c r="J170" i="5"/>
  <c r="L170" i="5"/>
  <c r="N170" i="5"/>
  <c r="N171" i="5"/>
  <c r="J172" i="5"/>
  <c r="L165" i="5"/>
  <c r="L172" i="5"/>
  <c r="N172" i="5"/>
  <c r="N173" i="5"/>
  <c r="N174" i="5"/>
  <c r="N175" i="5"/>
  <c r="N177" i="5"/>
  <c r="N178" i="5"/>
  <c r="N179" i="5"/>
  <c r="N180" i="5"/>
  <c r="N176" i="5"/>
  <c r="O168" i="5"/>
  <c r="O167" i="5"/>
  <c r="O9" i="5"/>
  <c r="O10" i="5"/>
  <c r="O11" i="5"/>
  <c r="O12" i="5"/>
  <c r="O13" i="5"/>
  <c r="O14" i="5"/>
  <c r="O15" i="5"/>
  <c r="O8" i="5"/>
  <c r="O18" i="5"/>
  <c r="O19" i="5"/>
  <c r="O20" i="5"/>
  <c r="O17" i="5"/>
  <c r="O22" i="5"/>
  <c r="O23" i="5"/>
  <c r="O24" i="5"/>
  <c r="O25" i="5"/>
  <c r="O26" i="5"/>
  <c r="O27" i="5"/>
  <c r="O21" i="5"/>
  <c r="O29" i="5"/>
  <c r="O30" i="5"/>
  <c r="O31" i="5"/>
  <c r="O32" i="5"/>
  <c r="O33" i="5"/>
  <c r="O34" i="5"/>
  <c r="O35" i="5"/>
  <c r="O28" i="5"/>
  <c r="O37" i="5"/>
  <c r="O38" i="5"/>
  <c r="O39" i="5"/>
  <c r="O40" i="5"/>
  <c r="O36" i="5"/>
  <c r="O42" i="5"/>
  <c r="O43" i="5"/>
  <c r="O44" i="5"/>
  <c r="O45" i="5"/>
  <c r="O41" i="5"/>
  <c r="O49" i="5"/>
  <c r="O50" i="5"/>
  <c r="O51" i="5"/>
  <c r="O52" i="5"/>
  <c r="O53" i="5"/>
  <c r="O54" i="5"/>
  <c r="O48" i="5"/>
  <c r="O56" i="5"/>
  <c r="O57" i="5"/>
  <c r="O58" i="5"/>
  <c r="O59" i="5"/>
  <c r="O60" i="5"/>
  <c r="O61" i="5"/>
  <c r="O55" i="5"/>
  <c r="O63" i="5"/>
  <c r="O64" i="5"/>
  <c r="O65" i="5"/>
  <c r="O66" i="5"/>
  <c r="O67" i="5"/>
  <c r="O68" i="5"/>
  <c r="O69" i="5"/>
  <c r="O62" i="5"/>
  <c r="O16" i="5"/>
  <c r="O72" i="5"/>
  <c r="O73" i="5"/>
  <c r="O74" i="5"/>
  <c r="O75" i="5"/>
  <c r="O76" i="5"/>
  <c r="O77" i="5"/>
  <c r="O78" i="5"/>
  <c r="O71" i="5"/>
  <c r="O80" i="5"/>
  <c r="O81" i="5"/>
  <c r="O82" i="5"/>
  <c r="O83" i="5"/>
  <c r="O84" i="5"/>
  <c r="O85" i="5"/>
  <c r="O86" i="5"/>
  <c r="O87" i="5"/>
  <c r="O79" i="5"/>
  <c r="O89" i="5"/>
  <c r="O90" i="5"/>
  <c r="O91" i="5"/>
  <c r="O92" i="5"/>
  <c r="O93" i="5"/>
  <c r="O94" i="5"/>
  <c r="O95" i="5"/>
  <c r="O96" i="5"/>
  <c r="O88" i="5"/>
  <c r="O98" i="5"/>
  <c r="O99" i="5"/>
  <c r="O100" i="5"/>
  <c r="O97" i="5"/>
  <c r="O102" i="5"/>
  <c r="O103" i="5"/>
  <c r="O101" i="5"/>
  <c r="O104" i="5"/>
  <c r="O70" i="5"/>
  <c r="O107" i="5"/>
  <c r="O108" i="5"/>
  <c r="O109" i="5"/>
  <c r="O110" i="5"/>
  <c r="O111" i="5"/>
  <c r="O112" i="5"/>
  <c r="O113" i="5"/>
  <c r="O106" i="5"/>
  <c r="O115" i="5"/>
  <c r="O116" i="5"/>
  <c r="O117" i="5"/>
  <c r="O118" i="5"/>
  <c r="O119" i="5"/>
  <c r="O120" i="5"/>
  <c r="O121" i="5"/>
  <c r="O122" i="5"/>
  <c r="O123" i="5"/>
  <c r="O114" i="5"/>
  <c r="O125" i="5"/>
  <c r="O126" i="5"/>
  <c r="O127" i="5"/>
  <c r="O128" i="5"/>
  <c r="O124" i="5"/>
  <c r="O130" i="5"/>
  <c r="O131" i="5"/>
  <c r="O129" i="5"/>
  <c r="O133" i="5"/>
  <c r="O134" i="5"/>
  <c r="O135" i="5"/>
  <c r="O132" i="5"/>
  <c r="O137" i="5"/>
  <c r="O138" i="5"/>
  <c r="O139" i="5"/>
  <c r="O140" i="5"/>
  <c r="O141" i="5"/>
  <c r="O142" i="5"/>
  <c r="O136" i="5"/>
  <c r="O144" i="5"/>
  <c r="O145" i="5"/>
  <c r="O146" i="5"/>
  <c r="O143" i="5"/>
  <c r="O148" i="5"/>
  <c r="O149" i="5"/>
  <c r="O150" i="5"/>
  <c r="O147" i="5"/>
  <c r="O152" i="5"/>
  <c r="O153" i="5"/>
  <c r="O154" i="5"/>
  <c r="O151" i="5"/>
  <c r="O105" i="5"/>
  <c r="O156" i="5"/>
  <c r="O158" i="5"/>
  <c r="O159" i="5"/>
  <c r="O160" i="5"/>
  <c r="O161" i="5"/>
  <c r="O157" i="5"/>
  <c r="O162" i="5"/>
  <c r="O155" i="5"/>
  <c r="O163" i="5"/>
  <c r="O164" i="5"/>
  <c r="M164" i="5"/>
  <c r="L8" i="5"/>
  <c r="L17" i="5"/>
  <c r="L21" i="5"/>
  <c r="L28" i="5"/>
  <c r="L36" i="5"/>
  <c r="L41" i="5"/>
  <c r="L48" i="5"/>
  <c r="L55" i="5"/>
  <c r="L62" i="5"/>
  <c r="L16" i="5"/>
  <c r="L71" i="5"/>
  <c r="L79" i="5"/>
  <c r="L88" i="5"/>
  <c r="L97" i="5"/>
  <c r="L101" i="5"/>
  <c r="L70" i="5"/>
  <c r="L106" i="5"/>
  <c r="L114" i="5"/>
  <c r="L124" i="5"/>
  <c r="L129" i="5"/>
  <c r="L132" i="5"/>
  <c r="L136" i="5"/>
  <c r="L143" i="5"/>
  <c r="L147" i="5"/>
  <c r="L151" i="5"/>
  <c r="L105" i="5"/>
  <c r="L157" i="5"/>
  <c r="L155" i="5"/>
  <c r="L164" i="5"/>
  <c r="J8" i="5"/>
  <c r="J17" i="5"/>
  <c r="J21" i="5"/>
  <c r="J28" i="5"/>
  <c r="J36" i="5"/>
  <c r="J41" i="5"/>
  <c r="J48" i="5"/>
  <c r="J55" i="5"/>
  <c r="J62" i="5"/>
  <c r="J16" i="5"/>
  <c r="J71" i="5"/>
  <c r="J79" i="5"/>
  <c r="J88" i="5"/>
  <c r="J97" i="5"/>
  <c r="J101" i="5"/>
  <c r="J70" i="5"/>
  <c r="J106" i="5"/>
  <c r="J114" i="5"/>
  <c r="J124" i="5"/>
  <c r="J129" i="5"/>
  <c r="J132" i="5"/>
  <c r="J136" i="5"/>
  <c r="J143" i="5"/>
  <c r="J147" i="5"/>
  <c r="J151" i="5"/>
  <c r="J105" i="5"/>
  <c r="J157" i="5"/>
  <c r="J162" i="5"/>
  <c r="J155" i="5"/>
  <c r="J164" i="5"/>
  <c r="I8" i="5"/>
  <c r="I17" i="5"/>
  <c r="I21" i="5"/>
  <c r="I28" i="5"/>
  <c r="I36" i="5"/>
  <c r="I41" i="5"/>
  <c r="I48" i="5"/>
  <c r="I55" i="5"/>
  <c r="I62" i="5"/>
  <c r="I16" i="5"/>
  <c r="I71" i="5"/>
  <c r="I79" i="5"/>
  <c r="I88" i="5"/>
  <c r="I97" i="5"/>
  <c r="I101" i="5"/>
  <c r="I70" i="5"/>
  <c r="I106" i="5"/>
  <c r="I114" i="5"/>
  <c r="I124" i="5"/>
  <c r="I129" i="5"/>
  <c r="I132" i="5"/>
  <c r="I136" i="5"/>
  <c r="I143" i="5"/>
  <c r="I147" i="5"/>
  <c r="I151" i="5"/>
  <c r="I105" i="5"/>
  <c r="I157" i="5"/>
  <c r="I155" i="5"/>
  <c r="I164" i="5"/>
  <c r="H8" i="5"/>
  <c r="H17" i="5"/>
  <c r="H21" i="5"/>
  <c r="H28" i="5"/>
  <c r="H36" i="5"/>
  <c r="H41" i="5"/>
  <c r="H48" i="5"/>
  <c r="H55" i="5"/>
  <c r="H62" i="5"/>
  <c r="H16" i="5"/>
  <c r="H71" i="5"/>
  <c r="H79" i="5"/>
  <c r="H88" i="5"/>
  <c r="H97" i="5"/>
  <c r="H101" i="5"/>
  <c r="H70" i="5"/>
  <c r="H106" i="5"/>
  <c r="H114" i="5"/>
  <c r="H124" i="5"/>
  <c r="H129" i="5"/>
  <c r="H132" i="5"/>
  <c r="H136" i="5"/>
  <c r="H143" i="5"/>
  <c r="H147" i="5"/>
  <c r="H151" i="5"/>
  <c r="H105" i="5"/>
  <c r="H157" i="5"/>
  <c r="H155" i="5"/>
  <c r="H164" i="5"/>
  <c r="G8" i="5"/>
  <c r="G17" i="5"/>
  <c r="G21" i="5"/>
  <c r="G28" i="5"/>
  <c r="G36" i="5"/>
  <c r="G41" i="5"/>
  <c r="G48" i="5"/>
  <c r="G55" i="5"/>
  <c r="G62" i="5"/>
  <c r="G16" i="5"/>
  <c r="G71" i="5"/>
  <c r="G79" i="5"/>
  <c r="G88" i="5"/>
  <c r="G97" i="5"/>
  <c r="G101" i="5"/>
  <c r="G70" i="5"/>
  <c r="G106" i="5"/>
  <c r="G114" i="5"/>
  <c r="G124" i="5"/>
  <c r="G129" i="5"/>
  <c r="G132" i="5"/>
  <c r="G136" i="5"/>
  <c r="G143" i="5"/>
  <c r="G147" i="5"/>
  <c r="G151" i="5"/>
  <c r="G105" i="5"/>
  <c r="G157" i="5"/>
  <c r="G155" i="5"/>
  <c r="G164" i="5"/>
  <c r="F8" i="5"/>
  <c r="F17" i="5"/>
  <c r="F21" i="5"/>
  <c r="F28" i="5"/>
  <c r="F36" i="5"/>
  <c r="F41" i="5"/>
  <c r="F48" i="5"/>
  <c r="F55" i="5"/>
  <c r="F62" i="5"/>
  <c r="F16" i="5"/>
  <c r="F71" i="5"/>
  <c r="F79" i="5"/>
  <c r="F88" i="5"/>
  <c r="F97" i="5"/>
  <c r="F101" i="5"/>
  <c r="F70" i="5"/>
  <c r="F106" i="5"/>
  <c r="F114" i="5"/>
  <c r="F124" i="5"/>
  <c r="F129" i="5"/>
  <c r="F132" i="5"/>
  <c r="F136" i="5"/>
  <c r="F143" i="5"/>
  <c r="F147" i="5"/>
  <c r="F151" i="5"/>
  <c r="F105" i="5"/>
  <c r="F157" i="5"/>
  <c r="F155" i="5"/>
  <c r="F164" i="5"/>
  <c r="D8" i="5"/>
  <c r="D17" i="5"/>
  <c r="D21" i="5"/>
  <c r="D28" i="5"/>
  <c r="D36" i="5"/>
  <c r="D41" i="5"/>
  <c r="D48" i="5"/>
  <c r="D55" i="5"/>
  <c r="D62" i="5"/>
  <c r="D16" i="5"/>
  <c r="D71" i="5"/>
  <c r="D79" i="5"/>
  <c r="D88" i="5"/>
  <c r="D97" i="5"/>
  <c r="D101" i="5"/>
  <c r="D70" i="5"/>
  <c r="D106" i="5"/>
  <c r="D114" i="5"/>
  <c r="D124" i="5"/>
  <c r="D129" i="5"/>
  <c r="D132" i="5"/>
  <c r="D136" i="5"/>
  <c r="D143" i="5"/>
  <c r="D147" i="5"/>
  <c r="D151" i="5"/>
  <c r="D105" i="5"/>
  <c r="D157" i="5"/>
  <c r="D155" i="5"/>
  <c r="D164" i="5"/>
  <c r="C9" i="5"/>
  <c r="C10" i="5"/>
  <c r="C11" i="5"/>
  <c r="C12" i="5"/>
  <c r="C13" i="5"/>
  <c r="C14" i="5"/>
  <c r="C15" i="5"/>
  <c r="C8" i="5"/>
  <c r="C18" i="5"/>
  <c r="C19" i="5"/>
  <c r="C20" i="5"/>
  <c r="C17" i="5"/>
  <c r="C22" i="5"/>
  <c r="C23" i="5"/>
  <c r="C24" i="5"/>
  <c r="C25" i="5"/>
  <c r="C26" i="5"/>
  <c r="C27" i="5"/>
  <c r="C21" i="5"/>
  <c r="C29" i="5"/>
  <c r="C30" i="5"/>
  <c r="C31" i="5"/>
  <c r="C32" i="5"/>
  <c r="C33" i="5"/>
  <c r="C34" i="5"/>
  <c r="C35" i="5"/>
  <c r="C28" i="5"/>
  <c r="C37" i="5"/>
  <c r="C38" i="5"/>
  <c r="C39" i="5"/>
  <c r="C40" i="5"/>
  <c r="C36" i="5"/>
  <c r="C42" i="5"/>
  <c r="C43" i="5"/>
  <c r="C44" i="5"/>
  <c r="C45" i="5"/>
  <c r="C41" i="5"/>
  <c r="C49" i="5"/>
  <c r="C50" i="5"/>
  <c r="C51" i="5"/>
  <c r="C52" i="5"/>
  <c r="C53" i="5"/>
  <c r="C54" i="5"/>
  <c r="C48" i="5"/>
  <c r="C56" i="5"/>
  <c r="C57" i="5"/>
  <c r="C58" i="5"/>
  <c r="C59" i="5"/>
  <c r="C60" i="5"/>
  <c r="C61" i="5"/>
  <c r="C55" i="5"/>
  <c r="C63" i="5"/>
  <c r="C64" i="5"/>
  <c r="C65" i="5"/>
  <c r="C66" i="5"/>
  <c r="C67" i="5"/>
  <c r="C68" i="5"/>
  <c r="C69" i="5"/>
  <c r="C62" i="5"/>
  <c r="C16" i="5"/>
  <c r="C72" i="5"/>
  <c r="C73" i="5"/>
  <c r="C74" i="5"/>
  <c r="C75" i="5"/>
  <c r="C76" i="5"/>
  <c r="C77" i="5"/>
  <c r="C78" i="5"/>
  <c r="C71" i="5"/>
  <c r="C80" i="5"/>
  <c r="C81" i="5"/>
  <c r="C82" i="5"/>
  <c r="C83" i="5"/>
  <c r="C84" i="5"/>
  <c r="C85" i="5"/>
  <c r="C86" i="5"/>
  <c r="C87" i="5"/>
  <c r="C79" i="5"/>
  <c r="C89" i="5"/>
  <c r="C90" i="5"/>
  <c r="C91" i="5"/>
  <c r="C92" i="5"/>
  <c r="C93" i="5"/>
  <c r="C94" i="5"/>
  <c r="C95" i="5"/>
  <c r="C96" i="5"/>
  <c r="C88" i="5"/>
  <c r="C98" i="5"/>
  <c r="C99" i="5"/>
  <c r="C100" i="5"/>
  <c r="C97" i="5"/>
  <c r="C102" i="5"/>
  <c r="C103" i="5"/>
  <c r="C101" i="5"/>
  <c r="C104" i="5"/>
  <c r="C70" i="5"/>
  <c r="C107" i="5"/>
  <c r="C108" i="5"/>
  <c r="C109" i="5"/>
  <c r="C110" i="5"/>
  <c r="C111" i="5"/>
  <c r="C112" i="5"/>
  <c r="C113" i="5"/>
  <c r="C106" i="5"/>
  <c r="C115" i="5"/>
  <c r="C116" i="5"/>
  <c r="C117" i="5"/>
  <c r="C118" i="5"/>
  <c r="C119" i="5"/>
  <c r="C120" i="5"/>
  <c r="C121" i="5"/>
  <c r="C122" i="5"/>
  <c r="C123" i="5"/>
  <c r="C114" i="5"/>
  <c r="C125" i="5"/>
  <c r="C126" i="5"/>
  <c r="C127" i="5"/>
  <c r="C128" i="5"/>
  <c r="C124" i="5"/>
  <c r="C130" i="5"/>
  <c r="C131" i="5"/>
  <c r="C129" i="5"/>
  <c r="C133" i="5"/>
  <c r="C134" i="5"/>
  <c r="C135" i="5"/>
  <c r="C132" i="5"/>
  <c r="C137" i="5"/>
  <c r="C138" i="5"/>
  <c r="C139" i="5"/>
  <c r="C140" i="5"/>
  <c r="C141" i="5"/>
  <c r="C142" i="5"/>
  <c r="C136" i="5"/>
  <c r="C144" i="5"/>
  <c r="C145" i="5"/>
  <c r="C146" i="5"/>
  <c r="C143" i="5"/>
  <c r="C148" i="5"/>
  <c r="C149" i="5"/>
  <c r="C150" i="5"/>
  <c r="C147" i="5"/>
  <c r="C152" i="5"/>
  <c r="C153" i="5"/>
  <c r="C154" i="5"/>
  <c r="C151" i="5"/>
  <c r="C105" i="5"/>
  <c r="C156" i="5"/>
  <c r="C158" i="5"/>
  <c r="C159" i="5"/>
  <c r="C160" i="5"/>
  <c r="C161" i="5"/>
  <c r="C157" i="5"/>
  <c r="C162" i="5"/>
  <c r="C155" i="5"/>
  <c r="C163" i="5"/>
  <c r="C164" i="5"/>
  <c r="J47" i="5"/>
  <c r="N47" i="5"/>
  <c r="O47" i="5"/>
  <c r="C47" i="5"/>
  <c r="J46" i="5"/>
  <c r="N46" i="5"/>
  <c r="O46" i="5"/>
  <c r="C46" i="5"/>
  <c r="D162" i="1"/>
  <c r="O162" i="1"/>
  <c r="J162" i="1"/>
  <c r="C162" i="1"/>
  <c r="F161" i="1"/>
  <c r="J161" i="1"/>
  <c r="D161" i="1"/>
  <c r="L161" i="1"/>
  <c r="N161" i="1"/>
  <c r="O161" i="1"/>
  <c r="C161" i="1"/>
  <c r="F160" i="1"/>
  <c r="J160" i="1"/>
  <c r="D160" i="1"/>
  <c r="L160" i="1"/>
  <c r="N160" i="1"/>
  <c r="O160" i="1"/>
  <c r="C160" i="1"/>
  <c r="F159" i="1"/>
  <c r="J159" i="1"/>
  <c r="D159" i="1"/>
  <c r="L159" i="1"/>
  <c r="N159" i="1"/>
  <c r="O159" i="1"/>
  <c r="C159" i="1"/>
  <c r="F158" i="1"/>
  <c r="J158" i="1"/>
  <c r="D158" i="1"/>
  <c r="L158" i="1"/>
  <c r="N158" i="1"/>
  <c r="O158" i="1"/>
  <c r="C158" i="1"/>
  <c r="O157" i="1"/>
  <c r="N157" i="1"/>
  <c r="L157" i="1"/>
  <c r="J157" i="1"/>
  <c r="I157" i="1"/>
  <c r="H157" i="1"/>
  <c r="G157" i="1"/>
  <c r="F157" i="1"/>
  <c r="D157" i="1"/>
  <c r="F156" i="1"/>
  <c r="J156" i="1"/>
  <c r="D156" i="1"/>
  <c r="L156" i="1"/>
  <c r="N156" i="1"/>
  <c r="O156" i="1"/>
</calcChain>
</file>

<file path=xl/sharedStrings.xml><?xml version="1.0" encoding="utf-8"?>
<sst xmlns="http://schemas.openxmlformats.org/spreadsheetml/2006/main" count="3773" uniqueCount="1463">
  <si>
    <t>一</t>
  </si>
  <si>
    <t>土地及大配套费</t>
    <phoneticPr fontId="3" type="noConversion"/>
  </si>
  <si>
    <t>土地费</t>
  </si>
  <si>
    <t>大配套费</t>
  </si>
  <si>
    <t>蓟县博御园项目动态成本分析表</t>
  </si>
  <si>
    <t>项           目</t>
  </si>
  <si>
    <t>原目标成本</t>
  </si>
  <si>
    <t>新目标成本</t>
  </si>
  <si>
    <t>已发生（万元）</t>
  </si>
  <si>
    <t>待发生成本（万元）</t>
  </si>
  <si>
    <t>成本增加（动态-目标）</t>
  </si>
  <si>
    <t>差异说明</t>
  </si>
  <si>
    <t>销售面积</t>
  </si>
  <si>
    <t>截至上月已发生</t>
  </si>
  <si>
    <t>本月</t>
  </si>
  <si>
    <t>已发生成本</t>
  </si>
  <si>
    <t>分析</t>
  </si>
  <si>
    <t>待发生成本</t>
  </si>
  <si>
    <t>总投资（万元）</t>
  </si>
  <si>
    <t>合同值</t>
  </si>
  <si>
    <t>结算差异</t>
  </si>
  <si>
    <t>①</t>
  </si>
  <si>
    <t>②</t>
  </si>
  <si>
    <t>③</t>
  </si>
  <si>
    <t>④</t>
  </si>
  <si>
    <t>⑤</t>
  </si>
  <si>
    <t>⑥=②+③+④+⑤</t>
  </si>
  <si>
    <t>⑦</t>
  </si>
  <si>
    <t>⑧=⑥+⑦</t>
  </si>
  <si>
    <t>⑧-①</t>
  </si>
  <si>
    <r>
      <t>控制指标</t>
    </r>
    <r>
      <rPr>
        <b/>
        <sz val="8"/>
        <rFont val="宋体"/>
        <family val="3"/>
        <charset val="134"/>
      </rPr>
      <t>（元/m3）</t>
    </r>
    <phoneticPr fontId="3" type="noConversion"/>
  </si>
  <si>
    <t>第一大类控制指标之和</t>
    <phoneticPr fontId="3" type="noConversion"/>
  </si>
  <si>
    <t>土地契税</t>
  </si>
  <si>
    <t>土地契税：（土地+大配套费）*3%；合同额：1196.756417万元（按容积率1.1计算的大配套费）</t>
  </si>
  <si>
    <t>土地交易费</t>
  </si>
  <si>
    <t>印花税</t>
  </si>
  <si>
    <t>交易手续费</t>
  </si>
  <si>
    <t>拍卖佣金</t>
  </si>
  <si>
    <t xml:space="preserve">D10/$D$4*10000 </t>
    <phoneticPr fontId="3" type="noConversion"/>
  </si>
  <si>
    <t xml:space="preserve">D11/$D$4*10000 </t>
    <phoneticPr fontId="3" type="noConversion"/>
  </si>
  <si>
    <t>同上</t>
    <phoneticPr fontId="3" type="noConversion"/>
  </si>
  <si>
    <t>第一大类总投资之和</t>
    <phoneticPr fontId="3" type="noConversion"/>
  </si>
  <si>
    <t>第一大类新目标成本之和</t>
    <phoneticPr fontId="3" type="noConversion"/>
  </si>
  <si>
    <t>？</t>
  </si>
  <si>
    <t>？</t>
    <phoneticPr fontId="3" type="noConversion"/>
  </si>
  <si>
    <t>第一大类合同值之和</t>
    <phoneticPr fontId="3" type="noConversion"/>
  </si>
  <si>
    <t>成本明细表 土地出让金成本总额</t>
    <phoneticPr fontId="3" type="noConversion"/>
  </si>
  <si>
    <t>成本明细表 大配套费成本总额</t>
    <phoneticPr fontId="3" type="noConversion"/>
  </si>
  <si>
    <t>成本明细表 大配套费已发生合同总额/10000</t>
    <phoneticPr fontId="3" type="noConversion"/>
  </si>
  <si>
    <t>成本明细表 土地契税已发生合同总额/10000</t>
    <phoneticPr fontId="3" type="noConversion"/>
  </si>
  <si>
    <t>成本明细表 土地交易费已发生合同总额/10000</t>
    <phoneticPr fontId="3" type="noConversion"/>
  </si>
  <si>
    <t>成本明细表 印花税已发生合同总额/10000</t>
    <phoneticPr fontId="3" type="noConversion"/>
  </si>
  <si>
    <t>成本明细表 交易手续费已发生合同总额/10000</t>
    <phoneticPr fontId="3" type="noConversion"/>
  </si>
  <si>
    <t>成本明细表 拍卖佣金已发生合同总额/10000</t>
    <phoneticPr fontId="3" type="noConversion"/>
  </si>
  <si>
    <t>第一大类结算差异之和</t>
    <phoneticPr fontId="3" type="noConversion"/>
  </si>
  <si>
    <t>？</t>
    <phoneticPr fontId="3" type="noConversion"/>
  </si>
  <si>
    <t>合同值</t>
    <phoneticPr fontId="3" type="noConversion"/>
  </si>
  <si>
    <t>第一大类合同值之和</t>
    <phoneticPr fontId="3" type="noConversion"/>
  </si>
  <si>
    <t>结算差异</t>
    <phoneticPr fontId="3" type="noConversion"/>
  </si>
  <si>
    <t>⑥=②+③+④+⑤</t>
    <phoneticPr fontId="3" type="noConversion"/>
  </si>
  <si>
    <t>第一大类结算差异之和</t>
    <phoneticPr fontId="3" type="noConversion"/>
  </si>
  <si>
    <t>已发生成本</t>
    <phoneticPr fontId="3" type="noConversion"/>
  </si>
  <si>
    <t>⑥=②+③+④+⑤</t>
    <phoneticPr fontId="3" type="noConversion"/>
  </si>
  <si>
    <t>?</t>
    <phoneticPr fontId="3" type="noConversion"/>
  </si>
  <si>
    <t>第一大类已发生成本之和</t>
    <phoneticPr fontId="3" type="noConversion"/>
  </si>
  <si>
    <t>待发生成本</t>
    <phoneticPr fontId="3" type="noConversion"/>
  </si>
  <si>
    <t>第一大类待发生成本之和</t>
    <phoneticPr fontId="3" type="noConversion"/>
  </si>
  <si>
    <t>本月动态成本（万元）</t>
    <phoneticPr fontId="3" type="noConversion"/>
  </si>
  <si>
    <t>J9+L9</t>
    <phoneticPr fontId="3" type="noConversion"/>
  </si>
  <si>
    <t>J10+L10</t>
    <phoneticPr fontId="3" type="noConversion"/>
  </si>
  <si>
    <t>第一大类本月动态成本之和</t>
    <phoneticPr fontId="3" type="noConversion"/>
  </si>
  <si>
    <t>第一大类本月成本增加之和</t>
    <phoneticPr fontId="3" type="noConversion"/>
  </si>
  <si>
    <t>N9-D9</t>
    <phoneticPr fontId="3" type="noConversion"/>
  </si>
  <si>
    <t>N10-D10</t>
    <phoneticPr fontId="3" type="noConversion"/>
  </si>
  <si>
    <t>来源？</t>
    <phoneticPr fontId="3" type="noConversion"/>
  </si>
  <si>
    <t>来源？</t>
    <phoneticPr fontId="3" type="noConversion"/>
  </si>
  <si>
    <t>二</t>
  </si>
  <si>
    <t>前期费用</t>
  </si>
  <si>
    <t>勘察测绘费</t>
  </si>
  <si>
    <t>2.1.1</t>
  </si>
  <si>
    <t>地质勘查费</t>
  </si>
  <si>
    <t>南侧挡墙补勘12根*7米*270=22680元；东侧挡墙预留补勘5万元</t>
  </si>
  <si>
    <t>2.1.2</t>
  </si>
  <si>
    <t>测绘费（管线实测）</t>
  </si>
  <si>
    <t>2.1.3</t>
  </si>
  <si>
    <t>土地证</t>
  </si>
  <si>
    <t>第二大类总投资之和</t>
  </si>
  <si>
    <t>第二大类新目标成本之和</t>
  </si>
  <si>
    <t>第二大类合同值之和</t>
  </si>
  <si>
    <t>第二大类结算差异之和</t>
  </si>
  <si>
    <t>第二大类已发生成本之和</t>
  </si>
  <si>
    <t>第二大类待发生成本之和</t>
  </si>
  <si>
    <t>第二大类本月动态成本之和</t>
  </si>
  <si>
    <t>第二大类本月成本增加之和</t>
  </si>
  <si>
    <t>2.1.1</t>
    <phoneticPr fontId="3" type="noConversion"/>
  </si>
  <si>
    <t>勘察测绘费</t>
    <phoneticPr fontId="3" type="noConversion"/>
  </si>
  <si>
    <t>第二大类控制指标之和</t>
    <phoneticPr fontId="3" type="noConversion"/>
  </si>
  <si>
    <t>子类控制指标之和</t>
  </si>
  <si>
    <t xml:space="preserve">D9/$D$4*10000 </t>
    <phoneticPr fontId="3" type="noConversion"/>
  </si>
  <si>
    <t>D18/$D$4*10000</t>
    <phoneticPr fontId="3" type="noConversion"/>
  </si>
  <si>
    <t>子类总投资之和</t>
  </si>
  <si>
    <t>子类新目标成本之和</t>
  </si>
  <si>
    <t>子类合同值之和</t>
  </si>
  <si>
    <t>子类结算差异之和</t>
  </si>
  <si>
    <t>子类已发生成本之和</t>
  </si>
  <si>
    <t>子类待发生成本之和</t>
  </si>
  <si>
    <t>子类本月动态成本之和</t>
  </si>
  <si>
    <t>子类本月成本增加之和</t>
  </si>
  <si>
    <t>成本明细表 地质勘查费成本总额</t>
    <phoneticPr fontId="3" type="noConversion"/>
  </si>
  <si>
    <t>成本明细表 测绘款成本总额</t>
    <phoneticPr fontId="3" type="noConversion"/>
  </si>
  <si>
    <t>成本明细表 土地契税成本总额</t>
    <phoneticPr fontId="3" type="noConversion"/>
  </si>
  <si>
    <t>成本明细表 土地交易费成本总额</t>
    <phoneticPr fontId="3" type="noConversion"/>
  </si>
  <si>
    <t>成本明细表 印花税成本总额</t>
    <phoneticPr fontId="3" type="noConversion"/>
  </si>
  <si>
    <t>成本明细表 交易手续费成本总额</t>
    <phoneticPr fontId="3" type="noConversion"/>
  </si>
  <si>
    <t>成本明细表 拍卖佣金成本总额</t>
    <phoneticPr fontId="3" type="noConversion"/>
  </si>
  <si>
    <t>成本明细表 土地证成本总额</t>
    <phoneticPr fontId="3" type="noConversion"/>
  </si>
  <si>
    <t>D13？</t>
    <phoneticPr fontId="3" type="noConversion"/>
  </si>
  <si>
    <t>J18+L18</t>
    <phoneticPr fontId="3" type="noConversion"/>
  </si>
  <si>
    <t>J19+L19</t>
    <phoneticPr fontId="3" type="noConversion"/>
  </si>
  <si>
    <t>N18-D18</t>
    <phoneticPr fontId="3" type="noConversion"/>
  </si>
  <si>
    <t>N19-D19</t>
    <phoneticPr fontId="3" type="noConversion"/>
  </si>
  <si>
    <t>工程设计费</t>
  </si>
  <si>
    <t>2.2.1</t>
  </si>
  <si>
    <t>设计费(建筑）</t>
  </si>
  <si>
    <t>（1）扣减地库设计费10370*30元=31.11万元；地库设计由冶金院设计。（2）施工图优化设计预估200万</t>
  </si>
  <si>
    <t>2.2.2</t>
  </si>
  <si>
    <t>成品房设计费(样板间、售楼处)</t>
  </si>
  <si>
    <t>因增加了宝坻74#地公共部分精装设计3.329万元，故超成本2.9万元</t>
  </si>
  <si>
    <t>2.2.3</t>
  </si>
  <si>
    <t>景观设计费</t>
  </si>
  <si>
    <t>2.2.4</t>
  </si>
  <si>
    <t>综合管网设计费</t>
  </si>
  <si>
    <t>2.2.5</t>
  </si>
  <si>
    <t>其他设计费（含人防设计费、挡墙设计费）</t>
  </si>
  <si>
    <t>地库非人防设计由冶金院设计31.11万</t>
  </si>
  <si>
    <t>2.2.6</t>
  </si>
  <si>
    <t>施工图审查费</t>
  </si>
  <si>
    <t>二、三期预留2.37万元</t>
  </si>
  <si>
    <t>D22/$D$4*10000</t>
    <phoneticPr fontId="3" type="noConversion"/>
  </si>
  <si>
    <t>D23/$D$4*10000</t>
    <phoneticPr fontId="3" type="noConversion"/>
  </si>
  <si>
    <t>成本明细表 方案、施工图设计费成本总额</t>
    <phoneticPr fontId="3" type="noConversion"/>
  </si>
  <si>
    <t>成本明细表 成品房设计费成本总额</t>
    <phoneticPr fontId="3" type="noConversion"/>
  </si>
  <si>
    <t>成本明细表 景观设计费成本总额</t>
    <phoneticPr fontId="3" type="noConversion"/>
  </si>
  <si>
    <t>成本明细表 综合管网设计费成本总额</t>
    <phoneticPr fontId="3" type="noConversion"/>
  </si>
  <si>
    <t>成本明细表 其他设计费成本总额</t>
    <phoneticPr fontId="3" type="noConversion"/>
  </si>
  <si>
    <t>成本明细表 施工图审查费成本总额</t>
    <phoneticPr fontId="3" type="noConversion"/>
  </si>
  <si>
    <t>D27-J27</t>
    <phoneticPr fontId="3" type="noConversion"/>
  </si>
  <si>
    <t>J22+L22</t>
    <phoneticPr fontId="3" type="noConversion"/>
  </si>
  <si>
    <t>J23+L23</t>
    <phoneticPr fontId="3" type="noConversion"/>
  </si>
  <si>
    <t>三通一平及临时设施</t>
  </si>
  <si>
    <t>2.3.1</t>
  </si>
  <si>
    <t>临电工程费红线内外</t>
  </si>
  <si>
    <t>预计一期入住后1台变压器移位</t>
  </si>
  <si>
    <t>增加原因是原在一期设置的2台变压器进行移位</t>
  </si>
  <si>
    <t>2.3.2</t>
  </si>
  <si>
    <t>临水工程费红线内外</t>
  </si>
  <si>
    <t>2.3.3</t>
  </si>
  <si>
    <t>临排工程费</t>
  </si>
  <si>
    <t>2.3.4</t>
  </si>
  <si>
    <t>平整场地</t>
  </si>
  <si>
    <t>2.3.5</t>
  </si>
  <si>
    <t>临时设施（临时围墙）</t>
  </si>
  <si>
    <t>示范区增加，走签证</t>
  </si>
  <si>
    <t>2.3.6</t>
  </si>
  <si>
    <t>道路开口费</t>
  </si>
  <si>
    <t>一期入住后增加二期的一个道路开口</t>
  </si>
  <si>
    <t>2.3.7</t>
  </si>
  <si>
    <t>障碍物拆除费</t>
  </si>
  <si>
    <t>D29/$D$4*10000</t>
    <phoneticPr fontId="3" type="noConversion"/>
  </si>
  <si>
    <t>D30/$D$4*10000</t>
    <phoneticPr fontId="3" type="noConversion"/>
  </si>
  <si>
    <t>成本明细表 临电工程费红线内外成本总额</t>
  </si>
  <si>
    <t>成本明细表 临水工程费红线内外成本总额</t>
  </si>
  <si>
    <t>成本明细表 临排工程费成本总额</t>
  </si>
  <si>
    <t>成本明细表 平整场地成本总额</t>
  </si>
  <si>
    <t>成本明细表 临时设施（临时围墙）成本总额</t>
  </si>
  <si>
    <t>成本明细表 道路开口费成本总额</t>
  </si>
  <si>
    <t>成本明细表 障碍物拆除费成本总额</t>
  </si>
  <si>
    <t>成本明细表 土地出让金已发生合同总额/10000</t>
    <phoneticPr fontId="3" type="noConversion"/>
  </si>
  <si>
    <t>成本明细表 地质勘查费已发生合同总额/10000-3.0555?</t>
    <phoneticPr fontId="3" type="noConversion"/>
  </si>
  <si>
    <t>成本明细表 测绘款已发生合同总额/10000</t>
    <phoneticPr fontId="3" type="noConversion"/>
  </si>
  <si>
    <t>成本明细表 土地证已发生合同总额/10000</t>
    <phoneticPr fontId="3" type="noConversion"/>
  </si>
  <si>
    <t>成本明细表 方案、施工图设计费已发生合同总额/10000</t>
    <phoneticPr fontId="3" type="noConversion"/>
  </si>
  <si>
    <t>成本明细表 成品房设计费已发生合同总额/10000-3.329?</t>
    <phoneticPr fontId="3" type="noConversion"/>
  </si>
  <si>
    <t>成本明细表 景观设计费已发生合同总额/10000</t>
    <phoneticPr fontId="3" type="noConversion"/>
  </si>
  <si>
    <t>成本明细表 综合管网设计费已发生合同总额/10000</t>
    <phoneticPr fontId="3" type="noConversion"/>
  </si>
  <si>
    <t>成本明细表 其他设计费已发生合同总额/10000</t>
    <phoneticPr fontId="3" type="noConversion"/>
  </si>
  <si>
    <t>成本明细表 施工图审查费已发生合同总额/10000</t>
    <phoneticPr fontId="3" type="noConversion"/>
  </si>
  <si>
    <t>成本明细表 临电工程费红线内外已发生合同总额/10000</t>
    <phoneticPr fontId="3" type="noConversion"/>
  </si>
  <si>
    <t>成本明细表 临水工程费红线内外已发生合同总额/10000</t>
    <phoneticPr fontId="3" type="noConversion"/>
  </si>
  <si>
    <t>成本明细表 临排工程费已发生合同总额?</t>
    <phoneticPr fontId="3" type="noConversion"/>
  </si>
  <si>
    <t>成本明细表 平整场地已发生合同总额/10000</t>
    <phoneticPr fontId="3" type="noConversion"/>
  </si>
  <si>
    <t>成本明细表 临时设施（临时围墙）已发生合同总额/10000</t>
    <phoneticPr fontId="3" type="noConversion"/>
  </si>
  <si>
    <t>成本明细表 道路开口费已发生合同总额/10000</t>
    <phoneticPr fontId="3" type="noConversion"/>
  </si>
  <si>
    <t>成本明细表 障碍物拆除费已发生合同总额/10000</t>
    <phoneticPr fontId="3" type="noConversion"/>
  </si>
  <si>
    <t>D33-J33</t>
    <phoneticPr fontId="3" type="noConversion"/>
  </si>
  <si>
    <t>N22-D22</t>
    <phoneticPr fontId="3" type="noConversion"/>
  </si>
  <si>
    <t>N23-D23</t>
    <phoneticPr fontId="3" type="noConversion"/>
  </si>
  <si>
    <t>J29+L29</t>
    <phoneticPr fontId="3" type="noConversion"/>
  </si>
  <si>
    <t>J30+L30</t>
    <phoneticPr fontId="3" type="noConversion"/>
  </si>
  <si>
    <t>N29-D29</t>
    <phoneticPr fontId="3" type="noConversion"/>
  </si>
  <si>
    <t>N30-D30</t>
    <phoneticPr fontId="3" type="noConversion"/>
  </si>
  <si>
    <t>招标代理咨询费</t>
  </si>
  <si>
    <t>2.4.1</t>
  </si>
  <si>
    <t>招标代理费（建筑、监理、勘察、设计、物业）</t>
  </si>
  <si>
    <t>2.4.2</t>
  </si>
  <si>
    <t>工程建设交易服务费（建筑、监理、勘察、设计、物业）</t>
  </si>
  <si>
    <t>二、三期建设工程交易服务费4.56+3；设备交易服务费2万</t>
  </si>
  <si>
    <t>2.4.3</t>
  </si>
  <si>
    <t>工程支付款担保费</t>
  </si>
  <si>
    <t>二、三期建设工程支付款担保费</t>
  </si>
  <si>
    <t>2.4.4</t>
  </si>
  <si>
    <t>造价咨询费</t>
  </si>
  <si>
    <t>相同产品形式由于基础不同结构不同，故相应增加费用；同时挡土墙、精装、景观、配套等全部由咨询公司进行预算编制，故费用预计有所增加。</t>
  </si>
  <si>
    <t>D37/$D$4*10000</t>
    <phoneticPr fontId="3" type="noConversion"/>
  </si>
  <si>
    <t>D38/$D$4*10000</t>
    <phoneticPr fontId="3" type="noConversion"/>
  </si>
  <si>
    <t>成本明细表 工程建设交易服务费（建筑、监理、勘察、设计、物业）成本总额</t>
  </si>
  <si>
    <t>成本明细表 工程支付款担保费成本总额</t>
  </si>
  <si>
    <t>成本明细表 造价咨询费成本总额</t>
  </si>
  <si>
    <t>成本明细表 招标代理费（建筑、监理、勘察、设计、物业）已发生合同总额/10000</t>
    <phoneticPr fontId="3" type="noConversion"/>
  </si>
  <si>
    <t>成本明细表 工程建设交易服务费（建筑、监理、勘察、设计、物业）已发生合同总额/10000</t>
    <phoneticPr fontId="3" type="noConversion"/>
  </si>
  <si>
    <t>成本明细表 工程支付款担保费已发生合同总额/10000</t>
    <phoneticPr fontId="3" type="noConversion"/>
  </si>
  <si>
    <t>成本明细表 造价咨询费已发生合同总额/10000</t>
    <phoneticPr fontId="3" type="noConversion"/>
  </si>
  <si>
    <t>J37+L37</t>
    <phoneticPr fontId="3" type="noConversion"/>
  </si>
  <si>
    <t>J38+L38</t>
    <phoneticPr fontId="3" type="noConversion"/>
  </si>
  <si>
    <t>N37-D37</t>
    <phoneticPr fontId="3" type="noConversion"/>
  </si>
  <si>
    <t>N38-D38</t>
    <phoneticPr fontId="3" type="noConversion"/>
  </si>
  <si>
    <t>环境、能评费用</t>
  </si>
  <si>
    <t>2.5.1</t>
  </si>
  <si>
    <t>环境评估费</t>
  </si>
  <si>
    <t>2.5.2</t>
  </si>
  <si>
    <t>环境验收费用</t>
  </si>
  <si>
    <t>2.5.3</t>
  </si>
  <si>
    <t>地质灾害评估</t>
  </si>
  <si>
    <t>此项有可能不发生</t>
  </si>
  <si>
    <t>2.5.4</t>
  </si>
  <si>
    <t>能源评估费</t>
  </si>
  <si>
    <t>2.5.5</t>
  </si>
  <si>
    <t>扬尘措施费</t>
  </si>
  <si>
    <t>2.5.6</t>
  </si>
  <si>
    <t>噪声污染措施费</t>
  </si>
  <si>
    <t>D42/$D$4*10000</t>
    <phoneticPr fontId="3" type="noConversion"/>
  </si>
  <si>
    <t>D43/$D$4*10000</t>
    <phoneticPr fontId="3" type="noConversion"/>
  </si>
  <si>
    <t>成本明细表 招标代理费（建筑、监理、勘察、设计、物业）成本总额</t>
    <phoneticPr fontId="3" type="noConversion"/>
  </si>
  <si>
    <t>环境评估费</t>
    <phoneticPr fontId="3" type="noConversion"/>
  </si>
  <si>
    <t>成本明细表 环境评估费成本总额</t>
    <phoneticPr fontId="3" type="noConversion"/>
  </si>
  <si>
    <t>成本明细表 环境验收费用成本总额</t>
    <phoneticPr fontId="3" type="noConversion"/>
  </si>
  <si>
    <t>成本明细表 地质灾害评估成本总额</t>
    <phoneticPr fontId="3" type="noConversion"/>
  </si>
  <si>
    <t>J42+L42</t>
    <phoneticPr fontId="3" type="noConversion"/>
  </si>
  <si>
    <t>N42-D42</t>
    <phoneticPr fontId="3" type="noConversion"/>
  </si>
  <si>
    <t>J43+L43</t>
    <phoneticPr fontId="3" type="noConversion"/>
  </si>
  <si>
    <t>N43-D43</t>
    <phoneticPr fontId="3" type="noConversion"/>
  </si>
  <si>
    <t>办理施工许可证费用</t>
  </si>
  <si>
    <t>2.6.1</t>
  </si>
  <si>
    <t>墙改费</t>
  </si>
  <si>
    <t>2.6.2</t>
  </si>
  <si>
    <t>水泥专项基金</t>
  </si>
  <si>
    <t>二、三期</t>
  </si>
  <si>
    <t>2.6.3</t>
  </si>
  <si>
    <t>人防异地建设费</t>
  </si>
  <si>
    <t>2.6.4</t>
  </si>
  <si>
    <t>地名标志费</t>
  </si>
  <si>
    <t>2.6.5</t>
  </si>
  <si>
    <t>地名公告费</t>
  </si>
  <si>
    <t>2.6.6</t>
  </si>
  <si>
    <t>楼栋、单元标牌费</t>
  </si>
  <si>
    <t>D49/$D$4*10000</t>
    <phoneticPr fontId="3" type="noConversion"/>
  </si>
  <si>
    <t>D50/$D$4*10000</t>
    <phoneticPr fontId="3" type="noConversion"/>
  </si>
  <si>
    <t>成本明细表 能源评估费成本总额</t>
    <phoneticPr fontId="3" type="noConversion"/>
  </si>
  <si>
    <t>墙改费</t>
    <phoneticPr fontId="3" type="noConversion"/>
  </si>
  <si>
    <t>成本明细表 水泥专项基金成本总额</t>
    <phoneticPr fontId="3" type="noConversion"/>
  </si>
  <si>
    <t>成本明细表 人防易地建设费成本总额</t>
    <phoneticPr fontId="3" type="noConversion"/>
  </si>
  <si>
    <t>成本明细表 地名标志费成本总额</t>
    <phoneticPr fontId="3" type="noConversion"/>
  </si>
  <si>
    <t>成本明细表 地名公告费成本总额</t>
    <phoneticPr fontId="3" type="noConversion"/>
  </si>
  <si>
    <t>成本明细表 楼栋、单元标志牌费成本总额</t>
    <phoneticPr fontId="3" type="noConversion"/>
  </si>
  <si>
    <t>J49+L49</t>
    <phoneticPr fontId="3" type="noConversion"/>
  </si>
  <si>
    <t>J50+L50</t>
    <phoneticPr fontId="3" type="noConversion"/>
  </si>
  <si>
    <t>N49-D49</t>
    <phoneticPr fontId="3" type="noConversion"/>
  </si>
  <si>
    <t>N50-D50</t>
    <phoneticPr fontId="3" type="noConversion"/>
  </si>
  <si>
    <t>检测费用</t>
  </si>
  <si>
    <t>2.7.1</t>
  </si>
  <si>
    <t>避雷监测费</t>
  </si>
  <si>
    <t>2.7.2</t>
  </si>
  <si>
    <t>电气消防安全检测费</t>
  </si>
  <si>
    <t>2.7.3</t>
  </si>
  <si>
    <t>室内环境检测费</t>
  </si>
  <si>
    <t>2.7.4</t>
  </si>
  <si>
    <t>档案存档费</t>
  </si>
  <si>
    <t>2.7.5</t>
  </si>
  <si>
    <t>人防监督及档案编制</t>
  </si>
  <si>
    <t>2.7.6</t>
  </si>
  <si>
    <t>消防存档费</t>
  </si>
  <si>
    <t>D56/$D$4*10000</t>
    <phoneticPr fontId="3" type="noConversion"/>
  </si>
  <si>
    <t>D57/$D$4*10000</t>
    <phoneticPr fontId="3" type="noConversion"/>
  </si>
  <si>
    <t>成本明细表 墙改费成本总额</t>
    <phoneticPr fontId="3" type="noConversion"/>
  </si>
  <si>
    <t>成本明细表 避雷监测费成本总额</t>
    <phoneticPr fontId="3" type="noConversion"/>
  </si>
  <si>
    <t>成本明细表 电气消防安全检测费成本总额</t>
    <phoneticPr fontId="3" type="noConversion"/>
  </si>
  <si>
    <t>成本明细表 室内环境检测费成本总额</t>
    <phoneticPr fontId="3" type="noConversion"/>
  </si>
  <si>
    <t>成本明细表 人防监督及档案编制成本总额</t>
    <phoneticPr fontId="3" type="noConversion"/>
  </si>
  <si>
    <t>D56-J56</t>
    <phoneticPr fontId="3" type="noConversion"/>
  </si>
  <si>
    <t>D57-J57</t>
    <phoneticPr fontId="3" type="noConversion"/>
  </si>
  <si>
    <t>D10-F10</t>
    <phoneticPr fontId="3" type="noConversion"/>
  </si>
  <si>
    <t>D11-J11</t>
    <phoneticPr fontId="3" type="noConversion"/>
  </si>
  <si>
    <t>D18-J18</t>
    <phoneticPr fontId="3" type="noConversion"/>
  </si>
  <si>
    <t>D39-J39</t>
    <phoneticPr fontId="3" type="noConversion"/>
  </si>
  <si>
    <t>D40-J40</t>
    <phoneticPr fontId="3" type="noConversion"/>
  </si>
  <si>
    <t>D43-J43</t>
    <phoneticPr fontId="3" type="noConversion"/>
  </si>
  <si>
    <t>D50-J50</t>
    <phoneticPr fontId="3" type="noConversion"/>
  </si>
  <si>
    <t>D54-J54</t>
    <phoneticPr fontId="3" type="noConversion"/>
  </si>
  <si>
    <t>J56+L56</t>
    <phoneticPr fontId="3" type="noConversion"/>
  </si>
  <si>
    <t>J57+L57</t>
    <phoneticPr fontId="3" type="noConversion"/>
  </si>
  <si>
    <t>N56-D56</t>
    <phoneticPr fontId="3" type="noConversion"/>
  </si>
  <si>
    <t>N57-D57</t>
    <phoneticPr fontId="3" type="noConversion"/>
  </si>
  <si>
    <t>销售相关费用</t>
  </si>
  <si>
    <t>2.8.1</t>
  </si>
  <si>
    <t>地籍地形图、核地</t>
  </si>
  <si>
    <t>2.8.2</t>
  </si>
  <si>
    <t xml:space="preserve">销售许可证公告费 </t>
  </si>
  <si>
    <t>2.8.3</t>
  </si>
  <si>
    <t>预售登记费</t>
  </si>
  <si>
    <t>8.8.4</t>
  </si>
  <si>
    <t>分户土地登记费</t>
  </si>
  <si>
    <t>2.8.5</t>
  </si>
  <si>
    <t>准入证公告费</t>
  </si>
  <si>
    <t>2.8.6</t>
  </si>
  <si>
    <t>房产测绘费（面积测量）</t>
  </si>
  <si>
    <t>2.8.7</t>
  </si>
  <si>
    <t>房屋转让手续费（产权登记）</t>
  </si>
  <si>
    <t>D63/$D$4*10000</t>
    <phoneticPr fontId="3" type="noConversion"/>
  </si>
  <si>
    <t>D64/$D$4*10000</t>
    <phoneticPr fontId="3" type="noConversion"/>
  </si>
  <si>
    <t>成本明细表 档案存档费成本总额</t>
    <phoneticPr fontId="3" type="noConversion"/>
  </si>
  <si>
    <t>成本明细表 消防存档费成本总额</t>
    <phoneticPr fontId="3" type="noConversion"/>
  </si>
  <si>
    <t>成本明细表 地籍地形图、核地成本总额</t>
  </si>
  <si>
    <t>成本明细表 销售许可证公告费 成本总额</t>
  </si>
  <si>
    <t>成本明细表 预售登记费成本总额</t>
  </si>
  <si>
    <t>成本明细表 分户土地登记费成本总额</t>
  </si>
  <si>
    <t>成本明细表 房产测绘费（面积测量）成本总额</t>
  </si>
  <si>
    <t>成本明细表 房屋转让手续费（产权登记）成本总额</t>
  </si>
  <si>
    <t>D63-J63</t>
    <phoneticPr fontId="3" type="noConversion"/>
  </si>
  <si>
    <t>D64-J64</t>
    <phoneticPr fontId="3" type="noConversion"/>
  </si>
  <si>
    <t>N63-D63</t>
    <phoneticPr fontId="3" type="noConversion"/>
  </si>
  <si>
    <t>J64+L64</t>
    <phoneticPr fontId="3" type="noConversion"/>
  </si>
  <si>
    <t>N64-D64</t>
    <phoneticPr fontId="3" type="noConversion"/>
  </si>
  <si>
    <t>三</t>
  </si>
  <si>
    <t>建安工程费</t>
  </si>
  <si>
    <t>桩基、土方、基坑支护工程</t>
  </si>
  <si>
    <t>3.1.1</t>
  </si>
  <si>
    <t>桩基础工程费</t>
  </si>
  <si>
    <t>3.1.2</t>
  </si>
  <si>
    <t>桩检测费用</t>
  </si>
  <si>
    <t>3.1.3</t>
  </si>
  <si>
    <t>挖填土方</t>
  </si>
  <si>
    <t>3.1.4</t>
  </si>
  <si>
    <t>地基处理费(强夯）</t>
  </si>
  <si>
    <t>3.1.5</t>
  </si>
  <si>
    <t>地基处理费（换填）</t>
  </si>
  <si>
    <t>3.1.6</t>
  </si>
  <si>
    <t>沉降观测</t>
  </si>
  <si>
    <t>3.1.7</t>
  </si>
  <si>
    <t>建筑物定位测量及工程竣工验收测量</t>
  </si>
  <si>
    <t>第三大类控制指标之和</t>
  </si>
  <si>
    <t>第三大类总投资之和</t>
  </si>
  <si>
    <t>第三大类新目标成本之和</t>
  </si>
  <si>
    <t>第三大类合同值之和</t>
  </si>
  <si>
    <t>第三大类结算差异之和</t>
  </si>
  <si>
    <t>第三大类已发生成本之和</t>
  </si>
  <si>
    <t>第三大类待发生成本之和</t>
  </si>
  <si>
    <t>第三大类本月动态成本之和</t>
  </si>
  <si>
    <t>第三大类本月成本增加之和</t>
  </si>
  <si>
    <t>成本明细表 准入证公告费成本总额</t>
    <phoneticPr fontId="3" type="noConversion"/>
  </si>
  <si>
    <t>成本明细表 桩基础工程费成本总额</t>
  </si>
  <si>
    <t>成本明细表 桩检测费用成本总额</t>
  </si>
  <si>
    <t>成本明细表 挖填土方成本总额</t>
  </si>
  <si>
    <t>成本明细表 地基处理费(强夯）成本总额</t>
  </si>
  <si>
    <t>成本明细表 地基处理费（换填）成本总额</t>
  </si>
  <si>
    <t>成本明细表 沉降观测成本总额</t>
  </si>
  <si>
    <t>成本明细表 建筑物定位测量及工程竣工验收测量成本总额</t>
  </si>
  <si>
    <t>D74-J74</t>
    <phoneticPr fontId="3" type="noConversion"/>
  </si>
  <si>
    <t>D75-J75</t>
    <phoneticPr fontId="3" type="noConversion"/>
  </si>
  <si>
    <t>D76-J76</t>
    <phoneticPr fontId="3" type="noConversion"/>
  </si>
  <si>
    <t>J63+L63</t>
    <phoneticPr fontId="3" type="noConversion"/>
  </si>
  <si>
    <t>J72+L72</t>
    <phoneticPr fontId="3" type="noConversion"/>
  </si>
  <si>
    <t>N72-D72</t>
    <phoneticPr fontId="3" type="noConversion"/>
  </si>
  <si>
    <t>J73+L73</t>
    <phoneticPr fontId="3" type="noConversion"/>
  </si>
  <si>
    <t>N73-D73</t>
    <phoneticPr fontId="3" type="noConversion"/>
  </si>
  <si>
    <t>主体建安</t>
  </si>
  <si>
    <t>3.2.1</t>
  </si>
  <si>
    <t>建安工程费[标准为毛坯房；含主体结构、装饰、栏杆扶手、水暖电等]</t>
  </si>
  <si>
    <t>一期按泉州报价下浮7%后11032万元+措施费300万元+二三期总包中标价12490万元</t>
  </si>
  <si>
    <t>3.2.2</t>
  </si>
  <si>
    <t>公共部位精装修</t>
  </si>
  <si>
    <t>按33号楼已发生成本估算</t>
  </si>
  <si>
    <t>3.2.3</t>
  </si>
  <si>
    <t>精装修(样板间、会所)</t>
  </si>
  <si>
    <t>两个样板间一个售楼处</t>
  </si>
  <si>
    <t>3.2.4</t>
  </si>
  <si>
    <t>外檐保温石材及涂料</t>
  </si>
  <si>
    <t>3.2.5</t>
  </si>
  <si>
    <t>外檐断桥铝合金门窗</t>
  </si>
  <si>
    <t>3.2.6</t>
  </si>
  <si>
    <t>铝合金空调百叶</t>
  </si>
  <si>
    <t>3.2.7</t>
  </si>
  <si>
    <t>入户门（不含小院门）</t>
  </si>
  <si>
    <t>3.2.8</t>
  </si>
  <si>
    <t>配电箱及电表箱</t>
  </si>
  <si>
    <t>D80/$D$4*10000</t>
    <phoneticPr fontId="3" type="noConversion"/>
  </si>
  <si>
    <t>D81/$D$4*10000</t>
    <phoneticPr fontId="3" type="noConversion"/>
  </si>
  <si>
    <t>成本明细 建安工程费[标准为毛坯房；含主体结构、装饰、栏杆扶手、水暖电等]成本总额</t>
  </si>
  <si>
    <t>成本明细 公共部位精装修成本总额</t>
  </si>
  <si>
    <t>成本明细 精装修(样板间、会所)成本总额</t>
  </si>
  <si>
    <t>成本明细 外檐保温石材及涂料成本总额</t>
  </si>
  <si>
    <t>成本明细 外檐断桥铝合金门窗成本总额</t>
  </si>
  <si>
    <t>成本明细 铝合金空调百叶成本总额</t>
  </si>
  <si>
    <t>成本明细 入户门（不含小院门）成本总额</t>
  </si>
  <si>
    <t>成本明细 配电箱及电表箱成本总额</t>
  </si>
  <si>
    <t>D83-J83</t>
    <phoneticPr fontId="3" type="noConversion"/>
  </si>
  <si>
    <t>D84-J84</t>
    <phoneticPr fontId="3" type="noConversion"/>
  </si>
  <si>
    <t>J80+L80</t>
    <phoneticPr fontId="3" type="noConversion"/>
  </si>
  <si>
    <t>J81+L81</t>
    <phoneticPr fontId="3" type="noConversion"/>
  </si>
  <si>
    <t>N80-D80</t>
    <phoneticPr fontId="3" type="noConversion"/>
  </si>
  <si>
    <t>N81-D81</t>
    <phoneticPr fontId="3" type="noConversion"/>
  </si>
  <si>
    <t>设备安装</t>
  </si>
  <si>
    <t>3.3.1</t>
  </si>
  <si>
    <t>电梯</t>
  </si>
  <si>
    <t>3.3.2</t>
  </si>
  <si>
    <t>智能化（对讲、窗磁等）</t>
  </si>
  <si>
    <t>3.3.3</t>
  </si>
  <si>
    <t>消防工程</t>
  </si>
  <si>
    <t>3.3.4</t>
  </si>
  <si>
    <t>人防工程</t>
  </si>
  <si>
    <t>3.3.5</t>
  </si>
  <si>
    <t>空调系统工程</t>
  </si>
  <si>
    <t>3.3.6</t>
  </si>
  <si>
    <t>通风系统工程</t>
  </si>
  <si>
    <t>此部分在总包工程中</t>
  </si>
  <si>
    <t>3.3.7</t>
  </si>
  <si>
    <t>机械车位租赁（双层）</t>
  </si>
  <si>
    <t>3.3.8</t>
  </si>
  <si>
    <t>太阳能系统(四步节能）</t>
  </si>
  <si>
    <t>D89/$D$4*10000</t>
    <phoneticPr fontId="3" type="noConversion"/>
  </si>
  <si>
    <t>D90/$D$4*10000</t>
    <phoneticPr fontId="3" type="noConversion"/>
  </si>
  <si>
    <t>成本明细 电梯成本总额</t>
  </si>
  <si>
    <t>成本明细 智能化（对讲、窗磁等）成本总额</t>
  </si>
  <si>
    <t>成本明细 消防工程成本总额</t>
  </si>
  <si>
    <t>成本明细 人防工程成本总额</t>
  </si>
  <si>
    <t>成本明细 空调系统工程成本总额</t>
  </si>
  <si>
    <t>成本明细 通风系统工程成本总额</t>
  </si>
  <si>
    <t>成本明细 机械车位租赁（双层）成本总额</t>
  </si>
  <si>
    <t>成本明细 太阳能系统(四步节能）成本总额</t>
  </si>
  <si>
    <t>D89-J89</t>
    <phoneticPr fontId="3" type="noConversion"/>
  </si>
  <si>
    <t>D90-J90</t>
    <phoneticPr fontId="3" type="noConversion"/>
  </si>
  <si>
    <t>D91-J91</t>
    <phoneticPr fontId="3" type="noConversion"/>
  </si>
  <si>
    <t>D92-J92</t>
    <phoneticPr fontId="3" type="noConversion"/>
  </si>
  <si>
    <t>D95-J95</t>
    <phoneticPr fontId="3" type="noConversion"/>
  </si>
  <si>
    <t>D96-J96</t>
    <phoneticPr fontId="3" type="noConversion"/>
  </si>
  <si>
    <t>J89+L89</t>
    <phoneticPr fontId="3" type="noConversion"/>
  </si>
  <si>
    <t>J90+L90</t>
    <phoneticPr fontId="3" type="noConversion"/>
  </si>
  <si>
    <t>N89-D89</t>
    <phoneticPr fontId="3" type="noConversion"/>
  </si>
  <si>
    <t>N90-D90</t>
    <phoneticPr fontId="3" type="noConversion"/>
  </si>
  <si>
    <t>环境工程</t>
  </si>
  <si>
    <t>3.4.1</t>
  </si>
  <si>
    <t>区内景观工程（含示范区景观）</t>
  </si>
  <si>
    <t>景观：一期剩余900万+二期300万+800万+三期区内档墙800万=2800万元</t>
  </si>
  <si>
    <t>3.4.2</t>
  </si>
  <si>
    <t>区外挡土墙工程</t>
  </si>
  <si>
    <t>3号楼以南挡墙495万元+北侧地库填土35万元</t>
  </si>
  <si>
    <t>3.4.3</t>
  </si>
  <si>
    <t>界外地景观</t>
  </si>
  <si>
    <t>已发生签证约30万，考虑北侧未施工部分可做优化（减景石11万、减苗木约8万）</t>
  </si>
  <si>
    <t>D98/$D$4*10000</t>
    <phoneticPr fontId="3" type="noConversion"/>
  </si>
  <si>
    <t>D99/$D$4*10000</t>
    <phoneticPr fontId="3" type="noConversion"/>
  </si>
  <si>
    <t>成本明细 区内景观工程（含示范区景观）成本总额</t>
  </si>
  <si>
    <t>成本明细 界外地景观成本总额</t>
  </si>
  <si>
    <t>D100-J100</t>
    <phoneticPr fontId="3" type="noConversion"/>
  </si>
  <si>
    <t>J98+L98</t>
    <phoneticPr fontId="3" type="noConversion"/>
  </si>
  <si>
    <t>N98-D98</t>
    <phoneticPr fontId="3" type="noConversion"/>
  </si>
  <si>
    <t>J99+L99</t>
    <phoneticPr fontId="3" type="noConversion"/>
  </si>
  <si>
    <t>N99-D99</t>
    <phoneticPr fontId="3" type="noConversion"/>
  </si>
  <si>
    <t>监理费</t>
  </si>
  <si>
    <t>3.5.1</t>
  </si>
  <si>
    <t>土建监理费</t>
  </si>
  <si>
    <t>3.5.2</t>
  </si>
  <si>
    <t>含人防监理费</t>
  </si>
  <si>
    <t>二期地库</t>
  </si>
  <si>
    <t>D102/$D$4*10000</t>
    <phoneticPr fontId="3" type="noConversion"/>
  </si>
  <si>
    <t>成本明细 区外挡土墙工程成本总额</t>
    <phoneticPr fontId="3" type="noConversion"/>
  </si>
  <si>
    <t>成本明细 含人防监理费成本总额</t>
  </si>
  <si>
    <t>J102+L102</t>
    <phoneticPr fontId="3" type="noConversion"/>
  </si>
  <si>
    <t>N102-D102</t>
    <phoneticPr fontId="3" type="noConversion"/>
  </si>
  <si>
    <t>J103+L103</t>
    <phoneticPr fontId="3" type="noConversion"/>
  </si>
  <si>
    <t>变更签证</t>
  </si>
  <si>
    <t>一期已上报约200万</t>
  </si>
  <si>
    <t>D103/$D$4*10000</t>
    <phoneticPr fontId="3" type="noConversion"/>
  </si>
  <si>
    <t>D104/$D$4*10000</t>
    <phoneticPr fontId="3" type="noConversion"/>
  </si>
  <si>
    <t>成本明细 土建监理费成本总额</t>
    <phoneticPr fontId="3" type="noConversion"/>
  </si>
  <si>
    <t>变更签证</t>
    <phoneticPr fontId="3" type="noConversion"/>
  </si>
  <si>
    <t>成本明细 变更签证成本总额</t>
    <phoneticPr fontId="3" type="noConversion"/>
  </si>
  <si>
    <t>？</t>
    <phoneticPr fontId="3" type="noConversion"/>
  </si>
  <si>
    <t>？</t>
    <phoneticPr fontId="3" type="noConversion"/>
  </si>
  <si>
    <t>来源？</t>
    <phoneticPr fontId="3" type="noConversion"/>
  </si>
  <si>
    <t>J104+L104</t>
    <phoneticPr fontId="3" type="noConversion"/>
  </si>
  <si>
    <t>N103-D103</t>
    <phoneticPr fontId="3" type="noConversion"/>
  </si>
  <si>
    <t>N104-D104</t>
    <phoneticPr fontId="3" type="noConversion"/>
  </si>
  <si>
    <t>四</t>
  </si>
  <si>
    <t>基础设施费</t>
  </si>
  <si>
    <t>供电</t>
  </si>
  <si>
    <t>4.1.1</t>
  </si>
  <si>
    <t>电力工程费</t>
  </si>
  <si>
    <t>4.1.2</t>
  </si>
  <si>
    <t>一户一表费</t>
  </si>
  <si>
    <t>4.1.3</t>
  </si>
  <si>
    <t>外线路由费及破路补偿费</t>
  </si>
  <si>
    <t>4.1.4</t>
  </si>
  <si>
    <t>配电柜</t>
  </si>
  <si>
    <t>4.1.5</t>
  </si>
  <si>
    <t>内缆工程费</t>
  </si>
  <si>
    <t>4.1.6</t>
  </si>
  <si>
    <t>箱式站基础、Cf箱基础、土建变电站</t>
  </si>
  <si>
    <t>一、三期</t>
  </si>
  <si>
    <t>4.1.7</t>
  </si>
  <si>
    <t>红号站设备</t>
  </si>
  <si>
    <t>第四大类控制指标之和</t>
  </si>
  <si>
    <t>第四大类总投资之和</t>
  </si>
  <si>
    <t>第四大类新目标成本之和</t>
  </si>
  <si>
    <t>第四大类合同值之和</t>
  </si>
  <si>
    <t>第四大类结算差异之和</t>
  </si>
  <si>
    <t>第四大类已发生成本之和</t>
  </si>
  <si>
    <t>第四大类待发生成本之和</t>
  </si>
  <si>
    <t>第四大类本月动态成本之和</t>
  </si>
  <si>
    <t>第四大类本月成本增加之和</t>
  </si>
  <si>
    <t>D107/$D$4*10000</t>
    <phoneticPr fontId="3" type="noConversion"/>
  </si>
  <si>
    <t>D108/$D$4*10000</t>
    <phoneticPr fontId="3" type="noConversion"/>
  </si>
  <si>
    <t>成本明细 一户一表费成本总额</t>
  </si>
  <si>
    <t>成本明细 外线路由费及破路补偿费成本总额</t>
  </si>
  <si>
    <t>成本明细 内缆工程费成本总额</t>
  </si>
  <si>
    <t>成本明细 箱式站基础、Cf箱基础、土建变电站成本总额</t>
  </si>
  <si>
    <t>成本明细 红号站设备成本总额</t>
  </si>
  <si>
    <t>D107-J107</t>
    <phoneticPr fontId="3" type="noConversion"/>
  </si>
  <si>
    <t>D108-J108</t>
    <phoneticPr fontId="3" type="noConversion"/>
  </si>
  <si>
    <t>J107+L107</t>
    <phoneticPr fontId="3" type="noConversion"/>
  </si>
  <si>
    <t>N107-D107</t>
    <phoneticPr fontId="3" type="noConversion"/>
  </si>
  <si>
    <t>J108+L108</t>
    <phoneticPr fontId="3" type="noConversion"/>
  </si>
  <si>
    <t>N108-D108</t>
    <phoneticPr fontId="3" type="noConversion"/>
  </si>
  <si>
    <t>供水（自来水）</t>
  </si>
  <si>
    <t>4.2.1</t>
  </si>
  <si>
    <t>自来水工程费</t>
  </si>
  <si>
    <t>4.2.2</t>
  </si>
  <si>
    <t>自来水工程费（二次网）</t>
  </si>
  <si>
    <t>4.2.3</t>
  </si>
  <si>
    <t>水表</t>
  </si>
  <si>
    <t>4.2.4</t>
  </si>
  <si>
    <t>室外消火栓</t>
  </si>
  <si>
    <t>4.2.5</t>
  </si>
  <si>
    <t>水土保持设施补偿费</t>
  </si>
  <si>
    <t>4.2.6</t>
  </si>
  <si>
    <t>地下水资源费</t>
  </si>
  <si>
    <t>4.2.7</t>
  </si>
  <si>
    <t>水土保持方案编制费</t>
  </si>
  <si>
    <t>4.2.8</t>
  </si>
  <si>
    <t>用水报告书编制费</t>
  </si>
  <si>
    <t>4.2.9</t>
  </si>
  <si>
    <t>二次供水工程设备费</t>
  </si>
  <si>
    <t>地库</t>
  </si>
  <si>
    <t>D115/$D$4*10000</t>
    <phoneticPr fontId="3" type="noConversion"/>
  </si>
  <si>
    <t>D116/$D$4*10000</t>
    <phoneticPr fontId="3" type="noConversion"/>
  </si>
  <si>
    <t>成本明细 电力工程费成本总额</t>
    <phoneticPr fontId="3" type="noConversion"/>
  </si>
  <si>
    <t>成本明细 配电柜成本总额</t>
    <phoneticPr fontId="3" type="noConversion"/>
  </si>
  <si>
    <t>成本明细 自来水工程费成本总额</t>
  </si>
  <si>
    <t>成本明细 自来水工程费（二次网）成本总额</t>
  </si>
  <si>
    <t>成本明细 水表成本总额</t>
  </si>
  <si>
    <t>成本明细 室外消火栓成本总额</t>
  </si>
  <si>
    <t>成本明细 水土保持设施补偿费成本总额</t>
  </si>
  <si>
    <t>成本明细 地下水资源费成本总额</t>
  </si>
  <si>
    <t>成本明细 水土保持方案编制费成本总额</t>
  </si>
  <si>
    <t>成本明细 二次供水工程设备费成本总额</t>
  </si>
  <si>
    <t>D115-J115</t>
    <phoneticPr fontId="3" type="noConversion"/>
  </si>
  <si>
    <t>D116-J116</t>
    <phoneticPr fontId="3" type="noConversion"/>
  </si>
  <si>
    <t>J115+L115</t>
    <phoneticPr fontId="3" type="noConversion"/>
  </si>
  <si>
    <t>N115-D115</t>
    <phoneticPr fontId="3" type="noConversion"/>
  </si>
  <si>
    <t>J116+L116</t>
    <phoneticPr fontId="3" type="noConversion"/>
  </si>
  <si>
    <t>N116-D116</t>
    <phoneticPr fontId="3" type="noConversion"/>
  </si>
  <si>
    <t>成本明细表 环境评估费已发生合同总额/10000</t>
  </si>
  <si>
    <t>成本明细表 环境验收费用已发生合同总额/10000</t>
  </si>
  <si>
    <t>成本明细表 地质灾害评估已发生合同总额/10000</t>
  </si>
  <si>
    <t>成本明细表 能源评估费已发生合同总额/10000</t>
  </si>
  <si>
    <t>成本明细表 墙改费已发生合同总额/10000</t>
  </si>
  <si>
    <t>成本明细表 水泥专项基金已发生合同总额/10000</t>
  </si>
  <si>
    <t>成本明细表 人防易地建设费已发生合同总额/10000</t>
  </si>
  <si>
    <t>成本明细表 地名标志费已发生合同总额/10000</t>
  </si>
  <si>
    <t>成本明细表 地名公告费已发生合同总额/10000</t>
  </si>
  <si>
    <t>成本明细表 楼栋、单元标志牌费已发生合同总额/10000</t>
  </si>
  <si>
    <t>成本明细表 避雷监测费已发生合同总额/10000</t>
  </si>
  <si>
    <t>成本明细表 电气消防安全检测费已发生合同总额/10000</t>
  </si>
  <si>
    <t>成本明细表 室内环境检测费已发生合同总额/10000</t>
  </si>
  <si>
    <t>成本明细表 档案存档费已发生合同总额/10000</t>
  </si>
  <si>
    <t>成本明细表 人防监督及档案编制已发生合同总额/10000</t>
  </si>
  <si>
    <t>成本明细表 消防存档费已发生合同总额/10000</t>
  </si>
  <si>
    <t>成本明细表 地籍地形图、核地已发生合同总额/10000</t>
  </si>
  <si>
    <t>成本明细表 销售许可证公告费 已发生合同总额/10000</t>
  </si>
  <si>
    <t>成本明细表 预售登记费已发生合同总额/10000</t>
  </si>
  <si>
    <t>成本明细表 分户土地登记费已发生合同总额/10000</t>
  </si>
  <si>
    <t>成本明细表 准入证公告费已发生合同总额/10000</t>
  </si>
  <si>
    <t>成本明细表 房产测绘费（面积测量）已发生合同总额/10000</t>
  </si>
  <si>
    <t>成本明细表 房屋转让手续费（产权登记）已发生合同总额/10000</t>
  </si>
  <si>
    <t>成本明细表 桩基础工程费成本总额已发生合同总额/10000</t>
  </si>
  <si>
    <t>成本明细表 桩检测费用成本总额已发生合同总额/10000</t>
  </si>
  <si>
    <t>成本明细表 挖填土方成本总额已发生合同总额/10000</t>
  </si>
  <si>
    <t>成本明细表 地基处理费(强夯）成本总额已发生合同总额/10000</t>
  </si>
  <si>
    <t>成本明细表 地基处理费（换填）成本总额已发生合同总额/10000</t>
  </si>
  <si>
    <t>成本明细表 沉降观测成本总额已发生合同总额/10000</t>
  </si>
  <si>
    <t>成本明细表 建筑物定位测量及工程竣工验收测量成本总额已发生合同总额/10000</t>
  </si>
  <si>
    <t>成本明细 建安工程费[标准为毛坯房；含主体结构、装饰、栏杆扶手、水暖电等]已发生合同总额/10000</t>
  </si>
  <si>
    <t>成本明细 公共部位精装修已发生合同总额/10000</t>
  </si>
  <si>
    <t>成本明细 精装修(样板间、会所)已发生合同总额/10000</t>
  </si>
  <si>
    <t>成本明细 外檐保温石材及涂料已发生合同总额/10000</t>
  </si>
  <si>
    <t>成本明细 外檐断桥铝合金门窗已发生合同总额/10000</t>
  </si>
  <si>
    <t>成本明细 铝合金空调百叶已发生合同总额/10000</t>
  </si>
  <si>
    <t>成本明细 入户门（不含小院门）已发生合同总额/10000</t>
  </si>
  <si>
    <t>成本明细 配电箱及电表箱已发生合同总额/10000</t>
  </si>
  <si>
    <t>成本明细 电梯已发生合同总额/10000</t>
  </si>
  <si>
    <t>成本明细 智能化（对讲、窗磁等）已发生合同总额/10000</t>
  </si>
  <si>
    <t>成本明细 消防工程已发生合同总额/10000</t>
  </si>
  <si>
    <t>成本明细 人防工程已发生合同总额/10000</t>
  </si>
  <si>
    <t>成本明细 空调系统工程已发生合同总额/10000</t>
  </si>
  <si>
    <t>成本明细 通风系统工程已发生合同总额/10000</t>
  </si>
  <si>
    <t>成本明细 机械车位租赁（双层）已发生合同总额/10000</t>
  </si>
  <si>
    <t>成本明细 太阳能系统(四步节能）已发生合同总额/10000</t>
  </si>
  <si>
    <t>成本明细 区内景观工程（含示范区景观）已发生合同总额/10000</t>
  </si>
  <si>
    <t>成本明细 区外挡土墙工程已发生合同总额/10000</t>
  </si>
  <si>
    <t>成本明细 界外地景观已发生合同总额/10000</t>
  </si>
  <si>
    <t>成本明细 土建监理费已发生合同总额/10000</t>
  </si>
  <si>
    <t>成本明细 含人防监理费已发生合同总额/10000</t>
  </si>
  <si>
    <t>成本明细 变更签证已发生合同总额/10000</t>
  </si>
  <si>
    <t>成本明细 电力工程费已发生合同总额/10000</t>
  </si>
  <si>
    <t>成本明细 一户一表费已发生合同总额/10000</t>
  </si>
  <si>
    <t>成本明细 外线路由费及破路补偿费已发生合同总额/10000</t>
  </si>
  <si>
    <t>成本明细 配电柜已发生合同总额/10000</t>
  </si>
  <si>
    <t>成本明细 内缆工程费已发生合同总额/10000</t>
  </si>
  <si>
    <t>成本明细 箱式站基础、Cf箱基础、土建变电站已发生合同总额/10000</t>
  </si>
  <si>
    <t>成本明细 红号站设备已发生合同总额/10000</t>
  </si>
  <si>
    <t>成本明细 自来水工程费已发生合同总额/10000</t>
  </si>
  <si>
    <t>成本明细 水土保持设施补偿费已发生合同总额/10000</t>
  </si>
  <si>
    <t>成本明细 地下水资源费已发生合同总额/10000</t>
  </si>
  <si>
    <t>成本明细 水土保持方案编制费已发生合同总额/10000</t>
  </si>
  <si>
    <t>成本明细 用水报告书编制费已发生合同总额/10000</t>
  </si>
  <si>
    <t>供水（中水）</t>
  </si>
  <si>
    <t>4.3.1</t>
  </si>
  <si>
    <t>中水工程费</t>
  </si>
  <si>
    <t>4.3.2</t>
  </si>
  <si>
    <t>中水工程费（二次网）</t>
  </si>
  <si>
    <t>4.3.3</t>
  </si>
  <si>
    <t>4.3.4</t>
  </si>
  <si>
    <t>D125/$D$4*10000</t>
    <phoneticPr fontId="3" type="noConversion"/>
  </si>
  <si>
    <t>D126/$D$4*10000</t>
    <phoneticPr fontId="3" type="noConversion"/>
  </si>
  <si>
    <t>成本明细 用水报告书编制费成本总额</t>
    <phoneticPr fontId="3" type="noConversion"/>
  </si>
  <si>
    <t>成本明细 中水工程费成本总额</t>
  </si>
  <si>
    <t>成本明细 中水工程费（二次网）成本总额</t>
  </si>
  <si>
    <t>成本明细 二次供水工程设备费已发生合同总额/10000</t>
    <phoneticPr fontId="3" type="noConversion"/>
  </si>
  <si>
    <t>成本明细 二次供水工程设备费已发生合同总额/10000</t>
    <phoneticPr fontId="3" type="noConversion"/>
  </si>
  <si>
    <t>成本明细 二次供水工程设备费成本总额</t>
    <phoneticPr fontId="3" type="noConversion"/>
  </si>
  <si>
    <t>D125-J125</t>
    <phoneticPr fontId="3" type="noConversion"/>
  </si>
  <si>
    <t>D126-J126</t>
    <phoneticPr fontId="3" type="noConversion"/>
  </si>
  <si>
    <t>J125+L125</t>
    <phoneticPr fontId="3" type="noConversion"/>
  </si>
  <si>
    <t>J126+L126</t>
    <phoneticPr fontId="3" type="noConversion"/>
  </si>
  <si>
    <t>N125-D125</t>
    <phoneticPr fontId="3" type="noConversion"/>
  </si>
  <si>
    <t>N126-D126</t>
    <phoneticPr fontId="3" type="noConversion"/>
  </si>
  <si>
    <t>排水</t>
  </si>
  <si>
    <t>4.4.1</t>
  </si>
  <si>
    <t>排水工程费</t>
  </si>
  <si>
    <t>4.4.2</t>
  </si>
  <si>
    <t>排水破路施工费</t>
  </si>
  <si>
    <t>D130/$D$4*10000</t>
    <phoneticPr fontId="3" type="noConversion"/>
  </si>
  <si>
    <t>D131/$D$4*10000</t>
    <phoneticPr fontId="3" type="noConversion"/>
  </si>
  <si>
    <t>排水工程费</t>
    <phoneticPr fontId="3" type="noConversion"/>
  </si>
  <si>
    <t>成本明细 排水工程费成本总额</t>
    <phoneticPr fontId="3" type="noConversion"/>
  </si>
  <si>
    <t>排水破路施工费</t>
    <phoneticPr fontId="3" type="noConversion"/>
  </si>
  <si>
    <t>成本明细 排水工程费已发生合同总额/10000</t>
    <phoneticPr fontId="3" type="noConversion"/>
  </si>
  <si>
    <t>成本明细 排水破路施工费成本总额</t>
    <phoneticPr fontId="3" type="noConversion"/>
  </si>
  <si>
    <t>成本明细 排水破路施工费已发生合同总额/10000</t>
    <phoneticPr fontId="3" type="noConversion"/>
  </si>
  <si>
    <t>D130-J130</t>
    <phoneticPr fontId="3" type="noConversion"/>
  </si>
  <si>
    <t>D131-J131</t>
    <phoneticPr fontId="3" type="noConversion"/>
  </si>
  <si>
    <t>J130+L130</t>
    <phoneticPr fontId="3" type="noConversion"/>
  </si>
  <si>
    <t>J131+L131</t>
    <phoneticPr fontId="3" type="noConversion"/>
  </si>
  <si>
    <t>N130-D130</t>
    <phoneticPr fontId="3" type="noConversion"/>
  </si>
  <si>
    <t>N131-D131</t>
    <phoneticPr fontId="3" type="noConversion"/>
  </si>
  <si>
    <t>供热</t>
  </si>
  <si>
    <t>4.5.1</t>
  </si>
  <si>
    <t>供热工程建设费</t>
  </si>
  <si>
    <t>4.5.2</t>
  </si>
  <si>
    <t>供热内网费</t>
  </si>
  <si>
    <t>挖沟石方签证</t>
  </si>
  <si>
    <t>4.5.3</t>
  </si>
  <si>
    <t>热计量表</t>
  </si>
  <si>
    <t>D133/$D$4*10000</t>
    <phoneticPr fontId="3" type="noConversion"/>
  </si>
  <si>
    <t>D134/$D$4*10000</t>
    <phoneticPr fontId="3" type="noConversion"/>
  </si>
  <si>
    <t>供热工程建设费</t>
    <phoneticPr fontId="3" type="noConversion"/>
  </si>
  <si>
    <t>供热内网费</t>
    <phoneticPr fontId="3" type="noConversion"/>
  </si>
  <si>
    <t>成本明细 供热内网费成本总额</t>
    <phoneticPr fontId="3" type="noConversion"/>
  </si>
  <si>
    <t>热计量表</t>
    <phoneticPr fontId="3" type="noConversion"/>
  </si>
  <si>
    <t>成本明细 供热工程建设费成本总额</t>
    <phoneticPr fontId="3" type="noConversion"/>
  </si>
  <si>
    <t>成本明细 供热工程建设费已发生合同总额/10000</t>
    <phoneticPr fontId="3" type="noConversion"/>
  </si>
  <si>
    <t>成本明细 供热内网费已发生合同总额/10000</t>
    <phoneticPr fontId="3" type="noConversion"/>
  </si>
  <si>
    <t>成本明细 热计量表成本总额</t>
    <phoneticPr fontId="3" type="noConversion"/>
  </si>
  <si>
    <t>成本明细 热计量表已发生合同总额/10000</t>
    <phoneticPr fontId="3" type="noConversion"/>
  </si>
  <si>
    <t>D134-J134</t>
    <phoneticPr fontId="3" type="noConversion"/>
  </si>
  <si>
    <t>D135-J135</t>
    <phoneticPr fontId="3" type="noConversion"/>
  </si>
  <si>
    <t>J133+L133</t>
    <phoneticPr fontId="3" type="noConversion"/>
  </si>
  <si>
    <t>N133-D133</t>
    <phoneticPr fontId="3" type="noConversion"/>
  </si>
  <si>
    <t>J134+L134</t>
    <phoneticPr fontId="3" type="noConversion"/>
  </si>
  <si>
    <t>N134-D134</t>
    <phoneticPr fontId="3" type="noConversion"/>
  </si>
  <si>
    <t>燃气</t>
  </si>
  <si>
    <t>4.6.1</t>
  </si>
  <si>
    <t>气源发展基金(蓟县另收）</t>
  </si>
  <si>
    <t>4.6.2</t>
  </si>
  <si>
    <t>燃气工程费</t>
  </si>
  <si>
    <t>4.6.3</t>
  </si>
  <si>
    <t>燃气设计费</t>
  </si>
  <si>
    <t>已签定综合管网施工图设计费，不发生专项燃气设计费</t>
  </si>
  <si>
    <t>4.6.4</t>
  </si>
  <si>
    <t>燃气表费</t>
  </si>
  <si>
    <t>4.6.5</t>
  </si>
  <si>
    <t>燃气报警器</t>
  </si>
  <si>
    <t>4.6.6</t>
  </si>
  <si>
    <t>点火费</t>
  </si>
  <si>
    <t>入住</t>
  </si>
  <si>
    <t>D137/$D$4*10000</t>
    <phoneticPr fontId="3" type="noConversion"/>
  </si>
  <si>
    <t>D138/$D$4*10000</t>
    <phoneticPr fontId="3" type="noConversion"/>
  </si>
  <si>
    <t>气源发展基金(蓟县另收）</t>
    <phoneticPr fontId="3" type="noConversion"/>
  </si>
  <si>
    <t>成本明细 气源发展基金(蓟县另收）成本总额</t>
    <phoneticPr fontId="3" type="noConversion"/>
  </si>
  <si>
    <t>燃气工程费</t>
    <phoneticPr fontId="3" type="noConversion"/>
  </si>
  <si>
    <t>成本明细 燃气工程费成本总额</t>
    <phoneticPr fontId="3" type="noConversion"/>
  </si>
  <si>
    <t>燃气设计费</t>
    <phoneticPr fontId="3" type="noConversion"/>
  </si>
  <si>
    <t>成本明细 燃气设计费成本总额</t>
    <phoneticPr fontId="3" type="noConversion"/>
  </si>
  <si>
    <t>燃气表费</t>
    <phoneticPr fontId="3" type="noConversion"/>
  </si>
  <si>
    <t>成本明细 燃气表费成本总额</t>
    <phoneticPr fontId="3" type="noConversion"/>
  </si>
  <si>
    <t>燃气报警器</t>
    <phoneticPr fontId="3" type="noConversion"/>
  </si>
  <si>
    <t>成本明细 燃气报警器成本总额</t>
    <phoneticPr fontId="3" type="noConversion"/>
  </si>
  <si>
    <t>点火费</t>
    <phoneticPr fontId="3" type="noConversion"/>
  </si>
  <si>
    <t>成本明细 点火费成本总额</t>
    <phoneticPr fontId="3" type="noConversion"/>
  </si>
  <si>
    <t>成本明细 气源发展基金(蓟县另收）已发生合同总额/10000</t>
  </si>
  <si>
    <t>成本明细 燃气工程费已发生合同总额/10000</t>
  </si>
  <si>
    <t>成本明细 燃气设计费已发生合同总额/10000</t>
  </si>
  <si>
    <t>成本明细 燃气表费已发生合同总额/10000</t>
  </si>
  <si>
    <t>成本明细 燃气报警器已发生合同总额/10000</t>
  </si>
  <si>
    <t>成本明细 点火费已发生合同总额/10000</t>
  </si>
  <si>
    <t>D137-J137</t>
    <phoneticPr fontId="3" type="noConversion"/>
  </si>
  <si>
    <t>D138-J138</t>
    <phoneticPr fontId="3" type="noConversion"/>
  </si>
  <si>
    <t>D140-J140</t>
    <phoneticPr fontId="3" type="noConversion"/>
  </si>
  <si>
    <t>D141-J141</t>
    <phoneticPr fontId="3" type="noConversion"/>
  </si>
  <si>
    <t>D142-J142</t>
    <phoneticPr fontId="3" type="noConversion"/>
  </si>
  <si>
    <t>J137+L137</t>
    <phoneticPr fontId="3" type="noConversion"/>
  </si>
  <si>
    <t>N137-D137</t>
    <phoneticPr fontId="3" type="noConversion"/>
  </si>
  <si>
    <t>J138+L138</t>
    <phoneticPr fontId="3" type="noConversion"/>
  </si>
  <si>
    <t>N138-D138</t>
    <phoneticPr fontId="3" type="noConversion"/>
  </si>
  <si>
    <t>视讯</t>
  </si>
  <si>
    <t>4.7.1</t>
  </si>
  <si>
    <t>电视线路安装费</t>
  </si>
  <si>
    <t>4.7.2</t>
  </si>
  <si>
    <t>电视外网工程费</t>
  </si>
  <si>
    <t>4.7.3</t>
  </si>
  <si>
    <t>通讯线路安装费</t>
  </si>
  <si>
    <t>增加光纤入户</t>
  </si>
  <si>
    <t>D144/$D$4*10000</t>
    <phoneticPr fontId="3" type="noConversion"/>
  </si>
  <si>
    <t>D145/$D$4*10000</t>
    <phoneticPr fontId="3" type="noConversion"/>
  </si>
  <si>
    <t>电视线路安装费</t>
    <phoneticPr fontId="3" type="noConversion"/>
  </si>
  <si>
    <t>成本明细 电视线路安装费成本总额</t>
    <phoneticPr fontId="3" type="noConversion"/>
  </si>
  <si>
    <t>电视外网工程费</t>
    <phoneticPr fontId="3" type="noConversion"/>
  </si>
  <si>
    <t>成本明细 电视外网工程费成本总额</t>
    <phoneticPr fontId="3" type="noConversion"/>
  </si>
  <si>
    <t>通讯线路安装费</t>
    <phoneticPr fontId="3" type="noConversion"/>
  </si>
  <si>
    <t>成本明细 通讯线路安装费成本总额</t>
    <phoneticPr fontId="3" type="noConversion"/>
  </si>
  <si>
    <t>成本明细 电视线路安装费已发生合同总额/10000</t>
  </si>
  <si>
    <t>成本明细 电视外网工程费已发生合同总额/10000</t>
  </si>
  <si>
    <t>成本明细 通讯线路安装费已发生合同总额/10000</t>
  </si>
  <si>
    <t>J145+L145</t>
    <phoneticPr fontId="3" type="noConversion"/>
  </si>
  <si>
    <t>J146+L146</t>
    <phoneticPr fontId="3" type="noConversion"/>
  </si>
  <si>
    <t>N145-D145</t>
    <phoneticPr fontId="3" type="noConversion"/>
  </si>
  <si>
    <t>N146-D146</t>
    <phoneticPr fontId="3" type="noConversion"/>
  </si>
  <si>
    <t>室外区内智能化工程</t>
  </si>
  <si>
    <t>4.8.1</t>
  </si>
  <si>
    <t>区停车场管理系统</t>
  </si>
  <si>
    <t>4.8.2</t>
  </si>
  <si>
    <t>安防系统工程、交通设施</t>
  </si>
  <si>
    <t>4.8.3</t>
  </si>
  <si>
    <t>音乐广播、电子屏系统</t>
  </si>
  <si>
    <t>D148/$D$4*10000</t>
    <phoneticPr fontId="3" type="noConversion"/>
  </si>
  <si>
    <t>D149/$D$4*10000</t>
    <phoneticPr fontId="3" type="noConversion"/>
  </si>
  <si>
    <t>区停车场管理系统</t>
    <phoneticPr fontId="3" type="noConversion"/>
  </si>
  <si>
    <t>成本明细 区停车场管理系统成本总额</t>
    <phoneticPr fontId="3" type="noConversion"/>
  </si>
  <si>
    <t>安防系统工程、交通设施</t>
    <phoneticPr fontId="3" type="noConversion"/>
  </si>
  <si>
    <t>成本明细 安防系统工程、交通设施成本总额</t>
    <phoneticPr fontId="3" type="noConversion"/>
  </si>
  <si>
    <t>音乐广播、电子屏系统</t>
    <phoneticPr fontId="3" type="noConversion"/>
  </si>
  <si>
    <t>成本明细 音乐广播、电子屏系统成本总额</t>
    <phoneticPr fontId="3" type="noConversion"/>
  </si>
  <si>
    <t>成本明细 区停车场管理系统已发生合同总额/10000</t>
  </si>
  <si>
    <t>成本明细 安防系统工程、交通设施已发生合同总额/10000</t>
  </si>
  <si>
    <t>D148-J148</t>
    <phoneticPr fontId="3" type="noConversion"/>
  </si>
  <si>
    <t>D149-J149</t>
    <phoneticPr fontId="3" type="noConversion"/>
  </si>
  <si>
    <t>J148+L148</t>
    <phoneticPr fontId="3" type="noConversion"/>
  </si>
  <si>
    <t>N148-D148</t>
    <phoneticPr fontId="3" type="noConversion"/>
  </si>
  <si>
    <t>J149+L149</t>
    <phoneticPr fontId="3" type="noConversion"/>
  </si>
  <si>
    <t>N149-D149</t>
    <phoneticPr fontId="3" type="noConversion"/>
  </si>
  <si>
    <t>其他基础设施费</t>
  </si>
  <si>
    <t>4.9.1</t>
  </si>
  <si>
    <t>邮政设施</t>
  </si>
  <si>
    <t>4.9.2</t>
  </si>
  <si>
    <t>环卫设施</t>
  </si>
  <si>
    <t>4.9.3</t>
  </si>
  <si>
    <t>交通设施</t>
  </si>
  <si>
    <t>D153/$D$4*10000</t>
    <phoneticPr fontId="3" type="noConversion"/>
  </si>
  <si>
    <t>邮政设施</t>
    <phoneticPr fontId="3" type="noConversion"/>
  </si>
  <si>
    <t>成本明细 邮政设施成本总额</t>
    <phoneticPr fontId="3" type="noConversion"/>
  </si>
  <si>
    <t>环卫设施</t>
    <phoneticPr fontId="3" type="noConversion"/>
  </si>
  <si>
    <t>成本明细 环卫设施成本总额</t>
    <phoneticPr fontId="3" type="noConversion"/>
  </si>
  <si>
    <t>交通设施</t>
    <phoneticPr fontId="3" type="noConversion"/>
  </si>
  <si>
    <t>成本明细 交通设施成本总额</t>
    <phoneticPr fontId="3" type="noConversion"/>
  </si>
  <si>
    <t>成本明细 邮政设施已发生合同总额/10000</t>
  </si>
  <si>
    <t>成本明细 环卫设施已发生合同总额/10000</t>
  </si>
  <si>
    <t>成本明细 交通设施已发生合同总额/10000</t>
  </si>
  <si>
    <t>D152-J152</t>
    <phoneticPr fontId="3" type="noConversion"/>
  </si>
  <si>
    <t>D153-J153</t>
    <phoneticPr fontId="3" type="noConversion"/>
  </si>
  <si>
    <t>J152+L152</t>
    <phoneticPr fontId="3" type="noConversion"/>
  </si>
  <si>
    <t>N152-D152</t>
    <phoneticPr fontId="3" type="noConversion"/>
  </si>
  <si>
    <t>J153+L153</t>
    <phoneticPr fontId="3" type="noConversion"/>
  </si>
  <si>
    <t>N153-D153</t>
    <phoneticPr fontId="3" type="noConversion"/>
  </si>
  <si>
    <t>五</t>
  </si>
  <si>
    <t>公用配套设施</t>
  </si>
  <si>
    <t>非营业性公建配套费</t>
  </si>
  <si>
    <t>物业管理费</t>
  </si>
  <si>
    <t>5.2.1</t>
  </si>
  <si>
    <t>物业开办费</t>
  </si>
  <si>
    <t>5.2.2</t>
  </si>
  <si>
    <t>前期配合费</t>
  </si>
  <si>
    <t>5.2.3</t>
  </si>
  <si>
    <t>验房费</t>
  </si>
  <si>
    <t>5.2.4</t>
  </si>
  <si>
    <t>空房管理费</t>
  </si>
  <si>
    <t>空房采暖费</t>
  </si>
  <si>
    <t>六</t>
  </si>
  <si>
    <t>不可预见费（建安工程费的千分之五）</t>
  </si>
  <si>
    <t>C156+C157+C162</t>
  </si>
  <si>
    <t>D163/$D$4*10000</t>
    <phoneticPr fontId="3" type="noConversion"/>
  </si>
  <si>
    <t>D156+D157+D162</t>
    <phoneticPr fontId="3" type="noConversion"/>
  </si>
  <si>
    <t>不可预见费（建安工程费的千分之五）</t>
    <phoneticPr fontId="3" type="noConversion"/>
  </si>
  <si>
    <t>成本明细 不可预见费成本总额</t>
    <phoneticPr fontId="3" type="noConversion"/>
  </si>
  <si>
    <t>？</t>
    <phoneticPr fontId="3" type="noConversion"/>
  </si>
  <si>
    <t>F156+F157+F162</t>
    <phoneticPr fontId="3" type="noConversion"/>
  </si>
  <si>
    <t>成本明细 音乐广播、电子屏系统已发生合同总额/10000</t>
    <phoneticPr fontId="3" type="noConversion"/>
  </si>
  <si>
    <t>成本明细 不可预见费已发生合同总额/10000</t>
    <phoneticPr fontId="3" type="noConversion"/>
  </si>
  <si>
    <t>G156+G157+G162</t>
    <phoneticPr fontId="3" type="noConversion"/>
  </si>
  <si>
    <t>H156+H157+H162</t>
    <phoneticPr fontId="3" type="noConversion"/>
  </si>
  <si>
    <t>I156+I157+I162</t>
    <phoneticPr fontId="3" type="noConversion"/>
  </si>
  <si>
    <t>？</t>
    <phoneticPr fontId="3" type="noConversion"/>
  </si>
  <si>
    <t>J156+J157+J162</t>
    <phoneticPr fontId="3" type="noConversion"/>
  </si>
  <si>
    <t>F163+G163+H163+I163</t>
    <phoneticPr fontId="3" type="noConversion"/>
  </si>
  <si>
    <t>L156+L157+L162</t>
    <phoneticPr fontId="3" type="noConversion"/>
  </si>
  <si>
    <t>D163-J163</t>
    <phoneticPr fontId="3" type="noConversion"/>
  </si>
  <si>
    <t>N156+N157+N162</t>
    <phoneticPr fontId="3" type="noConversion"/>
  </si>
  <si>
    <t>J163+L163</t>
    <phoneticPr fontId="3" type="noConversion"/>
  </si>
  <si>
    <t>O156+O157+O162</t>
    <phoneticPr fontId="3" type="noConversion"/>
  </si>
  <si>
    <t>N163-D163</t>
    <phoneticPr fontId="3" type="noConversion"/>
  </si>
  <si>
    <t>七</t>
  </si>
  <si>
    <t>直接成本小计</t>
  </si>
  <si>
    <t>八</t>
  </si>
  <si>
    <t>销售收入</t>
  </si>
  <si>
    <t>九</t>
  </si>
  <si>
    <t>毛利率</t>
  </si>
  <si>
    <t>十</t>
  </si>
  <si>
    <t>销售费用</t>
  </si>
  <si>
    <t>十一</t>
  </si>
  <si>
    <t>管理费用</t>
  </si>
  <si>
    <t>十二</t>
  </si>
  <si>
    <t>公共设施维修基金</t>
  </si>
  <si>
    <t>十三</t>
  </si>
  <si>
    <t>资金成本（贷款利息）</t>
  </si>
  <si>
    <t>其中1745万是贷款利息；2000万是购买债权</t>
  </si>
  <si>
    <t>十四</t>
  </si>
  <si>
    <t>融资成本</t>
  </si>
  <si>
    <t>十五</t>
  </si>
  <si>
    <t>营业税金</t>
  </si>
  <si>
    <t>十六</t>
  </si>
  <si>
    <t>土地增值税</t>
  </si>
  <si>
    <t>十七</t>
  </si>
  <si>
    <t>税前成本合计</t>
  </si>
  <si>
    <t>十八</t>
  </si>
  <si>
    <t>税前利润</t>
  </si>
  <si>
    <t>十九</t>
  </si>
  <si>
    <t>税前利润率</t>
  </si>
  <si>
    <t>二十</t>
  </si>
  <si>
    <t>所得税</t>
  </si>
  <si>
    <t>二十一</t>
  </si>
  <si>
    <t>税后成本合计</t>
  </si>
  <si>
    <t>二十二</t>
  </si>
  <si>
    <t>税后利润</t>
  </si>
  <si>
    <t>二十三</t>
  </si>
  <si>
    <t>税后净利润率</t>
  </si>
  <si>
    <t>C8+C16+C70+C105+C155+C163</t>
    <phoneticPr fontId="3" type="noConversion"/>
  </si>
  <si>
    <t>D8+D16+D70+D105+D155+D163</t>
    <phoneticPr fontId="3" type="noConversion"/>
  </si>
  <si>
    <t>？</t>
    <phoneticPr fontId="3" type="noConversion"/>
  </si>
  <si>
    <t>F8+F16+F70+F105+F155+F163</t>
    <phoneticPr fontId="3" type="noConversion"/>
  </si>
  <si>
    <t>G8+G16+G70+G105+G155+G163</t>
    <phoneticPr fontId="3" type="noConversion"/>
  </si>
  <si>
    <t>H8+H16+H70+H105+H155+H163</t>
    <phoneticPr fontId="3" type="noConversion"/>
  </si>
  <si>
    <t>I8+I16+I70+I105+I155+I163</t>
    <phoneticPr fontId="3" type="noConversion"/>
  </si>
  <si>
    <t>J8+J16+J70+J105+J155+J163</t>
    <phoneticPr fontId="3" type="noConversion"/>
  </si>
  <si>
    <t>来源？</t>
    <phoneticPr fontId="3" type="noConversion"/>
  </si>
  <si>
    <t>L8+L16+L70+L105+L155+L163</t>
    <phoneticPr fontId="3" type="noConversion"/>
  </si>
  <si>
    <t>M8+M16+M70+M105+M155+M163</t>
    <phoneticPr fontId="3" type="noConversion"/>
  </si>
  <si>
    <t>N8+N16+N70+N105+N155+N163</t>
    <phoneticPr fontId="3" type="noConversion"/>
  </si>
  <si>
    <t>O8+O16+O70+O105+O155+O163</t>
    <phoneticPr fontId="3" type="noConversion"/>
  </si>
  <si>
    <t>N165-J165</t>
    <phoneticPr fontId="3" type="noConversion"/>
  </si>
  <si>
    <t>销售价格测算 销售额总计</t>
    <phoneticPr fontId="3" type="noConversion"/>
  </si>
  <si>
    <t>J167+L167</t>
    <phoneticPr fontId="3" type="noConversion"/>
  </si>
  <si>
    <t>N167/N165</t>
    <phoneticPr fontId="3" type="noConversion"/>
  </si>
  <si>
    <t>J165*0.01</t>
    <phoneticPr fontId="3" type="noConversion"/>
  </si>
  <si>
    <t>J168/29*25</t>
  </si>
  <si>
    <t>J168+L168</t>
  </si>
  <si>
    <t>N168/N165</t>
  </si>
  <si>
    <t>J169+L169</t>
  </si>
  <si>
    <t>5400-J170?</t>
    <phoneticPr fontId="3" type="noConversion"/>
  </si>
  <si>
    <t>J170+L170</t>
  </si>
  <si>
    <t>J165*0.0565</t>
  </si>
  <si>
    <t>L165*0.0565</t>
  </si>
  <si>
    <t>J171+L171</t>
  </si>
  <si>
    <t>J172+L172</t>
  </si>
  <si>
    <t>N165*0.02</t>
  </si>
  <si>
    <t>N164+N167+N168+N169+N170+N171+N172+N173</t>
  </si>
  <si>
    <t>N165-N174</t>
  </si>
  <si>
    <t>N175/N165</t>
  </si>
  <si>
    <t>N175*0.25</t>
  </si>
  <si>
    <t>N174+N177</t>
  </si>
  <si>
    <t>N165-N178</t>
  </si>
  <si>
    <t>N179/N165</t>
  </si>
  <si>
    <t>新目标成本</t>
    <phoneticPr fontId="3" type="noConversion"/>
  </si>
  <si>
    <t>本月动态成本（万元）</t>
    <phoneticPr fontId="3" type="noConversion"/>
  </si>
  <si>
    <t>成本增加（动态-目标）</t>
    <phoneticPr fontId="3" type="noConversion"/>
  </si>
  <si>
    <r>
      <t>控制指标</t>
    </r>
    <r>
      <rPr>
        <b/>
        <sz val="8"/>
        <rFont val="宋体"/>
        <family val="3"/>
        <charset val="134"/>
      </rPr>
      <t>（元/m3）</t>
    </r>
    <phoneticPr fontId="3" type="noConversion"/>
  </si>
  <si>
    <t>总投资（万元）</t>
    <phoneticPr fontId="3" type="noConversion"/>
  </si>
  <si>
    <t>合同值</t>
    <phoneticPr fontId="3" type="noConversion"/>
  </si>
  <si>
    <t>结算差异</t>
    <phoneticPr fontId="3" type="noConversion"/>
  </si>
  <si>
    <t>结算差异</t>
    <phoneticPr fontId="3" type="noConversion"/>
  </si>
  <si>
    <t>一</t>
    <phoneticPr fontId="3" type="noConversion"/>
  </si>
  <si>
    <t>土地及大配套费</t>
    <phoneticPr fontId="3" type="noConversion"/>
  </si>
  <si>
    <t>成本增加29.85万元。  主要原因是土地契税，目标成本1166.89万元是按（土地+大配套费）*3%计算；合同额：1196.756417万元（按容积率1.1计算的大配套费），而目标成本的大配套费的计费面积是按实际容积率0.766。</t>
  </si>
  <si>
    <t>项目成本发生明细</t>
    <phoneticPr fontId="3" type="noConversion"/>
  </si>
  <si>
    <t>单位：元</t>
  </si>
  <si>
    <t>建筑面积：</t>
  </si>
  <si>
    <t>合同编号</t>
  </si>
  <si>
    <t>项    目</t>
  </si>
  <si>
    <t>成本编码</t>
  </si>
  <si>
    <r>
      <rPr>
        <b/>
        <sz val="10"/>
        <rFont val="宋体"/>
        <family val="3"/>
        <charset val="134"/>
      </rPr>
      <t>控制指标</t>
    </r>
    <r>
      <rPr>
        <b/>
        <sz val="8"/>
        <rFont val="宋体"/>
        <family val="3"/>
        <charset val="134"/>
      </rPr>
      <t>（元/m2）</t>
    </r>
  </si>
  <si>
    <t>成本总额（万元）</t>
    <phoneticPr fontId="3" type="noConversion"/>
  </si>
  <si>
    <t>已发生合同额</t>
    <phoneticPr fontId="3" type="noConversion"/>
  </si>
  <si>
    <r>
      <rPr>
        <b/>
        <sz val="10"/>
        <rFont val="宋体"/>
        <family val="3"/>
        <charset val="134"/>
      </rPr>
      <t xml:space="preserve">已发生平米造价
</t>
    </r>
    <r>
      <rPr>
        <b/>
        <sz val="8"/>
        <rFont val="宋体"/>
        <family val="3"/>
        <charset val="134"/>
      </rPr>
      <t>（元</t>
    </r>
    <r>
      <rPr>
        <b/>
        <sz val="8"/>
        <rFont val="Times New Roman"/>
        <family val="1"/>
      </rPr>
      <t>/m2</t>
    </r>
    <r>
      <rPr>
        <b/>
        <sz val="8"/>
        <rFont val="宋体"/>
        <family val="3"/>
        <charset val="134"/>
      </rPr>
      <t>）</t>
    </r>
  </si>
  <si>
    <t>合同累计拨款</t>
  </si>
  <si>
    <t>成本对比</t>
  </si>
  <si>
    <t>指标对比</t>
  </si>
  <si>
    <t>备      注</t>
  </si>
  <si>
    <t>一、土地及大配套</t>
  </si>
  <si>
    <t>5001.01.01</t>
  </si>
  <si>
    <r>
      <t>1.1</t>
    </r>
    <r>
      <rPr>
        <b/>
        <sz val="10"/>
        <rFont val="黑体"/>
        <family val="3"/>
        <charset val="134"/>
      </rPr>
      <t xml:space="preserve">  </t>
    </r>
    <r>
      <rPr>
        <b/>
        <sz val="10"/>
        <rFont val="黑体"/>
        <family val="3"/>
        <charset val="134"/>
      </rPr>
      <t>土地出让金</t>
    </r>
    <r>
      <rPr>
        <b/>
        <sz val="10"/>
        <color indexed="10"/>
        <rFont val="黑体"/>
        <family val="3"/>
        <charset val="134"/>
      </rPr>
      <t>(土土)</t>
    </r>
    <phoneticPr fontId="3" type="noConversion"/>
  </si>
  <si>
    <t>5001.01.01.01</t>
  </si>
  <si>
    <t>JXA-005</t>
  </si>
  <si>
    <r>
      <t>1.2</t>
    </r>
    <r>
      <rPr>
        <b/>
        <sz val="10"/>
        <rFont val="黑体"/>
        <family val="3"/>
        <charset val="134"/>
      </rPr>
      <t xml:space="preserve">  </t>
    </r>
    <r>
      <rPr>
        <b/>
        <sz val="10"/>
        <rFont val="黑体"/>
        <family val="3"/>
        <charset val="134"/>
      </rPr>
      <t>大配套费</t>
    </r>
    <r>
      <rPr>
        <b/>
        <sz val="10"/>
        <color indexed="10"/>
        <rFont val="黑体"/>
        <family val="3"/>
        <charset val="134"/>
      </rPr>
      <t>（土配）</t>
    </r>
    <phoneticPr fontId="3" type="noConversion"/>
  </si>
  <si>
    <t>5001.01.01.02</t>
  </si>
  <si>
    <t>JXA-079W</t>
  </si>
  <si>
    <t>JXA-164W</t>
  </si>
  <si>
    <r>
      <rPr>
        <b/>
        <sz val="10"/>
        <rFont val="黑体"/>
        <family val="3"/>
        <charset val="134"/>
      </rPr>
      <t>1.3</t>
    </r>
    <r>
      <rPr>
        <b/>
        <sz val="10"/>
        <rFont val="黑体"/>
        <family val="3"/>
        <charset val="134"/>
      </rPr>
      <t xml:space="preserve">  </t>
    </r>
    <r>
      <rPr>
        <b/>
        <sz val="10"/>
        <rFont val="黑体"/>
        <family val="3"/>
        <charset val="134"/>
      </rPr>
      <t>土地契税</t>
    </r>
    <r>
      <rPr>
        <b/>
        <sz val="10"/>
        <color indexed="10"/>
        <rFont val="黑体"/>
        <family val="3"/>
        <charset val="134"/>
      </rPr>
      <t>（土契）</t>
    </r>
    <phoneticPr fontId="3" type="noConversion"/>
  </si>
  <si>
    <t>5001.01.01.03</t>
  </si>
  <si>
    <t>JXA-017W</t>
  </si>
  <si>
    <r>
      <rPr>
        <b/>
        <sz val="10"/>
        <rFont val="黑体"/>
        <family val="3"/>
        <charset val="134"/>
      </rPr>
      <t>1.4</t>
    </r>
    <r>
      <rPr>
        <b/>
        <sz val="10"/>
        <rFont val="黑体"/>
        <family val="3"/>
        <charset val="134"/>
      </rPr>
      <t xml:space="preserve">  </t>
    </r>
    <r>
      <rPr>
        <b/>
        <sz val="10"/>
        <rFont val="黑体"/>
        <family val="3"/>
        <charset val="134"/>
      </rPr>
      <t>土地交易费</t>
    </r>
    <r>
      <rPr>
        <b/>
        <sz val="10"/>
        <color indexed="10"/>
        <rFont val="黑体"/>
        <family val="3"/>
        <charset val="134"/>
      </rPr>
      <t>（土交）</t>
    </r>
    <phoneticPr fontId="3" type="noConversion"/>
  </si>
  <si>
    <t>5001.01.01.04</t>
  </si>
  <si>
    <t>JXA-006W</t>
  </si>
  <si>
    <t>JXA-008W</t>
  </si>
  <si>
    <r>
      <rPr>
        <b/>
        <sz val="10"/>
        <rFont val="黑体"/>
        <family val="3"/>
        <charset val="134"/>
      </rPr>
      <t>1.5  印花税</t>
    </r>
    <r>
      <rPr>
        <b/>
        <sz val="10"/>
        <color indexed="10"/>
        <rFont val="黑体"/>
        <family val="3"/>
        <charset val="134"/>
      </rPr>
      <t>（土印）</t>
    </r>
    <phoneticPr fontId="3" type="noConversion"/>
  </si>
  <si>
    <t>5001.01.01.05</t>
  </si>
  <si>
    <r>
      <rPr>
        <b/>
        <sz val="10"/>
        <rFont val="黑体"/>
        <family val="3"/>
        <charset val="134"/>
      </rPr>
      <t>1.6  交易手续费</t>
    </r>
    <r>
      <rPr>
        <b/>
        <sz val="10"/>
        <color indexed="10"/>
        <rFont val="黑体"/>
        <family val="3"/>
        <charset val="134"/>
      </rPr>
      <t>（土手）</t>
    </r>
    <phoneticPr fontId="3" type="noConversion"/>
  </si>
  <si>
    <t>JXA-009W</t>
  </si>
  <si>
    <r>
      <rPr>
        <b/>
        <sz val="10"/>
        <rFont val="黑体"/>
        <family val="3"/>
        <charset val="134"/>
      </rPr>
      <t>1.7  拍卖佣金</t>
    </r>
    <r>
      <rPr>
        <b/>
        <sz val="10"/>
        <color rgb="FFFF0000"/>
        <rFont val="黑体"/>
        <family val="3"/>
        <charset val="134"/>
      </rPr>
      <t>（土拍）</t>
    </r>
    <phoneticPr fontId="3" type="noConversion"/>
  </si>
  <si>
    <t>JXA-010W</t>
  </si>
  <si>
    <t>二、前期费用</t>
  </si>
  <si>
    <t>5001.01.02</t>
  </si>
  <si>
    <t>2.1  工程勘查</t>
  </si>
  <si>
    <t>5001.01.02.01</t>
  </si>
  <si>
    <r>
      <t>2</t>
    </r>
    <r>
      <rPr>
        <sz val="10"/>
        <rFont val="黑体"/>
        <family val="3"/>
        <charset val="134"/>
      </rPr>
      <t>.1.1.地质勘查费</t>
    </r>
    <r>
      <rPr>
        <b/>
        <sz val="10"/>
        <color indexed="10"/>
        <rFont val="黑体"/>
        <family val="3"/>
        <charset val="134"/>
      </rPr>
      <t>（前勘勘）</t>
    </r>
    <phoneticPr fontId="3" type="noConversion"/>
  </si>
  <si>
    <t>JXA-003</t>
  </si>
  <si>
    <t>JXA-035</t>
  </si>
  <si>
    <r>
      <rPr>
        <sz val="10"/>
        <rFont val="黑体"/>
        <family val="3"/>
        <charset val="134"/>
      </rPr>
      <t>2.1.2.测绘款</t>
    </r>
    <r>
      <rPr>
        <b/>
        <sz val="10"/>
        <color indexed="10"/>
        <rFont val="黑体"/>
        <family val="3"/>
        <charset val="134"/>
      </rPr>
      <t>（前勘绘）</t>
    </r>
    <phoneticPr fontId="3" type="noConversion"/>
  </si>
  <si>
    <t>JXA-002</t>
  </si>
  <si>
    <t>JXA-011W</t>
  </si>
  <si>
    <t>JXA-012W</t>
  </si>
  <si>
    <t>JXA-045W</t>
  </si>
  <si>
    <t>JXA-156W</t>
  </si>
  <si>
    <r>
      <rPr>
        <sz val="10"/>
        <rFont val="黑体"/>
        <family val="3"/>
        <charset val="134"/>
      </rPr>
      <t>2.1.4.土地证</t>
    </r>
    <r>
      <rPr>
        <b/>
        <sz val="10"/>
        <color indexed="10"/>
        <rFont val="黑体"/>
        <family val="3"/>
        <charset val="134"/>
      </rPr>
      <t>（前勘证）</t>
    </r>
    <phoneticPr fontId="3" type="noConversion"/>
  </si>
  <si>
    <t>JXA-007W</t>
  </si>
  <si>
    <r>
      <rPr>
        <b/>
        <sz val="10"/>
        <rFont val="黑体"/>
        <family val="3"/>
        <charset val="134"/>
      </rPr>
      <t>2</t>
    </r>
    <r>
      <rPr>
        <b/>
        <sz val="10"/>
        <rFont val="黑体"/>
        <family val="3"/>
        <charset val="134"/>
      </rPr>
      <t xml:space="preserve">.2  </t>
    </r>
    <r>
      <rPr>
        <b/>
        <sz val="10"/>
        <rFont val="黑体"/>
        <family val="3"/>
        <charset val="134"/>
      </rPr>
      <t>工程设计</t>
    </r>
  </si>
  <si>
    <t>5001.01.02.02</t>
  </si>
  <si>
    <r>
      <rPr>
        <sz val="10"/>
        <rFont val="黑体"/>
        <family val="3"/>
        <charset val="134"/>
      </rPr>
      <t>2</t>
    </r>
    <r>
      <rPr>
        <sz val="10"/>
        <rFont val="黑体"/>
        <family val="3"/>
        <charset val="134"/>
      </rPr>
      <t>.2.1</t>
    </r>
    <r>
      <rPr>
        <sz val="10"/>
        <rFont val="黑体"/>
        <family val="3"/>
        <charset val="134"/>
      </rPr>
      <t>.方案、施工图设计费</t>
    </r>
    <r>
      <rPr>
        <b/>
        <sz val="10"/>
        <color indexed="10"/>
        <rFont val="黑体"/>
        <family val="3"/>
        <charset val="134"/>
      </rPr>
      <t>（前设设）</t>
    </r>
    <phoneticPr fontId="3" type="noConversion"/>
  </si>
  <si>
    <t>JXA-004</t>
  </si>
  <si>
    <t>JXA-137</t>
  </si>
  <si>
    <r>
      <rPr>
        <sz val="10"/>
        <rFont val="黑体"/>
        <family val="3"/>
        <charset val="134"/>
      </rPr>
      <t>2</t>
    </r>
    <r>
      <rPr>
        <sz val="10"/>
        <rFont val="黑体"/>
        <family val="3"/>
        <charset val="134"/>
      </rPr>
      <t>.2.2</t>
    </r>
    <r>
      <rPr>
        <sz val="10"/>
        <rFont val="黑体"/>
        <family val="3"/>
        <charset val="134"/>
      </rPr>
      <t>.成品房设计费</t>
    </r>
    <r>
      <rPr>
        <b/>
        <sz val="10"/>
        <color indexed="10"/>
        <rFont val="黑体"/>
        <family val="3"/>
        <charset val="134"/>
      </rPr>
      <t>（前设成）</t>
    </r>
    <phoneticPr fontId="3" type="noConversion"/>
  </si>
  <si>
    <t>JXA-096</t>
  </si>
  <si>
    <r>
      <rPr>
        <sz val="10"/>
        <rFont val="黑体"/>
        <family val="3"/>
        <charset val="134"/>
      </rPr>
      <t>2</t>
    </r>
    <r>
      <rPr>
        <sz val="10"/>
        <rFont val="黑体"/>
        <family val="3"/>
        <charset val="134"/>
      </rPr>
      <t>.2.3</t>
    </r>
    <r>
      <rPr>
        <sz val="10"/>
        <rFont val="黑体"/>
        <family val="3"/>
        <charset val="134"/>
      </rPr>
      <t>.景观设计费</t>
    </r>
    <r>
      <rPr>
        <b/>
        <sz val="10"/>
        <color indexed="10"/>
        <rFont val="黑体"/>
        <family val="3"/>
        <charset val="134"/>
      </rPr>
      <t>（前设景）</t>
    </r>
    <phoneticPr fontId="3" type="noConversion"/>
  </si>
  <si>
    <t>JXA-038</t>
  </si>
  <si>
    <r>
      <rPr>
        <sz val="10"/>
        <rFont val="黑体"/>
        <family val="3"/>
        <charset val="134"/>
      </rPr>
      <t>2.2.4</t>
    </r>
    <r>
      <rPr>
        <sz val="10"/>
        <rFont val="黑体"/>
        <family val="3"/>
        <charset val="134"/>
      </rPr>
      <t>.综合管网设计费</t>
    </r>
    <r>
      <rPr>
        <b/>
        <sz val="10"/>
        <color indexed="10"/>
        <rFont val="黑体"/>
        <family val="3"/>
        <charset val="134"/>
      </rPr>
      <t>（前设网）</t>
    </r>
    <phoneticPr fontId="3" type="noConversion"/>
  </si>
  <si>
    <t>JXA-088</t>
  </si>
  <si>
    <t>JXA-097</t>
  </si>
  <si>
    <r>
      <rPr>
        <sz val="10"/>
        <rFont val="黑体"/>
        <family val="3"/>
        <charset val="134"/>
      </rPr>
      <t>2.2.5</t>
    </r>
    <r>
      <rPr>
        <sz val="10"/>
        <rFont val="黑体"/>
        <family val="3"/>
        <charset val="134"/>
      </rPr>
      <t>.其他设计费(含人防设计费、排水、自来水)</t>
    </r>
    <r>
      <rPr>
        <b/>
        <sz val="10"/>
        <color indexed="10"/>
        <rFont val="黑体"/>
        <family val="3"/>
        <charset val="134"/>
      </rPr>
      <t>（前设其）</t>
    </r>
    <phoneticPr fontId="3" type="noConversion"/>
  </si>
  <si>
    <t>JXA-037</t>
  </si>
  <si>
    <t>JXA-090</t>
  </si>
  <si>
    <t>JXA-091</t>
  </si>
  <si>
    <r>
      <rPr>
        <sz val="10"/>
        <rFont val="黑体"/>
        <family val="3"/>
        <charset val="134"/>
      </rPr>
      <t>2.2.6.施工图审查费</t>
    </r>
    <r>
      <rPr>
        <b/>
        <sz val="10"/>
        <color indexed="10"/>
        <rFont val="黑体"/>
        <family val="3"/>
        <charset val="134"/>
      </rPr>
      <t>（前设审）</t>
    </r>
    <phoneticPr fontId="3" type="noConversion"/>
  </si>
  <si>
    <t>JXA-068</t>
  </si>
  <si>
    <t>JXA-068B</t>
  </si>
  <si>
    <t>JXA-068C</t>
  </si>
  <si>
    <t>JXA-068D</t>
  </si>
  <si>
    <t>JXA-113</t>
  </si>
  <si>
    <r>
      <rPr>
        <sz val="10"/>
        <rFont val="黑体"/>
        <family val="3"/>
        <charset val="134"/>
      </rPr>
      <t>2.2.7.其它杂项</t>
    </r>
    <r>
      <rPr>
        <b/>
        <sz val="10"/>
        <color indexed="10"/>
        <rFont val="黑体"/>
        <family val="3"/>
        <charset val="134"/>
      </rPr>
      <t>（前设图）</t>
    </r>
  </si>
  <si>
    <t>JXA-014W</t>
  </si>
  <si>
    <t>JXA-021W</t>
  </si>
  <si>
    <t>JXA-022W</t>
  </si>
  <si>
    <t>JXA-034W</t>
  </si>
  <si>
    <t>2.3  三通一平</t>
  </si>
  <si>
    <t>5001.01.02.03</t>
  </si>
  <si>
    <r>
      <rPr>
        <sz val="10"/>
        <rFont val="黑体"/>
        <family val="3"/>
        <charset val="134"/>
      </rPr>
      <t>2.3.1.临电工程费红线内外</t>
    </r>
    <r>
      <rPr>
        <b/>
        <sz val="10"/>
        <color indexed="10"/>
        <rFont val="黑体"/>
        <family val="3"/>
        <charset val="134"/>
      </rPr>
      <t>（前临电）</t>
    </r>
  </si>
  <si>
    <t>JXA-047</t>
  </si>
  <si>
    <t>JXA-051</t>
  </si>
  <si>
    <t>JXA-054W</t>
  </si>
  <si>
    <t>JXA-055W</t>
  </si>
  <si>
    <t>JXA-059</t>
  </si>
  <si>
    <t>JXA-056</t>
  </si>
  <si>
    <r>
      <rPr>
        <sz val="10"/>
        <rFont val="黑体"/>
        <family val="3"/>
        <charset val="134"/>
      </rPr>
      <t>2.3.2</t>
    </r>
    <r>
      <rPr>
        <sz val="10"/>
        <rFont val="黑体"/>
        <family val="3"/>
        <charset val="134"/>
      </rPr>
      <t>.临水工程费红线内外</t>
    </r>
    <r>
      <rPr>
        <b/>
        <sz val="10"/>
        <color indexed="10"/>
        <rFont val="黑体"/>
        <family val="3"/>
        <charset val="134"/>
      </rPr>
      <t>（前临水）</t>
    </r>
  </si>
  <si>
    <t>JXA-084</t>
  </si>
  <si>
    <t>JXA-092</t>
  </si>
  <si>
    <r>
      <rPr>
        <sz val="10"/>
        <rFont val="黑体"/>
        <family val="3"/>
        <charset val="134"/>
      </rPr>
      <t>2.3.3</t>
    </r>
    <r>
      <rPr>
        <sz val="10"/>
        <rFont val="黑体"/>
        <family val="3"/>
        <charset val="134"/>
      </rPr>
      <t>.临排工程费</t>
    </r>
    <r>
      <rPr>
        <b/>
        <sz val="10"/>
        <color indexed="10"/>
        <rFont val="黑体"/>
        <family val="3"/>
        <charset val="134"/>
      </rPr>
      <t>（前临排）</t>
    </r>
  </si>
  <si>
    <r>
      <rPr>
        <sz val="10"/>
        <rFont val="黑体"/>
        <family val="3"/>
        <charset val="134"/>
      </rPr>
      <t>2.3.4.场地平整</t>
    </r>
    <r>
      <rPr>
        <b/>
        <sz val="10"/>
        <color indexed="10"/>
        <rFont val="黑体"/>
        <family val="3"/>
        <charset val="134"/>
      </rPr>
      <t>（前临土）</t>
    </r>
  </si>
  <si>
    <t>JXA-016B</t>
  </si>
  <si>
    <r>
      <rPr>
        <sz val="10"/>
        <rFont val="黑体"/>
        <family val="3"/>
        <charset val="134"/>
      </rPr>
      <t>2.3.5.临时设施</t>
    </r>
    <r>
      <rPr>
        <b/>
        <sz val="10"/>
        <color indexed="10"/>
        <rFont val="黑体"/>
        <family val="3"/>
        <charset val="134"/>
      </rPr>
      <t>（前临围）</t>
    </r>
  </si>
  <si>
    <t>JXA-040</t>
  </si>
  <si>
    <t>JXA-049</t>
  </si>
  <si>
    <r>
      <rPr>
        <sz val="10"/>
        <rFont val="黑体"/>
        <family val="3"/>
        <charset val="134"/>
      </rPr>
      <t>2.3.6.道路开口费</t>
    </r>
    <r>
      <rPr>
        <b/>
        <sz val="10"/>
        <color indexed="10"/>
        <rFont val="黑体"/>
        <family val="3"/>
        <charset val="134"/>
      </rPr>
      <t>（前道口）</t>
    </r>
  </si>
  <si>
    <t>JXA-025W</t>
  </si>
  <si>
    <t>JXA-026W</t>
  </si>
  <si>
    <r>
      <rPr>
        <sz val="10"/>
        <rFont val="黑体"/>
        <family val="3"/>
        <charset val="134"/>
      </rPr>
      <t>2.3.7.地上障碍物拆除</t>
    </r>
    <r>
      <rPr>
        <b/>
        <sz val="10"/>
        <color indexed="10"/>
        <rFont val="黑体"/>
        <family val="3"/>
        <charset val="134"/>
      </rPr>
      <t>（前临障）</t>
    </r>
  </si>
  <si>
    <t>JXA-023</t>
  </si>
  <si>
    <t>JXA-050</t>
  </si>
  <si>
    <r>
      <rPr>
        <b/>
        <sz val="10"/>
        <rFont val="黑体"/>
        <family val="3"/>
        <charset val="134"/>
      </rPr>
      <t>2.4</t>
    </r>
    <r>
      <rPr>
        <b/>
        <sz val="10"/>
        <rFont val="黑体"/>
        <family val="3"/>
        <charset val="134"/>
      </rPr>
      <t xml:space="preserve">  </t>
    </r>
    <r>
      <rPr>
        <b/>
        <sz val="10"/>
        <rFont val="黑体"/>
        <family val="3"/>
        <charset val="134"/>
      </rPr>
      <t>招标代理咨询费</t>
    </r>
  </si>
  <si>
    <t>5001.01.02.05</t>
  </si>
  <si>
    <r>
      <rPr>
        <sz val="10"/>
        <rFont val="黑体"/>
        <family val="3"/>
        <charset val="134"/>
      </rPr>
      <t>2.4.1.招标代理费（建筑、监理、勘察、设计、物业）</t>
    </r>
    <r>
      <rPr>
        <b/>
        <sz val="10"/>
        <color indexed="10"/>
        <rFont val="黑体"/>
        <family val="3"/>
        <charset val="134"/>
      </rPr>
      <t>（前标代）</t>
    </r>
  </si>
  <si>
    <t>JXA-042</t>
  </si>
  <si>
    <t>JXA-100</t>
  </si>
  <si>
    <t>JXA-142</t>
  </si>
  <si>
    <r>
      <rPr>
        <sz val="10"/>
        <rFont val="黑体"/>
        <family val="3"/>
        <charset val="134"/>
      </rPr>
      <t>2.4.2.工程建设交易服务费（建筑、监理、勘察、设计、物业）</t>
    </r>
    <r>
      <rPr>
        <b/>
        <sz val="10"/>
        <color indexed="10"/>
        <rFont val="黑体"/>
        <family val="3"/>
        <charset val="134"/>
      </rPr>
      <t>（前标服）</t>
    </r>
  </si>
  <si>
    <t>JXA-052W</t>
  </si>
  <si>
    <t>JXA-081W</t>
  </si>
  <si>
    <t>JXA-082W</t>
  </si>
  <si>
    <t>JXA-089W</t>
  </si>
  <si>
    <t>JXA-083W</t>
  </si>
  <si>
    <t>JXA-138W</t>
  </si>
  <si>
    <t>JXA-159W</t>
  </si>
  <si>
    <t>JXA-160W</t>
  </si>
  <si>
    <r>
      <rPr>
        <sz val="10"/>
        <rFont val="黑体"/>
        <family val="3"/>
        <charset val="134"/>
      </rPr>
      <t>2.4.4.工程支付款担保费</t>
    </r>
    <r>
      <rPr>
        <b/>
        <sz val="10"/>
        <color indexed="10"/>
        <rFont val="黑体"/>
        <family val="3"/>
        <charset val="134"/>
      </rPr>
      <t>（前标担）</t>
    </r>
  </si>
  <si>
    <t>JXA-077</t>
  </si>
  <si>
    <t>JXA-167</t>
  </si>
  <si>
    <t>JXA-168</t>
  </si>
  <si>
    <r>
      <rPr>
        <sz val="10"/>
        <rFont val="黑体"/>
        <family val="3"/>
        <charset val="134"/>
      </rPr>
      <t>2.4.5.造价咨询费</t>
    </r>
    <r>
      <rPr>
        <b/>
        <sz val="10"/>
        <color indexed="10"/>
        <rFont val="黑体"/>
        <family val="3"/>
        <charset val="134"/>
      </rPr>
      <t>（前标咨）</t>
    </r>
  </si>
  <si>
    <t>JXA-015</t>
  </si>
  <si>
    <t>JXA-149</t>
  </si>
  <si>
    <r>
      <rPr>
        <b/>
        <sz val="10"/>
        <rFont val="黑体"/>
        <family val="3"/>
        <charset val="134"/>
      </rPr>
      <t>2.5</t>
    </r>
    <r>
      <rPr>
        <b/>
        <sz val="10"/>
        <rFont val="黑体"/>
        <family val="3"/>
        <charset val="134"/>
      </rPr>
      <t xml:space="preserve">  </t>
    </r>
    <r>
      <rPr>
        <b/>
        <sz val="10"/>
        <rFont val="黑体"/>
        <family val="3"/>
        <charset val="134"/>
      </rPr>
      <t>环境、能评费用</t>
    </r>
  </si>
  <si>
    <r>
      <rPr>
        <sz val="10"/>
        <rFont val="黑体"/>
        <family val="3"/>
        <charset val="134"/>
      </rPr>
      <t>2.5.1.环境评估费</t>
    </r>
    <r>
      <rPr>
        <b/>
        <sz val="10"/>
        <color indexed="10"/>
        <rFont val="黑体"/>
        <family val="3"/>
        <charset val="134"/>
      </rPr>
      <t>（前环评）</t>
    </r>
  </si>
  <si>
    <t>JXA-044</t>
  </si>
  <si>
    <t>JXA-076</t>
  </si>
  <si>
    <t>2.5.2.环境验收费用</t>
    <phoneticPr fontId="3" type="noConversion"/>
  </si>
  <si>
    <t>2.5.3.地质灾害评估</t>
    <phoneticPr fontId="3" type="noConversion"/>
  </si>
  <si>
    <r>
      <rPr>
        <sz val="10"/>
        <rFont val="黑体"/>
        <family val="3"/>
        <charset val="134"/>
      </rPr>
      <t>2.5.4.能源评估费</t>
    </r>
    <r>
      <rPr>
        <b/>
        <sz val="10"/>
        <color indexed="10"/>
        <rFont val="黑体"/>
        <family val="3"/>
        <charset val="134"/>
      </rPr>
      <t>（前能评）</t>
    </r>
    <phoneticPr fontId="3" type="noConversion"/>
  </si>
  <si>
    <t>JXA-043</t>
  </si>
  <si>
    <t>2.6 办理施工许可证费用</t>
  </si>
  <si>
    <r>
      <rPr>
        <sz val="10"/>
        <rFont val="黑体"/>
        <family val="3"/>
        <charset val="134"/>
      </rPr>
      <t>2.6.1.墙改费</t>
    </r>
    <r>
      <rPr>
        <b/>
        <sz val="10"/>
        <color indexed="10"/>
        <rFont val="黑体"/>
        <family val="3"/>
        <charset val="134"/>
      </rPr>
      <t>（前墙）</t>
    </r>
  </si>
  <si>
    <t>JXA-063W</t>
  </si>
  <si>
    <t>JXA-141W</t>
  </si>
  <si>
    <r>
      <rPr>
        <sz val="10"/>
        <rFont val="黑体"/>
        <family val="3"/>
        <charset val="134"/>
      </rPr>
      <t>2.6.2.水泥专项基金</t>
    </r>
    <r>
      <rPr>
        <b/>
        <sz val="10"/>
        <color indexed="10"/>
        <rFont val="黑体"/>
        <family val="3"/>
        <charset val="134"/>
      </rPr>
      <t>（前泥）</t>
    </r>
    <phoneticPr fontId="3" type="noConversion"/>
  </si>
  <si>
    <t>JXA-078W</t>
  </si>
  <si>
    <t>JXA-161W</t>
  </si>
  <si>
    <r>
      <rPr>
        <sz val="10"/>
        <rFont val="黑体"/>
        <family val="3"/>
        <charset val="134"/>
      </rPr>
      <t>2.6.3.人防易地建设费</t>
    </r>
    <r>
      <rPr>
        <b/>
        <sz val="10"/>
        <color indexed="10"/>
        <rFont val="黑体"/>
        <family val="3"/>
        <charset val="134"/>
      </rPr>
      <t>（前人建）</t>
    </r>
    <phoneticPr fontId="3" type="noConversion"/>
  </si>
  <si>
    <t>JXA-065W</t>
  </si>
  <si>
    <r>
      <rPr>
        <sz val="10"/>
        <rFont val="黑体"/>
        <family val="3"/>
        <charset val="134"/>
      </rPr>
      <t>2.6.4.地名标志费</t>
    </r>
    <r>
      <rPr>
        <b/>
        <sz val="10"/>
        <color indexed="10"/>
        <rFont val="黑体"/>
        <family val="3"/>
        <charset val="134"/>
      </rPr>
      <t>（前地）</t>
    </r>
    <phoneticPr fontId="3" type="noConversion"/>
  </si>
  <si>
    <t>JXA-067W</t>
  </si>
  <si>
    <t>2.6.5.地名公告费</t>
    <phoneticPr fontId="3" type="noConversion"/>
  </si>
  <si>
    <t>2.6.6.楼栋、单元标志牌费</t>
    <phoneticPr fontId="3" type="noConversion"/>
  </si>
  <si>
    <t>2.7 检测费用</t>
  </si>
  <si>
    <t>2.7.1.避雷检测费</t>
  </si>
  <si>
    <t>2.7.2.电气消防安全检测费</t>
  </si>
  <si>
    <t>2.7.3.室内环境检测费</t>
  </si>
  <si>
    <t>2.7.4.档案存档费</t>
  </si>
  <si>
    <t>2.7.5.人防监督及档案编制</t>
  </si>
  <si>
    <t>JXA-066</t>
  </si>
  <si>
    <r>
      <rPr>
        <sz val="10"/>
        <rFont val="黑体"/>
        <family val="3"/>
        <charset val="134"/>
      </rPr>
      <t>2.7.6.消防存档费</t>
    </r>
    <r>
      <rPr>
        <sz val="10"/>
        <color rgb="FFFF0000"/>
        <rFont val="黑体"/>
        <family val="3"/>
        <charset val="134"/>
      </rPr>
      <t>（前消档）</t>
    </r>
  </si>
  <si>
    <t>JXA-134W</t>
  </si>
  <si>
    <r>
      <rPr>
        <b/>
        <sz val="10"/>
        <rFont val="黑体"/>
        <family val="3"/>
        <charset val="134"/>
      </rPr>
      <t>2.8 销售相关费用</t>
    </r>
    <r>
      <rPr>
        <b/>
        <sz val="10"/>
        <color rgb="FFFF0000"/>
        <rFont val="黑体"/>
        <family val="3"/>
        <charset val="134"/>
      </rPr>
      <t>(前销）</t>
    </r>
  </si>
  <si>
    <r>
      <rPr>
        <sz val="10"/>
        <rFont val="黑体"/>
        <family val="3"/>
        <charset val="134"/>
      </rPr>
      <t>2.8.1.地籍地形图、核地</t>
    </r>
    <r>
      <rPr>
        <b/>
        <sz val="10"/>
        <color indexed="10"/>
        <rFont val="黑体"/>
        <family val="3"/>
        <charset val="134"/>
      </rPr>
      <t>（前核地）</t>
    </r>
  </si>
  <si>
    <t>JXA-001</t>
  </si>
  <si>
    <t>JXA-153W</t>
  </si>
  <si>
    <r>
      <rPr>
        <sz val="10"/>
        <rFont val="黑体"/>
        <family val="3"/>
        <charset val="134"/>
      </rPr>
      <t>2.8</t>
    </r>
    <r>
      <rPr>
        <sz val="10"/>
        <rFont val="黑体"/>
        <family val="3"/>
        <charset val="134"/>
      </rPr>
      <t>.2</t>
    </r>
    <r>
      <rPr>
        <sz val="10"/>
        <rFont val="黑体"/>
        <family val="3"/>
        <charset val="134"/>
      </rPr>
      <t>.销售许可证公告费</t>
    </r>
  </si>
  <si>
    <t>JXA-126W</t>
  </si>
  <si>
    <t>JXA-139W</t>
  </si>
  <si>
    <t>JXA-151W</t>
  </si>
  <si>
    <t>2.8.3.预售登记费</t>
  </si>
  <si>
    <t>JXA-125W</t>
  </si>
  <si>
    <t>JXA-140W</t>
  </si>
  <si>
    <t>JXA-152W</t>
  </si>
  <si>
    <t>2.8.4.分户土地登记费</t>
  </si>
  <si>
    <r>
      <rPr>
        <sz val="10"/>
        <rFont val="黑体"/>
        <family val="3"/>
        <charset val="134"/>
      </rPr>
      <t>2.8</t>
    </r>
    <r>
      <rPr>
        <sz val="10"/>
        <rFont val="黑体"/>
        <family val="3"/>
        <charset val="134"/>
      </rPr>
      <t>.</t>
    </r>
    <r>
      <rPr>
        <sz val="10"/>
        <rFont val="黑体"/>
        <family val="3"/>
        <charset val="134"/>
      </rPr>
      <t>5</t>
    </r>
    <r>
      <rPr>
        <sz val="10"/>
        <rFont val="黑体"/>
        <family val="3"/>
        <charset val="134"/>
      </rPr>
      <t>.</t>
    </r>
    <r>
      <rPr>
        <sz val="10"/>
        <rFont val="黑体"/>
        <family val="3"/>
        <charset val="134"/>
      </rPr>
      <t>准入证公告费</t>
    </r>
  </si>
  <si>
    <r>
      <rPr>
        <sz val="10"/>
        <rFont val="黑体"/>
        <family val="3"/>
        <charset val="134"/>
      </rPr>
      <t>2.8.6.房产测绘费（面积测量）</t>
    </r>
    <r>
      <rPr>
        <b/>
        <sz val="10"/>
        <color rgb="FFFF0000"/>
        <rFont val="黑体"/>
        <family val="3"/>
        <charset val="134"/>
      </rPr>
      <t>（前面）</t>
    </r>
  </si>
  <si>
    <t>JXA-095W</t>
  </si>
  <si>
    <t>JXA-117W</t>
  </si>
  <si>
    <r>
      <rPr>
        <sz val="10"/>
        <rFont val="黑体"/>
        <family val="3"/>
        <charset val="134"/>
      </rPr>
      <t>2.8</t>
    </r>
    <r>
      <rPr>
        <sz val="10"/>
        <rFont val="黑体"/>
        <family val="3"/>
        <charset val="134"/>
      </rPr>
      <t>.</t>
    </r>
    <r>
      <rPr>
        <sz val="10"/>
        <rFont val="黑体"/>
        <family val="3"/>
        <charset val="134"/>
      </rPr>
      <t>7</t>
    </r>
    <r>
      <rPr>
        <sz val="10"/>
        <rFont val="黑体"/>
        <family val="3"/>
        <charset val="134"/>
      </rPr>
      <t>.</t>
    </r>
    <r>
      <rPr>
        <sz val="10"/>
        <rFont val="黑体"/>
        <family val="3"/>
        <charset val="134"/>
      </rPr>
      <t>房屋转让手续费（产权登记）</t>
    </r>
  </si>
  <si>
    <t>JXA-130W</t>
  </si>
  <si>
    <t>JXA-150W</t>
  </si>
  <si>
    <t>JXA-157W</t>
  </si>
  <si>
    <r>
      <rPr>
        <b/>
        <sz val="10"/>
        <rFont val="黑体"/>
        <family val="3"/>
        <charset val="134"/>
      </rPr>
      <t>2.9 其他</t>
    </r>
    <r>
      <rPr>
        <b/>
        <sz val="10"/>
        <color indexed="10"/>
        <rFont val="黑体"/>
        <family val="3"/>
        <charset val="134"/>
      </rPr>
      <t>（前其他）</t>
    </r>
  </si>
  <si>
    <t>JXA-019W</t>
  </si>
  <si>
    <t>JXA-020W</t>
  </si>
  <si>
    <t>JXA-028W</t>
  </si>
  <si>
    <r>
      <rPr>
        <sz val="10"/>
        <color indexed="10"/>
        <rFont val="黑体"/>
        <family val="3"/>
        <charset val="134"/>
      </rPr>
      <t>JXA-0</t>
    </r>
    <r>
      <rPr>
        <sz val="10"/>
        <color indexed="10"/>
        <rFont val="黑体"/>
        <family val="3"/>
        <charset val="134"/>
      </rPr>
      <t>30W</t>
    </r>
  </si>
  <si>
    <t>三、建安工程费</t>
  </si>
  <si>
    <t>5001.01.03</t>
  </si>
  <si>
    <t>3.1 桩基、土方、基坑支护工程</t>
  </si>
  <si>
    <t>5001.01.03.01</t>
  </si>
  <si>
    <r>
      <rPr>
        <sz val="10"/>
        <rFont val="黑体"/>
        <family val="3"/>
        <charset val="134"/>
      </rPr>
      <t>3</t>
    </r>
    <r>
      <rPr>
        <sz val="10"/>
        <rFont val="黑体"/>
        <family val="3"/>
        <charset val="134"/>
      </rPr>
      <t>.1.1.桩基础工程费</t>
    </r>
    <r>
      <rPr>
        <b/>
        <sz val="10"/>
        <color indexed="10"/>
        <rFont val="黑体"/>
        <family val="3"/>
        <charset val="134"/>
      </rPr>
      <t>（建桩工）</t>
    </r>
  </si>
  <si>
    <t>JXA-144</t>
  </si>
  <si>
    <r>
      <rPr>
        <sz val="10"/>
        <rFont val="黑体"/>
        <family val="3"/>
        <charset val="134"/>
      </rPr>
      <t>3</t>
    </r>
    <r>
      <rPr>
        <sz val="10"/>
        <rFont val="黑体"/>
        <family val="3"/>
        <charset val="134"/>
      </rPr>
      <t>.1.2</t>
    </r>
    <r>
      <rPr>
        <sz val="10"/>
        <rFont val="黑体"/>
        <family val="3"/>
        <charset val="134"/>
      </rPr>
      <t>.桩检测费用</t>
    </r>
    <r>
      <rPr>
        <b/>
        <sz val="10"/>
        <color indexed="10"/>
        <rFont val="黑体"/>
        <family val="3"/>
        <charset val="134"/>
      </rPr>
      <t>（建桩检）</t>
    </r>
  </si>
  <si>
    <t>JXA-154</t>
  </si>
  <si>
    <r>
      <rPr>
        <sz val="10"/>
        <rFont val="黑体"/>
        <family val="3"/>
        <charset val="134"/>
      </rPr>
      <t>3.1.3</t>
    </r>
    <r>
      <rPr>
        <sz val="10"/>
        <rFont val="黑体"/>
        <family val="3"/>
        <charset val="134"/>
      </rPr>
      <t>.挖填土方</t>
    </r>
    <r>
      <rPr>
        <b/>
        <sz val="10"/>
        <color indexed="10"/>
        <rFont val="黑体"/>
        <family val="3"/>
        <charset val="134"/>
      </rPr>
      <t>（建桩土）</t>
    </r>
  </si>
  <si>
    <r>
      <rPr>
        <sz val="10"/>
        <rFont val="黑体"/>
        <family val="3"/>
        <charset val="134"/>
      </rPr>
      <t>3.1.4.地基处理费（强夯）</t>
    </r>
    <r>
      <rPr>
        <b/>
        <sz val="10"/>
        <color indexed="10"/>
        <rFont val="黑体"/>
        <family val="3"/>
        <charset val="134"/>
      </rPr>
      <t>（建基）</t>
    </r>
  </si>
  <si>
    <t>JXA-073</t>
  </si>
  <si>
    <r>
      <rPr>
        <sz val="10"/>
        <color indexed="10"/>
        <rFont val="黑体"/>
        <family val="3"/>
        <charset val="134"/>
      </rPr>
      <t>JXA-073</t>
    </r>
    <r>
      <rPr>
        <sz val="10"/>
        <color indexed="10"/>
        <rFont val="黑体"/>
        <family val="3"/>
        <charset val="134"/>
      </rPr>
      <t>B</t>
    </r>
  </si>
  <si>
    <t>JXA-093</t>
  </si>
  <si>
    <t>JXA-155</t>
  </si>
  <si>
    <t>3.1.5.地基处理费（换填）</t>
  </si>
  <si>
    <r>
      <rPr>
        <sz val="10"/>
        <rFont val="黑体"/>
        <family val="3"/>
        <charset val="134"/>
      </rPr>
      <t>3.1.6.沉降观测</t>
    </r>
    <r>
      <rPr>
        <b/>
        <sz val="10"/>
        <color indexed="10"/>
        <rFont val="黑体"/>
        <family val="3"/>
        <charset val="134"/>
      </rPr>
      <t>(建沉）</t>
    </r>
  </si>
  <si>
    <t>JXA-099</t>
  </si>
  <si>
    <r>
      <rPr>
        <sz val="10"/>
        <rFont val="黑体"/>
        <family val="3"/>
        <charset val="134"/>
      </rPr>
      <t>3.1.7.建筑物定位测量及工程竣工验收测量</t>
    </r>
    <r>
      <rPr>
        <b/>
        <sz val="10"/>
        <color indexed="10"/>
        <rFont val="黑体"/>
        <family val="3"/>
        <charset val="134"/>
      </rPr>
      <t>（建定测）</t>
    </r>
  </si>
  <si>
    <t xml:space="preserve">JXA-060W </t>
  </si>
  <si>
    <r>
      <rPr>
        <sz val="10"/>
        <color indexed="10"/>
        <rFont val="黑体"/>
        <family val="3"/>
        <charset val="134"/>
      </rPr>
      <t>JXA-06</t>
    </r>
    <r>
      <rPr>
        <sz val="10"/>
        <color indexed="10"/>
        <rFont val="黑体"/>
        <family val="3"/>
        <charset val="134"/>
      </rPr>
      <t>4</t>
    </r>
    <r>
      <rPr>
        <sz val="10"/>
        <color indexed="10"/>
        <rFont val="黑体"/>
        <family val="3"/>
        <charset val="134"/>
      </rPr>
      <t xml:space="preserve"> </t>
    </r>
  </si>
  <si>
    <r>
      <rPr>
        <sz val="10"/>
        <color indexed="10"/>
        <rFont val="黑体"/>
        <family val="3"/>
        <charset val="134"/>
      </rPr>
      <t>JXA-</t>
    </r>
    <r>
      <rPr>
        <sz val="10"/>
        <color indexed="10"/>
        <rFont val="黑体"/>
        <family val="3"/>
        <charset val="134"/>
      </rPr>
      <t xml:space="preserve">123 </t>
    </r>
  </si>
  <si>
    <r>
      <rPr>
        <b/>
        <sz val="10"/>
        <rFont val="黑体"/>
        <family val="3"/>
        <charset val="134"/>
      </rPr>
      <t>3.2 主体建安</t>
    </r>
    <r>
      <rPr>
        <b/>
        <sz val="10"/>
        <color indexed="10"/>
        <rFont val="黑体"/>
        <family val="3"/>
        <charset val="134"/>
      </rPr>
      <t>（建主）</t>
    </r>
  </si>
  <si>
    <t>5001.01.03.02</t>
  </si>
  <si>
    <r>
      <rPr>
        <sz val="10"/>
        <rFont val="黑体"/>
        <family val="3"/>
        <charset val="134"/>
      </rPr>
      <t>3.2.1.建安工程费</t>
    </r>
    <r>
      <rPr>
        <b/>
        <sz val="10"/>
        <color rgb="FFFF0000"/>
        <rFont val="黑体"/>
        <family val="3"/>
        <charset val="134"/>
      </rPr>
      <t>(建主建）</t>
    </r>
  </si>
  <si>
    <t>JXA-102</t>
  </si>
  <si>
    <t xml:space="preserve">JXA-057 </t>
  </si>
  <si>
    <t xml:space="preserve">JXA-169 </t>
  </si>
  <si>
    <t>JXA-145</t>
  </si>
  <si>
    <t>JXA-146-01</t>
  </si>
  <si>
    <t>JXA-146-02</t>
  </si>
  <si>
    <t>3.2.2.公共部位精装修</t>
  </si>
  <si>
    <t xml:space="preserve">JXA-132 </t>
  </si>
  <si>
    <t>3.2.3.精装修（样板间、会所）</t>
  </si>
  <si>
    <t xml:space="preserve">JXA-118 </t>
  </si>
  <si>
    <t xml:space="preserve">JXA-121 </t>
  </si>
  <si>
    <t xml:space="preserve">JXA-033 </t>
  </si>
  <si>
    <t>3.2.4.外檐保温石材及涂料</t>
  </si>
  <si>
    <t xml:space="preserve">JXA-110 </t>
  </si>
  <si>
    <t xml:space="preserve">JXA-116 </t>
  </si>
  <si>
    <t xml:space="preserve">JXA-131 </t>
  </si>
  <si>
    <t>3.2.5.外檐断桥铝合金门窗</t>
  </si>
  <si>
    <t xml:space="preserve">JXA-103 </t>
  </si>
  <si>
    <t>3.2.6.铝合金空调百叶</t>
  </si>
  <si>
    <t xml:space="preserve">JXA-136 </t>
  </si>
  <si>
    <t>3.2.7.入户门（不设小院门)</t>
  </si>
  <si>
    <t xml:space="preserve">JXA-129 </t>
  </si>
  <si>
    <t xml:space="preserve">JXA-124 </t>
  </si>
  <si>
    <t xml:space="preserve">JXA-135 </t>
  </si>
  <si>
    <t xml:space="preserve">JXA-177 </t>
  </si>
  <si>
    <t>3.2.8.配电箱及电表箱</t>
  </si>
  <si>
    <t xml:space="preserve">JXA-098 </t>
  </si>
  <si>
    <r>
      <rPr>
        <b/>
        <sz val="10"/>
        <rFont val="黑体"/>
        <family val="3"/>
        <charset val="134"/>
      </rPr>
      <t>3.</t>
    </r>
    <r>
      <rPr>
        <b/>
        <sz val="10"/>
        <rFont val="黑体"/>
        <family val="3"/>
        <charset val="134"/>
      </rPr>
      <t>3</t>
    </r>
    <r>
      <rPr>
        <b/>
        <sz val="10"/>
        <rFont val="黑体"/>
        <family val="3"/>
        <charset val="134"/>
      </rPr>
      <t xml:space="preserve"> </t>
    </r>
    <r>
      <rPr>
        <b/>
        <sz val="10"/>
        <rFont val="黑体"/>
        <family val="3"/>
        <charset val="134"/>
      </rPr>
      <t>设施设备</t>
    </r>
  </si>
  <si>
    <r>
      <rPr>
        <sz val="10"/>
        <rFont val="黑体"/>
        <family val="3"/>
        <charset val="134"/>
      </rPr>
      <t>3.5.1</t>
    </r>
    <r>
      <rPr>
        <sz val="10"/>
        <rFont val="黑体"/>
        <family val="3"/>
        <charset val="134"/>
      </rPr>
      <t>.电梯工程</t>
    </r>
  </si>
  <si>
    <r>
      <rPr>
        <sz val="10"/>
        <rFont val="黑体"/>
        <family val="3"/>
        <charset val="134"/>
      </rPr>
      <t>3.5.2</t>
    </r>
    <r>
      <rPr>
        <sz val="10"/>
        <rFont val="黑体"/>
        <family val="3"/>
        <charset val="134"/>
      </rPr>
      <t>.智能化</t>
    </r>
  </si>
  <si>
    <t>JXA-120</t>
  </si>
  <si>
    <r>
      <rPr>
        <sz val="10"/>
        <rFont val="黑体"/>
        <family val="3"/>
        <charset val="134"/>
      </rPr>
      <t>3.5.3</t>
    </r>
    <r>
      <rPr>
        <sz val="10"/>
        <rFont val="黑体"/>
        <family val="3"/>
        <charset val="134"/>
      </rPr>
      <t>.消防工程</t>
    </r>
  </si>
  <si>
    <r>
      <rPr>
        <sz val="10"/>
        <rFont val="黑体"/>
        <family val="3"/>
        <charset val="134"/>
      </rPr>
      <t>3.5.4</t>
    </r>
    <r>
      <rPr>
        <sz val="10"/>
        <rFont val="黑体"/>
        <family val="3"/>
        <charset val="134"/>
      </rPr>
      <t>.人防工程</t>
    </r>
  </si>
  <si>
    <t>3.5.5.空调系统工程</t>
  </si>
  <si>
    <t>JXA-107</t>
  </si>
  <si>
    <t>JXA-111</t>
  </si>
  <si>
    <r>
      <rPr>
        <sz val="10"/>
        <rFont val="黑体"/>
        <family val="3"/>
        <charset val="134"/>
      </rPr>
      <t>3.5.6</t>
    </r>
    <r>
      <rPr>
        <sz val="10"/>
        <rFont val="黑体"/>
        <family val="3"/>
        <charset val="134"/>
      </rPr>
      <t>.通风系统工程</t>
    </r>
  </si>
  <si>
    <t>3.5.7.机械车位（双层）</t>
  </si>
  <si>
    <t>3.5.8.太阳能系统（四步节能）</t>
  </si>
  <si>
    <r>
      <rPr>
        <b/>
        <sz val="10"/>
        <rFont val="黑体"/>
        <family val="3"/>
        <charset val="134"/>
      </rPr>
      <t>3.4 环境工程</t>
    </r>
    <r>
      <rPr>
        <b/>
        <sz val="10"/>
        <color rgb="FFFF0000"/>
        <rFont val="黑体"/>
        <family val="3"/>
        <charset val="134"/>
      </rPr>
      <t>（建环）</t>
    </r>
  </si>
  <si>
    <t>3.4.1.区内景观工程（建环内）</t>
  </si>
  <si>
    <t>JXA-013</t>
  </si>
  <si>
    <t>JXA-024</t>
  </si>
  <si>
    <t>JXA-108</t>
  </si>
  <si>
    <t>JXA-122</t>
  </si>
  <si>
    <t>3.4.2.区外挡土墙</t>
  </si>
  <si>
    <t>JXA-036</t>
  </si>
  <si>
    <t>JXA-053</t>
  </si>
  <si>
    <t>3.4.2.区外景观（建环外）</t>
  </si>
  <si>
    <t>JXA-101</t>
  </si>
  <si>
    <r>
      <rPr>
        <b/>
        <sz val="10"/>
        <rFont val="黑体"/>
        <family val="3"/>
        <charset val="134"/>
      </rPr>
      <t>3.5 监理费</t>
    </r>
    <r>
      <rPr>
        <b/>
        <sz val="10"/>
        <color indexed="10"/>
        <rFont val="黑体"/>
        <family val="3"/>
        <charset val="134"/>
      </rPr>
      <t>（建监）</t>
    </r>
  </si>
  <si>
    <t>5001.01.03.03</t>
  </si>
  <si>
    <t>3.5.1.土建监理费（建监土）</t>
  </si>
  <si>
    <t>JXA-048</t>
  </si>
  <si>
    <t>3.5.2.人防监理费（建监人）</t>
  </si>
  <si>
    <t>3.6 变更签证</t>
  </si>
  <si>
    <r>
      <rPr>
        <b/>
        <sz val="10"/>
        <rFont val="黑体"/>
        <family val="3"/>
        <charset val="134"/>
      </rPr>
      <t>3</t>
    </r>
    <r>
      <rPr>
        <b/>
        <sz val="10"/>
        <rFont val="黑体"/>
        <family val="3"/>
        <charset val="134"/>
      </rPr>
      <t>.7 其他建安</t>
    </r>
  </si>
  <si>
    <t>四、小区基础配套</t>
  </si>
  <si>
    <t>5001.01.04</t>
  </si>
  <si>
    <r>
      <rPr>
        <b/>
        <sz val="10"/>
        <rFont val="黑体"/>
        <family val="3"/>
        <charset val="134"/>
      </rPr>
      <t>4</t>
    </r>
    <r>
      <rPr>
        <b/>
        <sz val="10"/>
        <rFont val="黑体"/>
        <family val="3"/>
        <charset val="134"/>
      </rPr>
      <t xml:space="preserve">.1 </t>
    </r>
    <r>
      <rPr>
        <b/>
        <sz val="10"/>
        <rFont val="黑体"/>
        <family val="3"/>
        <charset val="134"/>
      </rPr>
      <t>供电</t>
    </r>
  </si>
  <si>
    <t>5001.01.04.01</t>
  </si>
  <si>
    <r>
      <rPr>
        <sz val="10"/>
        <rFont val="黑体"/>
        <family val="3"/>
        <charset val="134"/>
      </rPr>
      <t>4</t>
    </r>
    <r>
      <rPr>
        <sz val="10"/>
        <rFont val="黑体"/>
        <family val="3"/>
        <charset val="134"/>
      </rPr>
      <t>.1.1</t>
    </r>
    <r>
      <rPr>
        <sz val="10"/>
        <rFont val="黑体"/>
        <family val="3"/>
        <charset val="134"/>
      </rPr>
      <t>.电力工程</t>
    </r>
    <r>
      <rPr>
        <b/>
        <sz val="10"/>
        <color indexed="10"/>
        <rFont val="黑体"/>
        <family val="3"/>
        <charset val="134"/>
      </rPr>
      <t>（基电工）</t>
    </r>
  </si>
  <si>
    <t>JXA-041W</t>
  </si>
  <si>
    <t>JXA-046W</t>
  </si>
  <si>
    <r>
      <rPr>
        <sz val="10"/>
        <rFont val="黑体"/>
        <family val="3"/>
        <charset val="134"/>
      </rPr>
      <t>4</t>
    </r>
    <r>
      <rPr>
        <sz val="10"/>
        <rFont val="黑体"/>
        <family val="3"/>
        <charset val="134"/>
      </rPr>
      <t>.1.2</t>
    </r>
    <r>
      <rPr>
        <sz val="10"/>
        <rFont val="黑体"/>
        <family val="3"/>
        <charset val="134"/>
      </rPr>
      <t>.一户一表</t>
    </r>
    <r>
      <rPr>
        <b/>
        <sz val="10"/>
        <color indexed="10"/>
        <rFont val="黑体"/>
        <family val="3"/>
        <charset val="134"/>
      </rPr>
      <t>（基电表）</t>
    </r>
  </si>
  <si>
    <t>4.1.3.外线路由费及破路补偿</t>
  </si>
  <si>
    <t>4.1.4.配电柜</t>
  </si>
  <si>
    <r>
      <rPr>
        <sz val="10"/>
        <rFont val="黑体"/>
        <family val="3"/>
        <charset val="134"/>
      </rPr>
      <t>4</t>
    </r>
    <r>
      <rPr>
        <sz val="10"/>
        <rFont val="黑体"/>
        <family val="3"/>
        <charset val="134"/>
      </rPr>
      <t>.1.5.内缆工程费</t>
    </r>
  </si>
  <si>
    <r>
      <rPr>
        <sz val="10"/>
        <rFont val="黑体"/>
        <family val="3"/>
        <charset val="134"/>
      </rPr>
      <t>4.1.6.箱式站基础、CF箱基础、土建变电站</t>
    </r>
    <r>
      <rPr>
        <b/>
        <sz val="10"/>
        <color rgb="FFFF0000"/>
        <rFont val="黑体"/>
        <family val="3"/>
        <charset val="134"/>
      </rPr>
      <t>（基电箱）</t>
    </r>
  </si>
  <si>
    <t>JXA-061W</t>
  </si>
  <si>
    <t>JXA-166</t>
  </si>
  <si>
    <r>
      <rPr>
        <sz val="10"/>
        <rFont val="黑体"/>
        <family val="3"/>
        <charset val="134"/>
      </rPr>
      <t>4.1.7</t>
    </r>
    <r>
      <rPr>
        <sz val="10"/>
        <rFont val="黑体"/>
        <family val="3"/>
        <charset val="134"/>
      </rPr>
      <t>.红号站设备</t>
    </r>
  </si>
  <si>
    <r>
      <rPr>
        <b/>
        <sz val="10"/>
        <rFont val="黑体"/>
        <family val="3"/>
        <charset val="134"/>
      </rPr>
      <t>4</t>
    </r>
    <r>
      <rPr>
        <b/>
        <sz val="10"/>
        <rFont val="黑体"/>
        <family val="3"/>
        <charset val="134"/>
      </rPr>
      <t xml:space="preserve">.2 </t>
    </r>
    <r>
      <rPr>
        <b/>
        <sz val="10"/>
        <rFont val="黑体"/>
        <family val="3"/>
        <charset val="134"/>
      </rPr>
      <t>供水</t>
    </r>
  </si>
  <si>
    <t>5001.01.04.02</t>
  </si>
  <si>
    <r>
      <rPr>
        <sz val="10"/>
        <rFont val="黑体"/>
        <family val="3"/>
        <charset val="134"/>
      </rPr>
      <t>4</t>
    </r>
    <r>
      <rPr>
        <sz val="10"/>
        <rFont val="黑体"/>
        <family val="3"/>
        <charset val="134"/>
      </rPr>
      <t>.2.1</t>
    </r>
    <r>
      <rPr>
        <sz val="10"/>
        <rFont val="黑体"/>
        <family val="3"/>
        <charset val="134"/>
      </rPr>
      <t>.自来水工程费</t>
    </r>
    <r>
      <rPr>
        <b/>
        <sz val="10"/>
        <color indexed="10"/>
        <rFont val="黑体"/>
        <family val="3"/>
        <charset val="134"/>
      </rPr>
      <t>（基水工）</t>
    </r>
  </si>
  <si>
    <t>JXA-105W</t>
  </si>
  <si>
    <r>
      <rPr>
        <sz val="10"/>
        <rFont val="黑体"/>
        <family val="3"/>
        <charset val="134"/>
      </rPr>
      <t>4.2.2.自来水二次网工程费</t>
    </r>
    <r>
      <rPr>
        <b/>
        <sz val="10"/>
        <color indexed="10"/>
        <rFont val="黑体"/>
        <family val="3"/>
        <charset val="134"/>
      </rPr>
      <t>（基水工）</t>
    </r>
  </si>
  <si>
    <t>JXA-133</t>
  </si>
  <si>
    <r>
      <rPr>
        <sz val="10"/>
        <rFont val="黑体"/>
        <family val="3"/>
        <charset val="134"/>
      </rPr>
      <t>4.2.3.水表</t>
    </r>
    <r>
      <rPr>
        <b/>
        <sz val="10"/>
        <color indexed="10"/>
        <rFont val="黑体"/>
        <family val="3"/>
        <charset val="134"/>
      </rPr>
      <t>（基水表）</t>
    </r>
  </si>
  <si>
    <r>
      <rPr>
        <sz val="10"/>
        <rFont val="黑体"/>
        <family val="3"/>
        <charset val="134"/>
      </rPr>
      <t>4.2.4.室外消火灾栓</t>
    </r>
    <r>
      <rPr>
        <b/>
        <sz val="10"/>
        <color indexed="10"/>
        <rFont val="黑体"/>
        <family val="3"/>
        <charset val="134"/>
      </rPr>
      <t>（）</t>
    </r>
  </si>
  <si>
    <r>
      <rPr>
        <sz val="10"/>
        <rFont val="黑体"/>
        <family val="3"/>
        <charset val="134"/>
      </rPr>
      <t>4.2.5.水土保持设施补偿费</t>
    </r>
    <r>
      <rPr>
        <b/>
        <sz val="10"/>
        <color indexed="10"/>
        <rFont val="黑体"/>
        <family val="3"/>
        <charset val="134"/>
      </rPr>
      <t>（基水补）</t>
    </r>
  </si>
  <si>
    <t>JXA-075W</t>
  </si>
  <si>
    <r>
      <rPr>
        <sz val="10"/>
        <rFont val="黑体"/>
        <family val="3"/>
        <charset val="134"/>
      </rPr>
      <t>4.2.6.地下水资源费</t>
    </r>
    <r>
      <rPr>
        <b/>
        <sz val="10"/>
        <color indexed="10"/>
        <rFont val="黑体"/>
        <family val="3"/>
        <charset val="134"/>
      </rPr>
      <t>（基水地）</t>
    </r>
  </si>
  <si>
    <t>JXA-074W</t>
  </si>
  <si>
    <r>
      <rPr>
        <sz val="10"/>
        <rFont val="黑体"/>
        <family val="3"/>
        <charset val="134"/>
      </rPr>
      <t>4.2.7.水土保持方案编制费</t>
    </r>
    <r>
      <rPr>
        <b/>
        <sz val="10"/>
        <color indexed="10"/>
        <rFont val="黑体"/>
        <family val="3"/>
        <charset val="134"/>
      </rPr>
      <t>（基水保）</t>
    </r>
  </si>
  <si>
    <t>JXA-072</t>
  </si>
  <si>
    <r>
      <rPr>
        <sz val="10"/>
        <rFont val="黑体"/>
        <family val="3"/>
        <charset val="134"/>
      </rPr>
      <t>4.2.8.用水报告书编制费</t>
    </r>
    <r>
      <rPr>
        <b/>
        <sz val="10"/>
        <color indexed="10"/>
        <rFont val="黑体"/>
        <family val="3"/>
        <charset val="134"/>
      </rPr>
      <t>（基水用）</t>
    </r>
  </si>
  <si>
    <t>JXA-071</t>
  </si>
  <si>
    <r>
      <rPr>
        <sz val="10"/>
        <rFont val="黑体"/>
        <family val="3"/>
        <charset val="134"/>
      </rPr>
      <t>4.2.9.二次供水工程设备</t>
    </r>
    <r>
      <rPr>
        <b/>
        <sz val="10"/>
        <color indexed="10"/>
        <rFont val="黑体"/>
        <family val="3"/>
        <charset val="134"/>
      </rPr>
      <t>（基水设）</t>
    </r>
  </si>
  <si>
    <t>JXA-170</t>
  </si>
  <si>
    <t>JXA-175</t>
  </si>
  <si>
    <r>
      <rPr>
        <b/>
        <sz val="10"/>
        <rFont val="黑体"/>
        <family val="3"/>
        <charset val="134"/>
      </rPr>
      <t xml:space="preserve">4.3 </t>
    </r>
    <r>
      <rPr>
        <b/>
        <sz val="10"/>
        <rFont val="黑体"/>
        <family val="3"/>
        <charset val="134"/>
      </rPr>
      <t>供水</t>
    </r>
  </si>
  <si>
    <r>
      <rPr>
        <sz val="10"/>
        <rFont val="黑体"/>
        <family val="3"/>
        <charset val="134"/>
      </rPr>
      <t>4.3.1.中水工程费</t>
    </r>
    <r>
      <rPr>
        <b/>
        <sz val="10"/>
        <color rgb="FFFF0000"/>
        <rFont val="黑体"/>
        <family val="3"/>
        <charset val="134"/>
      </rPr>
      <t>（基水工）</t>
    </r>
  </si>
  <si>
    <r>
      <rPr>
        <sz val="10"/>
        <rFont val="黑体"/>
        <family val="3"/>
        <charset val="134"/>
      </rPr>
      <t>4.3.1.中水二次网工程费</t>
    </r>
    <r>
      <rPr>
        <b/>
        <sz val="10"/>
        <color rgb="FFFF0000"/>
        <rFont val="黑体"/>
        <family val="3"/>
        <charset val="134"/>
      </rPr>
      <t>（基水工）</t>
    </r>
  </si>
  <si>
    <r>
      <rPr>
        <sz val="10"/>
        <rFont val="黑体"/>
        <family val="3"/>
        <charset val="134"/>
      </rPr>
      <t>4.3.2</t>
    </r>
    <r>
      <rPr>
        <sz val="10"/>
        <rFont val="黑体"/>
        <family val="3"/>
        <charset val="134"/>
      </rPr>
      <t>.水表</t>
    </r>
    <r>
      <rPr>
        <b/>
        <sz val="10"/>
        <color indexed="10"/>
        <rFont val="黑体"/>
        <family val="3"/>
        <charset val="134"/>
      </rPr>
      <t>（基中表）</t>
    </r>
  </si>
  <si>
    <r>
      <rPr>
        <sz val="10"/>
        <rFont val="黑体"/>
        <family val="3"/>
        <charset val="134"/>
      </rPr>
      <t>4.3.3</t>
    </r>
    <r>
      <rPr>
        <sz val="10"/>
        <rFont val="黑体"/>
        <family val="3"/>
        <charset val="134"/>
      </rPr>
      <t>.二次供水工程设备</t>
    </r>
    <r>
      <rPr>
        <b/>
        <sz val="10"/>
        <color indexed="10"/>
        <rFont val="黑体"/>
        <family val="3"/>
        <charset val="134"/>
      </rPr>
      <t>（基中设）</t>
    </r>
  </si>
  <si>
    <r>
      <rPr>
        <b/>
        <sz val="10"/>
        <rFont val="黑体"/>
        <family val="3"/>
        <charset val="134"/>
      </rPr>
      <t>4</t>
    </r>
    <r>
      <rPr>
        <b/>
        <sz val="10"/>
        <rFont val="黑体"/>
        <family val="3"/>
        <charset val="134"/>
      </rPr>
      <t>.4 排水</t>
    </r>
  </si>
  <si>
    <t>5001.01.04.06</t>
  </si>
  <si>
    <r>
      <rPr>
        <sz val="10"/>
        <rFont val="黑体"/>
        <family val="3"/>
        <charset val="134"/>
      </rPr>
      <t>4</t>
    </r>
    <r>
      <rPr>
        <sz val="10"/>
        <rFont val="黑体"/>
        <family val="3"/>
        <charset val="134"/>
      </rPr>
      <t>.4.1.排水工程</t>
    </r>
    <r>
      <rPr>
        <b/>
        <sz val="10"/>
        <color indexed="10"/>
        <rFont val="黑体"/>
        <family val="3"/>
        <charset val="134"/>
      </rPr>
      <t>（基排工）</t>
    </r>
  </si>
  <si>
    <t>JXA-112W</t>
  </si>
  <si>
    <t>JXA-114</t>
  </si>
  <si>
    <t>JXA-127W</t>
  </si>
  <si>
    <r>
      <rPr>
        <sz val="10"/>
        <rFont val="黑体"/>
        <family val="3"/>
        <charset val="134"/>
      </rPr>
      <t>4</t>
    </r>
    <r>
      <rPr>
        <sz val="10"/>
        <rFont val="黑体"/>
        <family val="3"/>
        <charset val="134"/>
      </rPr>
      <t>.4.2.排水破路施工</t>
    </r>
    <r>
      <rPr>
        <b/>
        <sz val="10"/>
        <color indexed="10"/>
        <rFont val="黑体"/>
        <family val="3"/>
        <charset val="134"/>
      </rPr>
      <t>（基排破）</t>
    </r>
  </si>
  <si>
    <r>
      <rPr>
        <b/>
        <sz val="10"/>
        <rFont val="黑体"/>
        <family val="3"/>
        <charset val="134"/>
      </rPr>
      <t>4</t>
    </r>
    <r>
      <rPr>
        <b/>
        <sz val="10"/>
        <rFont val="黑体"/>
        <family val="3"/>
        <charset val="134"/>
      </rPr>
      <t xml:space="preserve">.5 </t>
    </r>
    <r>
      <rPr>
        <b/>
        <sz val="10"/>
        <rFont val="黑体"/>
        <family val="3"/>
        <charset val="134"/>
      </rPr>
      <t>供热</t>
    </r>
  </si>
  <si>
    <t>5001.01.04.05</t>
  </si>
  <si>
    <r>
      <rPr>
        <sz val="10"/>
        <rFont val="黑体"/>
        <family val="3"/>
        <charset val="134"/>
      </rPr>
      <t>4.5.1</t>
    </r>
    <r>
      <rPr>
        <sz val="10"/>
        <rFont val="黑体"/>
        <family val="3"/>
        <charset val="134"/>
      </rPr>
      <t>.供热工程建设</t>
    </r>
    <r>
      <rPr>
        <b/>
        <sz val="10"/>
        <color indexed="10"/>
        <rFont val="黑体"/>
        <family val="3"/>
        <charset val="134"/>
      </rPr>
      <t>（基热工）</t>
    </r>
  </si>
  <si>
    <r>
      <rPr>
        <sz val="10"/>
        <color indexed="10"/>
        <rFont val="Times New Roman"/>
        <family val="1"/>
      </rPr>
      <t>JXA-069</t>
    </r>
    <r>
      <rPr>
        <sz val="10"/>
        <color indexed="10"/>
        <rFont val="宋体"/>
        <family val="3"/>
        <charset val="134"/>
      </rPr>
      <t>（</t>
    </r>
    <r>
      <rPr>
        <sz val="10"/>
        <color indexed="10"/>
        <rFont val="Times New Roman"/>
        <family val="1"/>
      </rPr>
      <t>1</t>
    </r>
    <r>
      <rPr>
        <sz val="10"/>
        <color indexed="10"/>
        <rFont val="宋体"/>
        <family val="3"/>
        <charset val="134"/>
      </rPr>
      <t>）</t>
    </r>
  </si>
  <si>
    <r>
      <rPr>
        <sz val="10"/>
        <rFont val="黑体"/>
        <family val="3"/>
        <charset val="134"/>
      </rPr>
      <t>4</t>
    </r>
    <r>
      <rPr>
        <sz val="10"/>
        <rFont val="黑体"/>
        <family val="3"/>
        <charset val="134"/>
      </rPr>
      <t>.5.2</t>
    </r>
    <r>
      <rPr>
        <sz val="10"/>
        <rFont val="黑体"/>
        <family val="3"/>
        <charset val="134"/>
      </rPr>
      <t>.供热内网</t>
    </r>
    <r>
      <rPr>
        <b/>
        <sz val="10"/>
        <color indexed="10"/>
        <rFont val="黑体"/>
        <family val="3"/>
        <charset val="134"/>
      </rPr>
      <t>（基热内）</t>
    </r>
  </si>
  <si>
    <t>JXA-070</t>
  </si>
  <si>
    <t>JXA-119</t>
  </si>
  <si>
    <r>
      <rPr>
        <sz val="10"/>
        <rFont val="黑体"/>
        <family val="3"/>
        <charset val="134"/>
      </rPr>
      <t>4</t>
    </r>
    <r>
      <rPr>
        <sz val="10"/>
        <rFont val="黑体"/>
        <family val="3"/>
        <charset val="134"/>
      </rPr>
      <t>.5.3</t>
    </r>
    <r>
      <rPr>
        <sz val="10"/>
        <rFont val="黑体"/>
        <family val="3"/>
        <charset val="134"/>
      </rPr>
      <t>.热计量表</t>
    </r>
    <r>
      <rPr>
        <b/>
        <sz val="10"/>
        <color indexed="10"/>
        <rFont val="黑体"/>
        <family val="3"/>
        <charset val="134"/>
      </rPr>
      <t>（基热表）</t>
    </r>
  </si>
  <si>
    <r>
      <rPr>
        <sz val="10"/>
        <color indexed="10"/>
        <rFont val="Times New Roman"/>
        <family val="1"/>
      </rPr>
      <t>JXA-069</t>
    </r>
    <r>
      <rPr>
        <sz val="10"/>
        <color indexed="10"/>
        <rFont val="宋体"/>
        <family val="3"/>
        <charset val="134"/>
      </rPr>
      <t>（</t>
    </r>
    <r>
      <rPr>
        <sz val="10"/>
        <color indexed="10"/>
        <rFont val="Times New Roman"/>
        <family val="1"/>
      </rPr>
      <t>2</t>
    </r>
    <r>
      <rPr>
        <sz val="10"/>
        <color indexed="10"/>
        <rFont val="宋体"/>
        <family val="3"/>
        <charset val="134"/>
      </rPr>
      <t>）</t>
    </r>
  </si>
  <si>
    <t>4.6 燃气</t>
  </si>
  <si>
    <t>5001.01.04.04</t>
  </si>
  <si>
    <r>
      <rPr>
        <sz val="10"/>
        <rFont val="黑体"/>
        <family val="3"/>
        <charset val="134"/>
      </rPr>
      <t>4.</t>
    </r>
    <r>
      <rPr>
        <sz val="10"/>
        <rFont val="黑体"/>
        <family val="3"/>
        <charset val="134"/>
      </rPr>
      <t>6</t>
    </r>
    <r>
      <rPr>
        <sz val="10"/>
        <rFont val="黑体"/>
        <family val="3"/>
        <charset val="134"/>
      </rPr>
      <t>.1</t>
    </r>
    <r>
      <rPr>
        <sz val="10"/>
        <rFont val="黑体"/>
        <family val="3"/>
        <charset val="134"/>
      </rPr>
      <t>.气源发展基金</t>
    </r>
    <r>
      <rPr>
        <b/>
        <sz val="10"/>
        <color indexed="10"/>
        <rFont val="黑体"/>
        <family val="3"/>
        <charset val="134"/>
      </rPr>
      <t>（基气源）</t>
    </r>
  </si>
  <si>
    <t>JXA-080W</t>
  </si>
  <si>
    <t>JXA-162W</t>
  </si>
  <si>
    <r>
      <rPr>
        <sz val="10"/>
        <rFont val="黑体"/>
        <family val="3"/>
        <charset val="134"/>
      </rPr>
      <t>4.</t>
    </r>
    <r>
      <rPr>
        <sz val="10"/>
        <rFont val="黑体"/>
        <family val="3"/>
        <charset val="134"/>
      </rPr>
      <t>6</t>
    </r>
    <r>
      <rPr>
        <sz val="10"/>
        <rFont val="黑体"/>
        <family val="3"/>
        <charset val="134"/>
      </rPr>
      <t>.2</t>
    </r>
    <r>
      <rPr>
        <sz val="10"/>
        <rFont val="黑体"/>
        <family val="3"/>
        <charset val="134"/>
      </rPr>
      <t>.燃气工程</t>
    </r>
    <r>
      <rPr>
        <b/>
        <sz val="10"/>
        <color indexed="10"/>
        <rFont val="黑体"/>
        <family val="3"/>
        <charset val="134"/>
      </rPr>
      <t>（基气工）</t>
    </r>
  </si>
  <si>
    <t>JXA-109</t>
  </si>
  <si>
    <t>4.6.3.燃气设计费</t>
  </si>
  <si>
    <r>
      <rPr>
        <sz val="10"/>
        <rFont val="黑体"/>
        <family val="3"/>
        <charset val="134"/>
      </rPr>
      <t>4.6.4.燃气表费</t>
    </r>
    <r>
      <rPr>
        <b/>
        <sz val="10"/>
        <color rgb="FFFF0000"/>
        <rFont val="黑体"/>
        <family val="3"/>
        <charset val="134"/>
      </rPr>
      <t>（基气表）</t>
    </r>
  </si>
  <si>
    <t>JXA-171</t>
  </si>
  <si>
    <t>4.6.5.燃气报警器</t>
  </si>
  <si>
    <t>4.6.6.点火费</t>
  </si>
  <si>
    <r>
      <rPr>
        <b/>
        <sz val="10"/>
        <rFont val="黑体"/>
        <family val="3"/>
        <charset val="134"/>
      </rPr>
      <t>4.7 视讯</t>
    </r>
    <r>
      <rPr>
        <b/>
        <sz val="10"/>
        <color rgb="FFFF0000"/>
        <rFont val="黑体"/>
        <family val="3"/>
        <charset val="134"/>
      </rPr>
      <t>（基视讯）</t>
    </r>
  </si>
  <si>
    <t>5001.01.04.07</t>
  </si>
  <si>
    <r>
      <rPr>
        <sz val="10"/>
        <rFont val="黑体"/>
        <family val="3"/>
        <charset val="134"/>
      </rPr>
      <t>4</t>
    </r>
    <r>
      <rPr>
        <sz val="10"/>
        <rFont val="黑体"/>
        <family val="3"/>
        <charset val="134"/>
      </rPr>
      <t>.7.1</t>
    </r>
    <r>
      <rPr>
        <sz val="10"/>
        <rFont val="黑体"/>
        <family val="3"/>
        <charset val="134"/>
      </rPr>
      <t>.电视线路安装</t>
    </r>
    <r>
      <rPr>
        <b/>
        <sz val="10"/>
        <color indexed="10"/>
        <rFont val="黑体"/>
        <family val="3"/>
        <charset val="134"/>
      </rPr>
      <t>（基视装）</t>
    </r>
  </si>
  <si>
    <t>JXA-106</t>
  </si>
  <si>
    <r>
      <rPr>
        <sz val="10"/>
        <rFont val="黑体"/>
        <family val="3"/>
        <charset val="134"/>
      </rPr>
      <t>4</t>
    </r>
    <r>
      <rPr>
        <sz val="10"/>
        <rFont val="黑体"/>
        <family val="3"/>
        <charset val="134"/>
      </rPr>
      <t>.7.2</t>
    </r>
    <r>
      <rPr>
        <sz val="10"/>
        <rFont val="黑体"/>
        <family val="3"/>
        <charset val="134"/>
      </rPr>
      <t>.电视外网工程</t>
    </r>
    <r>
      <rPr>
        <b/>
        <sz val="10"/>
        <color indexed="10"/>
        <rFont val="黑体"/>
        <family val="3"/>
        <charset val="134"/>
      </rPr>
      <t>（基视网）</t>
    </r>
  </si>
  <si>
    <r>
      <rPr>
        <sz val="10"/>
        <rFont val="黑体"/>
        <family val="3"/>
        <charset val="134"/>
      </rPr>
      <t>4</t>
    </r>
    <r>
      <rPr>
        <sz val="10"/>
        <rFont val="黑体"/>
        <family val="3"/>
        <charset val="134"/>
      </rPr>
      <t>.7.3</t>
    </r>
    <r>
      <rPr>
        <sz val="10"/>
        <rFont val="黑体"/>
        <family val="3"/>
        <charset val="134"/>
      </rPr>
      <t>.通讯线路安装费</t>
    </r>
    <r>
      <rPr>
        <b/>
        <sz val="10"/>
        <color indexed="10"/>
        <rFont val="黑体"/>
        <family val="3"/>
        <charset val="134"/>
      </rPr>
      <t>（基视讯）</t>
    </r>
  </si>
  <si>
    <t>JXA-115</t>
  </si>
  <si>
    <t>JXA-173</t>
  </si>
  <si>
    <t>4.8 室外区内智能化工程</t>
  </si>
  <si>
    <t>4.8.1.区停车场管理系统</t>
  </si>
  <si>
    <t>4.8.2.安防系统工程、交通设施</t>
  </si>
  <si>
    <t>4.8.3.音乐广播、电子屏系统</t>
  </si>
  <si>
    <t>4.8 其他基础设施费</t>
  </si>
  <si>
    <t>5001.01.04.10</t>
  </si>
  <si>
    <r>
      <rPr>
        <sz val="10"/>
        <rFont val="黑体"/>
        <family val="3"/>
        <charset val="134"/>
      </rPr>
      <t>4</t>
    </r>
    <r>
      <rPr>
        <sz val="10"/>
        <rFont val="黑体"/>
        <family val="3"/>
        <charset val="134"/>
      </rPr>
      <t>.8.1</t>
    </r>
    <r>
      <rPr>
        <sz val="10"/>
        <rFont val="黑体"/>
        <family val="3"/>
        <charset val="134"/>
      </rPr>
      <t>.邮政设施</t>
    </r>
    <r>
      <rPr>
        <b/>
        <sz val="10"/>
        <color indexed="10"/>
        <rFont val="黑体"/>
        <family val="3"/>
        <charset val="134"/>
      </rPr>
      <t>（基邮）</t>
    </r>
  </si>
  <si>
    <r>
      <rPr>
        <sz val="10"/>
        <rFont val="黑体"/>
        <family val="3"/>
        <charset val="134"/>
      </rPr>
      <t>4</t>
    </r>
    <r>
      <rPr>
        <sz val="10"/>
        <rFont val="黑体"/>
        <family val="3"/>
        <charset val="134"/>
      </rPr>
      <t>.8.2</t>
    </r>
    <r>
      <rPr>
        <sz val="10"/>
        <rFont val="黑体"/>
        <family val="3"/>
        <charset val="134"/>
      </rPr>
      <t>.环卫设施</t>
    </r>
    <r>
      <rPr>
        <b/>
        <sz val="10"/>
        <color indexed="10"/>
        <rFont val="黑体"/>
        <family val="3"/>
        <charset val="134"/>
      </rPr>
      <t>（基环）</t>
    </r>
  </si>
  <si>
    <r>
      <rPr>
        <sz val="10"/>
        <rFont val="黑体"/>
        <family val="3"/>
        <charset val="134"/>
      </rPr>
      <t>4</t>
    </r>
    <r>
      <rPr>
        <sz val="10"/>
        <rFont val="黑体"/>
        <family val="3"/>
        <charset val="134"/>
      </rPr>
      <t>.8.3</t>
    </r>
    <r>
      <rPr>
        <sz val="10"/>
        <rFont val="黑体"/>
        <family val="3"/>
        <charset val="134"/>
      </rPr>
      <t>.其他</t>
    </r>
    <r>
      <rPr>
        <b/>
        <sz val="10"/>
        <color indexed="10"/>
        <rFont val="黑体"/>
        <family val="3"/>
        <charset val="134"/>
      </rPr>
      <t>（基其）</t>
    </r>
  </si>
  <si>
    <t>五、公用配套设施</t>
  </si>
  <si>
    <t>5001.01.05</t>
  </si>
  <si>
    <r>
      <rPr>
        <b/>
        <sz val="10"/>
        <rFont val="黑体"/>
        <family val="3"/>
        <charset val="134"/>
      </rPr>
      <t>5</t>
    </r>
    <r>
      <rPr>
        <b/>
        <sz val="10"/>
        <rFont val="黑体"/>
        <family val="3"/>
        <charset val="134"/>
      </rPr>
      <t>.1 非营业性公建配套费</t>
    </r>
    <r>
      <rPr>
        <b/>
        <sz val="10"/>
        <color indexed="10"/>
        <rFont val="黑体"/>
        <family val="3"/>
        <charset val="134"/>
      </rPr>
      <t>（公配小）</t>
    </r>
  </si>
  <si>
    <t>5001.01.05.01</t>
  </si>
  <si>
    <t>JXA-062W</t>
  </si>
  <si>
    <t>JXA-158W</t>
  </si>
  <si>
    <r>
      <rPr>
        <b/>
        <sz val="10"/>
        <rFont val="黑体"/>
        <family val="3"/>
        <charset val="134"/>
      </rPr>
      <t>5</t>
    </r>
    <r>
      <rPr>
        <b/>
        <sz val="10"/>
        <rFont val="黑体"/>
        <family val="3"/>
        <charset val="134"/>
      </rPr>
      <t>.2 物业管理费</t>
    </r>
  </si>
  <si>
    <t>5001.01.05.03</t>
  </si>
  <si>
    <r>
      <rPr>
        <sz val="10"/>
        <rFont val="黑体"/>
        <family val="3"/>
        <charset val="134"/>
      </rPr>
      <t>5.3.1</t>
    </r>
    <r>
      <rPr>
        <sz val="10"/>
        <rFont val="黑体"/>
        <family val="3"/>
        <charset val="134"/>
      </rPr>
      <t>.物业开办费（入住）</t>
    </r>
    <r>
      <rPr>
        <b/>
        <sz val="10"/>
        <color indexed="10"/>
        <rFont val="黑体"/>
        <family val="3"/>
        <charset val="134"/>
      </rPr>
      <t>（公物开）</t>
    </r>
  </si>
  <si>
    <r>
      <rPr>
        <sz val="10"/>
        <rFont val="黑体"/>
        <family val="3"/>
        <charset val="134"/>
      </rPr>
      <t>5.3.2</t>
    </r>
    <r>
      <rPr>
        <sz val="10"/>
        <rFont val="黑体"/>
        <family val="3"/>
        <charset val="134"/>
      </rPr>
      <t>.前期配合费（开发期间）</t>
    </r>
    <r>
      <rPr>
        <b/>
        <sz val="10"/>
        <color indexed="10"/>
        <rFont val="黑体"/>
        <family val="3"/>
        <charset val="134"/>
      </rPr>
      <t>（公物其）</t>
    </r>
  </si>
  <si>
    <t>5.3.3.验房费</t>
  </si>
  <si>
    <t>5.3.4.空房管理费</t>
  </si>
  <si>
    <t>5.3 空房采暖费</t>
  </si>
  <si>
    <r>
      <rPr>
        <b/>
        <sz val="10"/>
        <rFont val="黑体"/>
        <family val="3"/>
        <charset val="134"/>
      </rPr>
      <t xml:space="preserve">5.4 </t>
    </r>
    <r>
      <rPr>
        <b/>
        <sz val="10"/>
        <rFont val="黑体"/>
        <family val="3"/>
        <charset val="134"/>
      </rPr>
      <t>其他</t>
    </r>
    <r>
      <rPr>
        <b/>
        <sz val="10"/>
        <color indexed="10"/>
        <rFont val="黑体"/>
        <family val="3"/>
        <charset val="134"/>
      </rPr>
      <t>（公其）</t>
    </r>
  </si>
  <si>
    <t>5001.01.05.02</t>
  </si>
  <si>
    <t>六、不可预见费</t>
  </si>
  <si>
    <t>JXA-039W</t>
  </si>
  <si>
    <t>JXA-029W</t>
  </si>
  <si>
    <t>JXA-128</t>
  </si>
  <si>
    <t>JXA-143</t>
  </si>
  <si>
    <t>JXA-147</t>
  </si>
  <si>
    <t>JXA-148</t>
  </si>
  <si>
    <t>除土地款成本小计</t>
  </si>
  <si>
    <t>七、直接成本小计</t>
  </si>
  <si>
    <t>八、公共设施维修基金</t>
  </si>
  <si>
    <t>九、开发间接费</t>
  </si>
  <si>
    <t>5001.01.07</t>
  </si>
  <si>
    <t>9.1 销售费用</t>
  </si>
  <si>
    <r>
      <rPr>
        <b/>
        <sz val="10"/>
        <rFont val="黑体"/>
        <family val="3"/>
        <charset val="134"/>
      </rPr>
      <t>9.1.1 人员管理</t>
    </r>
    <r>
      <rPr>
        <b/>
        <sz val="10"/>
        <color indexed="10"/>
        <rFont val="黑体"/>
        <family val="3"/>
        <charset val="134"/>
      </rPr>
      <t>（销管）</t>
    </r>
  </si>
  <si>
    <r>
      <rPr>
        <sz val="10"/>
        <rFont val="黑体"/>
        <family val="3"/>
        <charset val="134"/>
      </rPr>
      <t>9.1.1.1.人员管理</t>
    </r>
    <r>
      <rPr>
        <b/>
        <sz val="10"/>
        <color indexed="10"/>
        <rFont val="黑体"/>
        <family val="3"/>
        <charset val="134"/>
      </rPr>
      <t>（销销人）</t>
    </r>
  </si>
  <si>
    <r>
      <rPr>
        <sz val="10"/>
        <rFont val="黑体"/>
        <family val="3"/>
        <charset val="134"/>
      </rPr>
      <t>9.1.1.2.销售设施</t>
    </r>
    <r>
      <rPr>
        <b/>
        <sz val="10"/>
        <color indexed="10"/>
        <rFont val="黑体"/>
        <family val="3"/>
        <charset val="134"/>
      </rPr>
      <t>（销销设）</t>
    </r>
  </si>
  <si>
    <t>JXA-033</t>
  </si>
  <si>
    <r>
      <rPr>
        <sz val="10"/>
        <rFont val="黑体"/>
        <family val="3"/>
        <charset val="134"/>
      </rPr>
      <t>9.1.1.3.现场运营</t>
    </r>
    <r>
      <rPr>
        <b/>
        <sz val="10"/>
        <color indexed="10"/>
        <rFont val="黑体"/>
        <family val="3"/>
        <charset val="134"/>
      </rPr>
      <t>（销销运）</t>
    </r>
  </si>
  <si>
    <r>
      <rPr>
        <b/>
        <sz val="10"/>
        <rFont val="黑体"/>
        <family val="3"/>
        <charset val="134"/>
      </rPr>
      <t>9</t>
    </r>
    <r>
      <rPr>
        <b/>
        <sz val="10"/>
        <rFont val="黑体"/>
        <family val="3"/>
        <charset val="134"/>
      </rPr>
      <t xml:space="preserve">.1.2 </t>
    </r>
    <r>
      <rPr>
        <b/>
        <sz val="10"/>
        <rFont val="黑体"/>
        <family val="3"/>
        <charset val="134"/>
      </rPr>
      <t>销售管理费用</t>
    </r>
    <r>
      <rPr>
        <b/>
        <sz val="10"/>
        <color indexed="10"/>
        <rFont val="黑体"/>
        <family val="3"/>
        <charset val="134"/>
      </rPr>
      <t>（销管）</t>
    </r>
  </si>
  <si>
    <r>
      <rPr>
        <sz val="10"/>
        <rFont val="黑体"/>
        <family val="3"/>
        <charset val="134"/>
      </rPr>
      <t>9</t>
    </r>
    <r>
      <rPr>
        <sz val="10"/>
        <rFont val="黑体"/>
        <family val="3"/>
        <charset val="134"/>
      </rPr>
      <t>.1.2.1 线上推广</t>
    </r>
    <r>
      <rPr>
        <b/>
        <sz val="10"/>
        <color indexed="10"/>
        <rFont val="黑体"/>
        <family val="3"/>
        <charset val="134"/>
      </rPr>
      <t>（销管上）</t>
    </r>
  </si>
  <si>
    <r>
      <rPr>
        <sz val="10"/>
        <rFont val="黑体"/>
        <family val="3"/>
        <charset val="134"/>
      </rPr>
      <t>9</t>
    </r>
    <r>
      <rPr>
        <sz val="10"/>
        <rFont val="黑体"/>
        <family val="3"/>
        <charset val="134"/>
      </rPr>
      <t>.1.2.2线下活动</t>
    </r>
    <r>
      <rPr>
        <b/>
        <sz val="10"/>
        <color indexed="10"/>
        <rFont val="黑体"/>
        <family val="3"/>
        <charset val="134"/>
      </rPr>
      <t>（销管下）</t>
    </r>
  </si>
  <si>
    <r>
      <rPr>
        <sz val="10"/>
        <rFont val="黑体"/>
        <family val="3"/>
        <charset val="134"/>
      </rPr>
      <t xml:space="preserve">9.1.2.3 </t>
    </r>
    <r>
      <rPr>
        <sz val="10"/>
        <rFont val="黑体"/>
        <family val="3"/>
        <charset val="134"/>
      </rPr>
      <t>销售物料</t>
    </r>
    <r>
      <rPr>
        <b/>
        <sz val="10"/>
        <color indexed="10"/>
        <rFont val="黑体"/>
        <family val="3"/>
        <charset val="134"/>
      </rPr>
      <t>（销管物）</t>
    </r>
  </si>
  <si>
    <r>
      <rPr>
        <sz val="10"/>
        <rFont val="黑体"/>
        <family val="3"/>
        <charset val="134"/>
      </rPr>
      <t>9.1.2.4 广告设计</t>
    </r>
    <r>
      <rPr>
        <b/>
        <sz val="10"/>
        <color indexed="10"/>
        <rFont val="黑体"/>
        <family val="3"/>
        <charset val="134"/>
      </rPr>
      <t>（销管广）</t>
    </r>
  </si>
  <si>
    <r>
      <rPr>
        <b/>
        <sz val="10"/>
        <rFont val="黑体"/>
        <family val="3"/>
        <charset val="134"/>
      </rPr>
      <t>9</t>
    </r>
    <r>
      <rPr>
        <b/>
        <sz val="10"/>
        <rFont val="黑体"/>
        <family val="3"/>
        <charset val="134"/>
      </rPr>
      <t xml:space="preserve">.2 </t>
    </r>
    <r>
      <rPr>
        <b/>
        <sz val="10"/>
        <rFont val="黑体"/>
        <family val="3"/>
        <charset val="134"/>
      </rPr>
      <t>管理费用</t>
    </r>
  </si>
  <si>
    <r>
      <rPr>
        <b/>
        <sz val="10"/>
        <rFont val="黑体"/>
        <family val="3"/>
        <charset val="134"/>
      </rPr>
      <t xml:space="preserve">9.2.1 </t>
    </r>
    <r>
      <rPr>
        <b/>
        <sz val="10"/>
        <rFont val="黑体"/>
        <family val="3"/>
        <charset val="134"/>
      </rPr>
      <t>人力资源费用</t>
    </r>
  </si>
  <si>
    <t>07-10月</t>
  </si>
  <si>
    <t>11月</t>
  </si>
  <si>
    <t>12月</t>
  </si>
  <si>
    <t>2014.1月</t>
  </si>
  <si>
    <t>2014.2月</t>
  </si>
  <si>
    <t>2014.3月</t>
  </si>
  <si>
    <t>2014.4月</t>
  </si>
  <si>
    <t>9.2.2 办公费</t>
  </si>
  <si>
    <t>9.2.3 租赁费</t>
  </si>
  <si>
    <t>9.2.4 固定资产</t>
  </si>
  <si>
    <t>9.2.5 招待费</t>
  </si>
  <si>
    <t>9.2.6 交通费</t>
  </si>
  <si>
    <t>9.2.7 其他费用</t>
  </si>
  <si>
    <t>9.2.8  印花税</t>
  </si>
  <si>
    <t>9.3 资金成本</t>
  </si>
  <si>
    <r>
      <rPr>
        <b/>
        <sz val="10"/>
        <rFont val="黑体"/>
        <family val="3"/>
        <charset val="134"/>
      </rPr>
      <t xml:space="preserve">9.3.1 </t>
    </r>
    <r>
      <rPr>
        <b/>
        <sz val="10"/>
        <rFont val="黑体"/>
        <family val="3"/>
        <charset val="134"/>
      </rPr>
      <t>融资成本</t>
    </r>
  </si>
  <si>
    <r>
      <rPr>
        <b/>
        <sz val="10"/>
        <rFont val="黑体"/>
        <family val="3"/>
        <charset val="134"/>
      </rPr>
      <t xml:space="preserve">9.3.2 </t>
    </r>
    <r>
      <rPr>
        <b/>
        <sz val="10"/>
        <rFont val="黑体"/>
        <family val="3"/>
        <charset val="134"/>
      </rPr>
      <t>贷款利息</t>
    </r>
  </si>
  <si>
    <t>十、销售收入</t>
  </si>
  <si>
    <t>10.1 住宅收入</t>
  </si>
  <si>
    <t>10.2 车库收入</t>
  </si>
  <si>
    <t>10.3 商业收入</t>
  </si>
  <si>
    <t>10.4 其他收入</t>
  </si>
  <si>
    <t>十一、税金</t>
  </si>
  <si>
    <t>5001.01.06</t>
  </si>
  <si>
    <t>11.1 营业税金及附加</t>
  </si>
  <si>
    <t>11.2 土地增值税</t>
  </si>
  <si>
    <t>11.3 其他税金</t>
  </si>
  <si>
    <t>房产税</t>
  </si>
  <si>
    <t>土地合同印花税</t>
  </si>
  <si>
    <t>11.4 所得税</t>
  </si>
  <si>
    <t>11.5 契税</t>
  </si>
  <si>
    <t>11.6 城镇土地使用税</t>
  </si>
  <si>
    <t>十二、税前成本合计</t>
  </si>
  <si>
    <t>十三、税前利润</t>
  </si>
  <si>
    <t>十四、税前利润率</t>
  </si>
  <si>
    <t>十五、税后成本合计</t>
  </si>
  <si>
    <t>十六、税后利润</t>
  </si>
  <si>
    <t>十七、税后净利润率</t>
  </si>
  <si>
    <t>十八、自有资金回报率</t>
  </si>
  <si>
    <t>十九、预缴税金</t>
  </si>
  <si>
    <t>二十、预缴税成本合计</t>
  </si>
  <si>
    <t>二十一、预缴税利润</t>
  </si>
  <si>
    <t>二十二、预缴税利润率</t>
  </si>
  <si>
    <t>二十三、预缴税后自有资金回报率</t>
  </si>
  <si>
    <r>
      <rPr>
        <sz val="10"/>
        <rFont val="宋体"/>
        <family val="3"/>
        <charset val="134"/>
      </rPr>
      <t>201</t>
    </r>
    <r>
      <rPr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年</t>
    </r>
  </si>
  <si>
    <r>
      <rPr>
        <sz val="10"/>
        <rFont val="宋体"/>
        <family val="3"/>
        <charset val="134"/>
      </rPr>
      <t>201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年</t>
    </r>
  </si>
  <si>
    <r>
      <rPr>
        <sz val="10"/>
        <rFont val="宋体"/>
        <family val="3"/>
        <charset val="134"/>
      </rPr>
      <t>201</t>
    </r>
    <r>
      <rPr>
        <sz val="10"/>
        <rFont val="宋体"/>
        <family val="3"/>
        <charset val="134"/>
      </rPr>
      <t>6</t>
    </r>
    <r>
      <rPr>
        <sz val="10"/>
        <rFont val="宋体"/>
        <family val="3"/>
        <charset val="134"/>
      </rPr>
      <t>年</t>
    </r>
  </si>
  <si>
    <r>
      <rPr>
        <sz val="10"/>
        <rFont val="宋体"/>
        <family val="3"/>
        <charset val="134"/>
      </rPr>
      <t>2017</t>
    </r>
    <r>
      <rPr>
        <sz val="10"/>
        <rFont val="宋体"/>
        <family val="3"/>
        <charset val="134"/>
      </rPr>
      <t>年</t>
    </r>
  </si>
  <si>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018年</t>
    </r>
  </si>
  <si>
    <t>2019年</t>
  </si>
  <si>
    <t>整盘</t>
  </si>
  <si>
    <t>货量</t>
  </si>
  <si>
    <r>
      <rPr>
        <sz val="10"/>
        <color indexed="8"/>
        <rFont val="Arial"/>
        <family val="2"/>
      </rPr>
      <t>9</t>
    </r>
    <r>
      <rPr>
        <sz val="10"/>
        <color indexed="8"/>
        <rFont val="宋体"/>
        <family val="3"/>
        <charset val="134"/>
      </rPr>
      <t>月</t>
    </r>
  </si>
  <si>
    <r>
      <rPr>
        <sz val="10"/>
        <color indexed="8"/>
        <rFont val="Arial"/>
        <family val="2"/>
      </rPr>
      <t>10月</t>
    </r>
  </si>
  <si>
    <r>
      <rPr>
        <sz val="10"/>
        <color indexed="8"/>
        <rFont val="Arial"/>
        <family val="2"/>
      </rPr>
      <t>11月</t>
    </r>
  </si>
  <si>
    <r>
      <rPr>
        <sz val="10"/>
        <color indexed="8"/>
        <rFont val="Arial"/>
        <family val="2"/>
      </rPr>
      <t>12月</t>
    </r>
  </si>
  <si>
    <r>
      <rPr>
        <sz val="10"/>
        <rFont val="Arial"/>
        <family val="2"/>
      </rPr>
      <t>14</t>
    </r>
    <r>
      <rPr>
        <sz val="10"/>
        <rFont val="宋体"/>
        <family val="3"/>
        <charset val="134"/>
      </rPr>
      <t>年合计</t>
    </r>
  </si>
  <si>
    <r>
      <rPr>
        <sz val="10"/>
        <color indexed="8"/>
        <rFont val="Arial"/>
        <family val="2"/>
      </rPr>
      <t>1</t>
    </r>
    <r>
      <rPr>
        <sz val="10"/>
        <color indexed="8"/>
        <rFont val="宋体"/>
        <family val="3"/>
        <charset val="134"/>
      </rPr>
      <t>月</t>
    </r>
  </si>
  <si>
    <r>
      <rPr>
        <sz val="10"/>
        <color indexed="8"/>
        <rFont val="Arial"/>
        <family val="2"/>
      </rPr>
      <t>2月</t>
    </r>
  </si>
  <si>
    <r>
      <rPr>
        <sz val="10"/>
        <color indexed="8"/>
        <rFont val="Arial"/>
        <family val="2"/>
      </rPr>
      <t>3月</t>
    </r>
  </si>
  <si>
    <r>
      <rPr>
        <sz val="10"/>
        <color indexed="8"/>
        <rFont val="Arial"/>
        <family val="2"/>
      </rPr>
      <t>4月</t>
    </r>
  </si>
  <si>
    <r>
      <rPr>
        <sz val="10"/>
        <color indexed="8"/>
        <rFont val="Arial"/>
        <family val="2"/>
      </rPr>
      <t>5月</t>
    </r>
  </si>
  <si>
    <r>
      <rPr>
        <sz val="10"/>
        <color indexed="8"/>
        <rFont val="Arial"/>
        <family val="2"/>
      </rPr>
      <t>6月</t>
    </r>
  </si>
  <si>
    <r>
      <rPr>
        <sz val="10"/>
        <color indexed="8"/>
        <rFont val="Arial"/>
        <family val="2"/>
      </rPr>
      <t>8月</t>
    </r>
  </si>
  <si>
    <r>
      <rPr>
        <sz val="10"/>
        <color indexed="8"/>
        <rFont val="Arial"/>
        <family val="2"/>
      </rPr>
      <t>9月</t>
    </r>
  </si>
  <si>
    <r>
      <rPr>
        <sz val="10"/>
        <rFont val="Arial"/>
        <family val="2"/>
      </rPr>
      <t>15</t>
    </r>
    <r>
      <rPr>
        <sz val="10"/>
        <rFont val="宋体"/>
        <family val="3"/>
        <charset val="134"/>
      </rPr>
      <t>年合计</t>
    </r>
  </si>
  <si>
    <r>
      <rPr>
        <sz val="10"/>
        <color indexed="8"/>
        <rFont val="Arial"/>
        <family val="2"/>
      </rPr>
      <t>5</t>
    </r>
    <r>
      <rPr>
        <sz val="10"/>
        <color indexed="8"/>
        <rFont val="宋体"/>
        <family val="3"/>
        <charset val="134"/>
      </rPr>
      <t>月叠拼开盘</t>
    </r>
  </si>
  <si>
    <r>
      <rPr>
        <sz val="10"/>
        <color indexed="8"/>
        <rFont val="Arial"/>
        <family val="2"/>
      </rPr>
      <t>7月</t>
    </r>
  </si>
  <si>
    <r>
      <rPr>
        <sz val="10"/>
        <color indexed="8"/>
        <rFont val="Arial"/>
        <family val="2"/>
      </rPr>
      <t>10</t>
    </r>
    <r>
      <rPr>
        <sz val="10"/>
        <color indexed="8"/>
        <rFont val="宋体"/>
        <family val="3"/>
        <charset val="134"/>
      </rPr>
      <t>月</t>
    </r>
  </si>
  <si>
    <r>
      <rPr>
        <sz val="10"/>
        <color indexed="8"/>
        <rFont val="Arial"/>
        <family val="2"/>
      </rPr>
      <t>11</t>
    </r>
    <r>
      <rPr>
        <sz val="10"/>
        <color indexed="8"/>
        <rFont val="宋体"/>
        <family val="3"/>
        <charset val="134"/>
      </rPr>
      <t>月</t>
    </r>
  </si>
  <si>
    <r>
      <rPr>
        <sz val="10"/>
        <color indexed="8"/>
        <rFont val="Arial"/>
        <family val="2"/>
      </rPr>
      <t>12</t>
    </r>
    <r>
      <rPr>
        <sz val="10"/>
        <color indexed="8"/>
        <rFont val="宋体"/>
        <family val="3"/>
        <charset val="134"/>
      </rPr>
      <t>月</t>
    </r>
  </si>
  <si>
    <r>
      <rPr>
        <sz val="10"/>
        <rFont val="Arial"/>
        <family val="2"/>
      </rPr>
      <t>16</t>
    </r>
    <r>
      <rPr>
        <sz val="10"/>
        <rFont val="宋体"/>
        <family val="3"/>
        <charset val="134"/>
      </rPr>
      <t>年合计</t>
    </r>
  </si>
  <si>
    <r>
      <rPr>
        <sz val="10"/>
        <rFont val="Arial"/>
        <family val="2"/>
      </rPr>
      <t>17</t>
    </r>
    <r>
      <rPr>
        <sz val="10"/>
        <rFont val="宋体"/>
        <family val="3"/>
        <charset val="134"/>
      </rPr>
      <t>年合计</t>
    </r>
  </si>
  <si>
    <r>
      <rPr>
        <sz val="10"/>
        <rFont val="Arial"/>
        <family val="2"/>
      </rPr>
      <t>18</t>
    </r>
    <r>
      <rPr>
        <sz val="10"/>
        <rFont val="宋体"/>
        <family val="3"/>
        <charset val="134"/>
      </rPr>
      <t>年合计</t>
    </r>
  </si>
  <si>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月</t>
    </r>
  </si>
  <si>
    <r>
      <rPr>
        <sz val="10"/>
        <rFont val="Arial"/>
        <family val="2"/>
      </rPr>
      <t>2月</t>
    </r>
  </si>
  <si>
    <r>
      <rPr>
        <sz val="10"/>
        <rFont val="Arial"/>
        <family val="2"/>
      </rPr>
      <t>3月</t>
    </r>
  </si>
  <si>
    <r>
      <rPr>
        <sz val="10"/>
        <rFont val="Arial"/>
        <family val="2"/>
      </rPr>
      <t>4月</t>
    </r>
  </si>
  <si>
    <r>
      <rPr>
        <sz val="10"/>
        <rFont val="Arial"/>
        <family val="2"/>
      </rPr>
      <t>5月</t>
    </r>
  </si>
  <si>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年合计</t>
    </r>
  </si>
  <si>
    <t>总计</t>
    <phoneticPr fontId="3" type="noConversion"/>
  </si>
  <si>
    <t>销售节点</t>
  </si>
  <si>
    <t>示范区开放</t>
  </si>
  <si>
    <t>首次开盘</t>
  </si>
  <si>
    <t>加推</t>
  </si>
  <si>
    <t>加推复式9、10、11#；联排28#</t>
  </si>
  <si>
    <t>加推联排42、43、45#、叠拼46、57#</t>
  </si>
  <si>
    <t>加推叠拼58、67#、双拼55、52#</t>
  </si>
  <si>
    <t>加推联排44、47、48#；复式6、7、8#</t>
  </si>
  <si>
    <t>复式跃层</t>
  </si>
  <si>
    <t>一跃二</t>
  </si>
  <si>
    <t>套数</t>
  </si>
  <si>
    <t>面积</t>
  </si>
  <si>
    <t>单价</t>
  </si>
  <si>
    <t>销售额</t>
  </si>
  <si>
    <t>三跃四</t>
  </si>
  <si>
    <t>小计</t>
  </si>
  <si>
    <t>叠拼</t>
  </si>
  <si>
    <t xml:space="preserve">叠下 </t>
  </si>
  <si>
    <t xml:space="preserve">叠上 </t>
  </si>
  <si>
    <t>联排</t>
  </si>
  <si>
    <t>联排中户</t>
  </si>
  <si>
    <t>联排端户</t>
  </si>
  <si>
    <t>独栋</t>
  </si>
  <si>
    <t>双拼</t>
  </si>
  <si>
    <t>商业</t>
  </si>
  <si>
    <t>总计</t>
  </si>
  <si>
    <t>销售额</t>
    <phoneticPr fontId="3" type="noConversion"/>
  </si>
  <si>
    <t>?</t>
    <phoneticPr fontId="3" type="noConversion"/>
  </si>
  <si>
    <t>第一大类控制指标之和</t>
    <phoneticPr fontId="3" type="noConversion"/>
  </si>
  <si>
    <t>成本明细表相关成本总额</t>
    <phoneticPr fontId="3" type="noConversion"/>
  </si>
  <si>
    <t>子类</t>
    <phoneticPr fontId="3" type="noConversion"/>
  </si>
  <si>
    <t>子类</t>
    <phoneticPr fontId="3" type="noConversion"/>
  </si>
  <si>
    <t>成本明细表相关已发生合同总额/10000</t>
    <phoneticPr fontId="3" type="noConversion"/>
  </si>
  <si>
    <t>合同值</t>
    <phoneticPr fontId="3" type="noConversion"/>
  </si>
  <si>
    <t>待发生成本</t>
    <phoneticPr fontId="3" type="noConversion"/>
  </si>
  <si>
    <t>J9+L9 已发生成本+待发生成本</t>
    <phoneticPr fontId="3" type="noConversion"/>
  </si>
  <si>
    <t>本月动态成本（万元）</t>
    <phoneticPr fontId="3" type="noConversion"/>
  </si>
  <si>
    <t>孙类控制指标之和</t>
  </si>
  <si>
    <t>孙类总投资之和</t>
  </si>
  <si>
    <t>孙类新目标成本之和</t>
  </si>
  <si>
    <t>孙类合同值之和</t>
  </si>
  <si>
    <t>孙类结算差异之和</t>
  </si>
  <si>
    <t>孙类已发生成本之和</t>
  </si>
  <si>
    <t>孙类待发生成本之和</t>
  </si>
  <si>
    <t>孙类本月动态成本之和</t>
  </si>
  <si>
    <t>孙类本月成本增加之和</t>
  </si>
  <si>
    <t>孙类</t>
    <phoneticPr fontId="3" type="noConversion"/>
  </si>
  <si>
    <t>D12/$D$4*10000</t>
    <phoneticPr fontId="3" type="noConversion"/>
  </si>
  <si>
    <t>N9-D9 本月动态成本-总投资</t>
    <phoneticPr fontId="3" type="noConversion"/>
  </si>
  <si>
    <t>J12+L18 已发生成本+待发生成本</t>
    <phoneticPr fontId="3" type="noConversion"/>
  </si>
  <si>
    <t>N12-D12 本月动态成本-总投资</t>
    <phoneticPr fontId="3" type="noConversion"/>
  </si>
  <si>
    <t>总投资（万元）</t>
    <phoneticPr fontId="3" type="noConversion"/>
  </si>
  <si>
    <t>已发生成本</t>
    <phoneticPr fontId="3" type="noConversion"/>
  </si>
  <si>
    <t>D12-J12 总投资-已发生成本</t>
    <phoneticPr fontId="3" type="noConversion"/>
  </si>
  <si>
    <t>D152/$D$4*10000</t>
    <phoneticPr fontId="3" type="noConversion"/>
  </si>
  <si>
    <t>D156/$D$4*10000</t>
    <phoneticPr fontId="3" type="noConversion"/>
  </si>
  <si>
    <t>SUM(C158:C161)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</si>
</sst>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76" formatCode="0.00_);[Red]\(0.00\)"/>
    <numFmt numFmtId="177" formatCode="0.0_ "/>
    <numFmt numFmtId="178" formatCode="[DBNum1][$-804]yyyy&quot;年&quot;m&quot;月&quot;d&quot;日&quot;"/>
    <numFmt numFmtId="179" formatCode="0.00_ "/>
    <numFmt numFmtId="180" formatCode="0.00;_栀"/>
    <numFmt numFmtId="181" formatCode="0.0%"/>
    <numFmt numFmtId="182" formatCode="0_);[Red]\(0\)"/>
    <numFmt numFmtId="183" formatCode="0_ "/>
  </numFmts>
  <fonts count="32" x14ac:knownFonts="1">
    <font>
      <sz val="12"/>
      <name val="宋体"/>
      <charset val="134"/>
    </font>
    <font>
      <sz val="12"/>
      <name val="宋体"/>
      <family val="3"/>
      <charset val="134"/>
    </font>
    <font>
      <b/>
      <sz val="10"/>
      <color theme="1"/>
      <name val="黑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黑体"/>
      <family val="3"/>
      <charset val="134"/>
    </font>
    <font>
      <b/>
      <sz val="18"/>
      <name val="黑体"/>
      <family val="3"/>
      <charset val="134"/>
    </font>
    <font>
      <b/>
      <sz val="8"/>
      <name val="宋体"/>
      <family val="3"/>
      <charset val="134"/>
    </font>
    <font>
      <sz val="12"/>
      <name val="宋体"/>
      <family val="3"/>
      <charset val="134"/>
    </font>
    <font>
      <b/>
      <sz val="10"/>
      <name val="黑体"/>
      <family val="3"/>
      <charset val="134"/>
    </font>
    <font>
      <sz val="10"/>
      <name val="黑体"/>
      <family val="3"/>
      <charset val="134"/>
    </font>
    <font>
      <b/>
      <i/>
      <sz val="10"/>
      <name val="黑体"/>
      <family val="3"/>
      <charset val="134"/>
    </font>
    <font>
      <sz val="12"/>
      <name val="Times New Roman"/>
      <family val="1"/>
    </font>
    <font>
      <sz val="11"/>
      <color theme="1"/>
      <name val="宋体"/>
      <family val="3"/>
      <charset val="134"/>
      <scheme val="minor"/>
    </font>
    <font>
      <b/>
      <sz val="20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8"/>
      <name val="Times New Roman"/>
      <family val="1"/>
    </font>
    <font>
      <b/>
      <sz val="10"/>
      <name val="Times New Roman"/>
      <family val="1"/>
    </font>
    <font>
      <b/>
      <sz val="10"/>
      <color indexed="10"/>
      <name val="黑体"/>
      <family val="3"/>
      <charset val="134"/>
    </font>
    <font>
      <sz val="10"/>
      <name val="Times New Roman"/>
      <family val="1"/>
    </font>
    <font>
      <sz val="10"/>
      <color indexed="10"/>
      <name val="Times New Roman"/>
      <family val="1"/>
    </font>
    <font>
      <sz val="10"/>
      <color indexed="10"/>
      <name val="黑体"/>
      <family val="3"/>
      <charset val="134"/>
    </font>
    <font>
      <b/>
      <sz val="10"/>
      <color indexed="10"/>
      <name val="Times New Roman"/>
      <family val="1"/>
    </font>
    <font>
      <sz val="10"/>
      <color indexed="10"/>
      <name val="宋体"/>
      <family val="3"/>
      <charset val="134"/>
    </font>
    <font>
      <b/>
      <sz val="10"/>
      <color rgb="FFFF0000"/>
      <name val="黑体"/>
      <family val="3"/>
      <charset val="134"/>
    </font>
    <font>
      <sz val="10"/>
      <color rgb="FFFF0000"/>
      <name val="黑体"/>
      <family val="3"/>
      <charset val="134"/>
    </font>
    <font>
      <sz val="10"/>
      <color indexed="8"/>
      <name val="Arial"/>
      <family val="2"/>
    </font>
    <font>
      <sz val="10"/>
      <color indexed="8"/>
      <name val="宋体"/>
      <family val="3"/>
      <charset val="134"/>
    </font>
    <font>
      <sz val="10"/>
      <name val="Arial"/>
      <family val="2"/>
    </font>
    <font>
      <sz val="10"/>
      <color indexed="10"/>
      <name val="Arial"/>
      <family val="2"/>
    </font>
    <font>
      <sz val="10"/>
      <color rgb="FFFF0000"/>
      <name val="宋体"/>
      <family val="3"/>
      <charset val="134"/>
    </font>
  </fonts>
  <fills count="2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0000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8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8" fontId="1" fillId="0" borderId="0">
      <alignment vertical="center"/>
    </xf>
    <xf numFmtId="178" fontId="13" fillId="0" borderId="0"/>
    <xf numFmtId="178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8" fontId="14" fillId="0" borderId="0">
      <alignment vertical="center"/>
    </xf>
  </cellStyleXfs>
  <cellXfs count="45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176" fontId="4" fillId="2" borderId="1" xfId="1" applyNumberFormat="1" applyFont="1" applyFill="1" applyBorder="1" applyAlignment="1"/>
    <xf numFmtId="176" fontId="5" fillId="2" borderId="1" xfId="1" applyNumberFormat="1" applyFont="1" applyFill="1" applyBorder="1" applyAlignment="1"/>
    <xf numFmtId="176" fontId="4" fillId="2" borderId="1" xfId="1" applyNumberFormat="1" applyFont="1" applyFill="1" applyBorder="1" applyAlignment="1">
      <alignment wrapText="1"/>
    </xf>
    <xf numFmtId="0" fontId="0" fillId="0" borderId="0" xfId="0" applyAlignment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76" fontId="4" fillId="0" borderId="1" xfId="1" applyNumberFormat="1" applyFont="1" applyBorder="1" applyAlignment="1"/>
    <xf numFmtId="176" fontId="5" fillId="0" borderId="1" xfId="1" applyNumberFormat="1" applyFont="1" applyBorder="1" applyAlignment="1"/>
    <xf numFmtId="176" fontId="4" fillId="0" borderId="1" xfId="1" applyNumberFormat="1" applyFont="1" applyBorder="1" applyAlignment="1">
      <alignment wrapText="1"/>
    </xf>
    <xf numFmtId="0" fontId="1" fillId="0" borderId="0" xfId="0" applyFont="1" applyAlignment="1"/>
    <xf numFmtId="0" fontId="0" fillId="0" borderId="0" xfId="0" applyAlignment="1">
      <alignment wrapText="1"/>
    </xf>
    <xf numFmtId="0" fontId="4" fillId="3" borderId="5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4" fillId="3" borderId="13" xfId="0" applyFont="1" applyFill="1" applyBorder="1" applyAlignment="1">
      <alignment vertical="center" wrapText="1"/>
    </xf>
    <xf numFmtId="0" fontId="4" fillId="3" borderId="20" xfId="0" applyFont="1" applyFill="1" applyBorder="1" applyAlignment="1">
      <alignment horizontal="center" vertical="center" wrapText="1"/>
    </xf>
    <xf numFmtId="177" fontId="4" fillId="3" borderId="20" xfId="0" applyNumberFormat="1" applyFont="1" applyFill="1" applyBorder="1" applyAlignment="1">
      <alignment horizontal="center" vertical="center" wrapText="1"/>
    </xf>
    <xf numFmtId="177" fontId="4" fillId="3" borderId="21" xfId="0" applyNumberFormat="1" applyFont="1" applyFill="1" applyBorder="1" applyAlignment="1">
      <alignment horizontal="center" vertical="center" wrapText="1"/>
    </xf>
    <xf numFmtId="177" fontId="4" fillId="3" borderId="20" xfId="0" applyNumberFormat="1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0" fillId="3" borderId="20" xfId="0" applyFill="1" applyBorder="1" applyAlignment="1"/>
    <xf numFmtId="177" fontId="4" fillId="3" borderId="1" xfId="0" applyNumberFormat="1" applyFont="1" applyFill="1" applyBorder="1" applyAlignment="1">
      <alignment horizontal="center" vertical="center" wrapText="1"/>
    </xf>
    <xf numFmtId="177" fontId="5" fillId="3" borderId="20" xfId="0" applyNumberFormat="1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176" fontId="4" fillId="4" borderId="1" xfId="1" applyNumberFormat="1" applyFont="1" applyFill="1" applyBorder="1" applyAlignment="1"/>
    <xf numFmtId="176" fontId="5" fillId="4" borderId="1" xfId="1" applyNumberFormat="1" applyFont="1" applyFill="1" applyBorder="1" applyAlignment="1"/>
    <xf numFmtId="176" fontId="4" fillId="4" borderId="1" xfId="1" applyNumberFormat="1" applyFont="1" applyFill="1" applyBorder="1" applyAlignment="1">
      <alignment wrapText="1"/>
    </xf>
    <xf numFmtId="176" fontId="5" fillId="0" borderId="1" xfId="1" applyNumberFormat="1" applyFont="1" applyBorder="1" applyAlignment="1">
      <alignment wrapText="1"/>
    </xf>
    <xf numFmtId="178" fontId="11" fillId="0" borderId="23" xfId="3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176" fontId="4" fillId="5" borderId="1" xfId="1" applyNumberFormat="1" applyFont="1" applyFill="1" applyBorder="1" applyAlignment="1"/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176" fontId="4" fillId="6" borderId="1" xfId="1" applyNumberFormat="1" applyFont="1" applyFill="1" applyBorder="1" applyAlignment="1"/>
    <xf numFmtId="176" fontId="4" fillId="6" borderId="1" xfId="1" applyNumberFormat="1" applyFont="1" applyFill="1" applyBorder="1" applyAlignment="1">
      <alignment wrapText="1"/>
    </xf>
    <xf numFmtId="178" fontId="10" fillId="7" borderId="1" xfId="3" applyFont="1" applyFill="1" applyBorder="1" applyAlignment="1">
      <alignment horizontal="center" vertical="center" wrapText="1"/>
    </xf>
    <xf numFmtId="178" fontId="12" fillId="7" borderId="1" xfId="3" applyNumberFormat="1" applyFont="1" applyFill="1" applyBorder="1" applyAlignment="1">
      <alignment horizontal="left" vertical="center" wrapText="1"/>
    </xf>
    <xf numFmtId="177" fontId="3" fillId="7" borderId="1" xfId="3" applyNumberFormat="1" applyFont="1" applyFill="1" applyBorder="1" applyAlignment="1">
      <alignment horizontal="center" vertical="center" wrapText="1"/>
    </xf>
    <xf numFmtId="179" fontId="4" fillId="7" borderId="1" xfId="3" applyNumberFormat="1" applyFont="1" applyFill="1" applyBorder="1" applyAlignment="1">
      <alignment horizontal="center" vertical="center" wrapText="1"/>
    </xf>
    <xf numFmtId="177" fontId="4" fillId="7" borderId="1" xfId="3" applyNumberFormat="1" applyFont="1" applyFill="1" applyBorder="1" applyAlignment="1">
      <alignment horizontal="center" vertical="center" wrapText="1"/>
    </xf>
    <xf numFmtId="0" fontId="0" fillId="0" borderId="0" xfId="0" applyFill="1" applyAlignment="1"/>
    <xf numFmtId="178" fontId="10" fillId="8" borderId="1" xfId="3" applyFont="1" applyFill="1" applyBorder="1" applyAlignment="1">
      <alignment horizontal="center" vertical="center" wrapText="1"/>
    </xf>
    <xf numFmtId="178" fontId="12" fillId="8" borderId="1" xfId="3" applyNumberFormat="1" applyFont="1" applyFill="1" applyBorder="1" applyAlignment="1">
      <alignment horizontal="left" vertical="center" wrapText="1"/>
    </xf>
    <xf numFmtId="177" fontId="3" fillId="8" borderId="1" xfId="3" applyNumberFormat="1" applyFont="1" applyFill="1" applyBorder="1" applyAlignment="1">
      <alignment horizontal="center" vertical="center" wrapText="1"/>
    </xf>
    <xf numFmtId="177" fontId="4" fillId="8" borderId="1" xfId="3" applyNumberFormat="1" applyFont="1" applyFill="1" applyBorder="1" applyAlignment="1">
      <alignment horizontal="center" vertical="center" wrapText="1"/>
    </xf>
    <xf numFmtId="178" fontId="10" fillId="6" borderId="1" xfId="3" applyFont="1" applyFill="1" applyBorder="1" applyAlignment="1">
      <alignment horizontal="center" vertical="center" wrapText="1"/>
    </xf>
    <xf numFmtId="178" fontId="10" fillId="6" borderId="1" xfId="3" applyNumberFormat="1" applyFont="1" applyFill="1" applyBorder="1" applyAlignment="1">
      <alignment horizontal="left" vertical="center" wrapText="1"/>
    </xf>
    <xf numFmtId="178" fontId="5" fillId="6" borderId="1" xfId="4" applyFont="1" applyFill="1" applyBorder="1" applyAlignment="1">
      <alignment horizontal="center" vertical="center" wrapText="1"/>
    </xf>
    <xf numFmtId="179" fontId="4" fillId="6" borderId="1" xfId="4" applyNumberFormat="1" applyFont="1" applyFill="1" applyBorder="1" applyAlignment="1">
      <alignment horizontal="center" vertical="center" wrapText="1"/>
    </xf>
    <xf numFmtId="178" fontId="4" fillId="6" borderId="1" xfId="4" applyFont="1" applyFill="1" applyBorder="1" applyAlignment="1">
      <alignment horizontal="center" vertical="center" wrapText="1"/>
    </xf>
    <xf numFmtId="10" fontId="4" fillId="6" borderId="1" xfId="2" applyNumberFormat="1" applyFont="1" applyFill="1" applyBorder="1" applyAlignment="1">
      <alignment horizontal="center" vertical="center" wrapText="1"/>
    </xf>
    <xf numFmtId="180" fontId="4" fillId="6" borderId="1" xfId="4" applyNumberFormat="1" applyFont="1" applyFill="1" applyBorder="1" applyAlignment="1">
      <alignment horizontal="center" vertical="center" wrapText="1"/>
    </xf>
    <xf numFmtId="178" fontId="10" fillId="6" borderId="24" xfId="3" applyNumberFormat="1" applyFont="1" applyFill="1" applyBorder="1" applyAlignment="1">
      <alignment horizontal="left" vertical="center" wrapText="1"/>
    </xf>
    <xf numFmtId="10" fontId="5" fillId="6" borderId="1" xfId="2" applyNumberFormat="1" applyFont="1" applyFill="1" applyBorder="1" applyAlignment="1">
      <alignment horizontal="center" vertical="center" wrapText="1"/>
    </xf>
    <xf numFmtId="176" fontId="4" fillId="6" borderId="1" xfId="1" applyNumberFormat="1" applyFont="1" applyFill="1" applyBorder="1" applyAlignment="1">
      <alignment horizontal="center" vertical="center" wrapText="1"/>
    </xf>
    <xf numFmtId="179" fontId="4" fillId="6" borderId="1" xfId="2" applyNumberFormat="1" applyFont="1" applyFill="1" applyBorder="1" applyAlignment="1">
      <alignment horizontal="center" vertical="center" wrapText="1"/>
    </xf>
    <xf numFmtId="178" fontId="10" fillId="9" borderId="1" xfId="3" applyFont="1" applyFill="1" applyBorder="1" applyAlignment="1">
      <alignment horizontal="center" vertical="center" wrapText="1"/>
    </xf>
    <xf numFmtId="178" fontId="10" fillId="9" borderId="1" xfId="3" applyNumberFormat="1" applyFont="1" applyFill="1" applyBorder="1" applyAlignment="1">
      <alignment horizontal="left" vertical="center" wrapText="1"/>
    </xf>
    <xf numFmtId="177" fontId="1" fillId="9" borderId="1" xfId="4" applyNumberFormat="1" applyFont="1" applyFill="1" applyBorder="1" applyAlignment="1">
      <alignment horizontal="center" vertical="center"/>
    </xf>
    <xf numFmtId="177" fontId="4" fillId="9" borderId="1" xfId="4" applyNumberFormat="1" applyFont="1" applyFill="1" applyBorder="1" applyAlignment="1">
      <alignment horizontal="center" vertical="center"/>
    </xf>
    <xf numFmtId="177" fontId="1" fillId="6" borderId="1" xfId="4" applyNumberFormat="1" applyFont="1" applyFill="1" applyBorder="1" applyAlignment="1">
      <alignment horizontal="center" vertical="center"/>
    </xf>
    <xf numFmtId="177" fontId="4" fillId="6" borderId="1" xfId="4" applyNumberFormat="1" applyFont="1" applyFill="1" applyBorder="1" applyAlignment="1">
      <alignment horizontal="center" vertical="center"/>
    </xf>
    <xf numFmtId="177" fontId="1" fillId="8" borderId="1" xfId="4" applyNumberFormat="1" applyFont="1" applyFill="1" applyBorder="1" applyAlignment="1">
      <alignment horizontal="center" vertical="center"/>
    </xf>
    <xf numFmtId="177" fontId="4" fillId="8" borderId="1" xfId="4" applyNumberFormat="1" applyFont="1" applyFill="1" applyBorder="1" applyAlignment="1">
      <alignment horizontal="center" vertical="center"/>
    </xf>
    <xf numFmtId="181" fontId="4" fillId="8" borderId="1" xfId="2" applyNumberFormat="1" applyFont="1" applyFill="1" applyBorder="1" applyAlignment="1">
      <alignment horizontal="center" vertical="center"/>
    </xf>
    <xf numFmtId="177" fontId="5" fillId="6" borderId="1" xfId="4" applyNumberFormat="1" applyFont="1" applyFill="1" applyBorder="1" applyAlignment="1">
      <alignment horizontal="center" vertical="center"/>
    </xf>
    <xf numFmtId="177" fontId="5" fillId="8" borderId="1" xfId="4" applyNumberFormat="1" applyFont="1" applyFill="1" applyBorder="1" applyAlignment="1">
      <alignment horizontal="center" vertical="center"/>
    </xf>
    <xf numFmtId="10" fontId="4" fillId="8" borderId="1" xfId="2" applyNumberFormat="1" applyFont="1" applyFill="1" applyBorder="1" applyAlignment="1">
      <alignment horizontal="center" vertical="center"/>
    </xf>
    <xf numFmtId="177" fontId="4" fillId="9" borderId="1" xfId="4" applyNumberFormat="1" applyFont="1" applyFill="1" applyBorder="1" applyAlignment="1">
      <alignment horizontal="left" vertical="center"/>
    </xf>
    <xf numFmtId="178" fontId="1" fillId="0" borderId="0" xfId="5" applyFont="1" applyAlignment="1"/>
    <xf numFmtId="178" fontId="1" fillId="0" borderId="0" xfId="5" applyAlignment="1"/>
    <xf numFmtId="178" fontId="1" fillId="0" borderId="0" xfId="5" applyAlignment="1">
      <alignment wrapText="1"/>
    </xf>
    <xf numFmtId="178" fontId="4" fillId="3" borderId="5" xfId="5" applyFont="1" applyFill="1" applyBorder="1" applyAlignment="1">
      <alignment horizontal="center" vertical="center" wrapText="1"/>
    </xf>
    <xf numFmtId="178" fontId="5" fillId="0" borderId="0" xfId="5" applyFont="1" applyFill="1" applyAlignment="1">
      <alignment vertical="center"/>
    </xf>
    <xf numFmtId="178" fontId="5" fillId="0" borderId="0" xfId="5" applyFont="1" applyAlignment="1">
      <alignment vertical="center"/>
    </xf>
    <xf numFmtId="178" fontId="4" fillId="3" borderId="1" xfId="5" applyFont="1" applyFill="1" applyBorder="1" applyAlignment="1">
      <alignment vertical="center" wrapText="1"/>
    </xf>
    <xf numFmtId="178" fontId="4" fillId="3" borderId="13" xfId="5" applyFont="1" applyFill="1" applyBorder="1" applyAlignment="1">
      <alignment vertical="center" wrapText="1"/>
    </xf>
    <xf numFmtId="178" fontId="4" fillId="3" borderId="20" xfId="5" applyFont="1" applyFill="1" applyBorder="1" applyAlignment="1">
      <alignment horizontal="center" vertical="center" wrapText="1"/>
    </xf>
    <xf numFmtId="177" fontId="4" fillId="3" borderId="20" xfId="5" applyNumberFormat="1" applyFont="1" applyFill="1" applyBorder="1" applyAlignment="1">
      <alignment horizontal="center" vertical="center" wrapText="1"/>
    </xf>
    <xf numFmtId="177" fontId="4" fillId="3" borderId="21" xfId="5" applyNumberFormat="1" applyFont="1" applyFill="1" applyBorder="1" applyAlignment="1">
      <alignment horizontal="center" vertical="center" wrapText="1"/>
    </xf>
    <xf numFmtId="178" fontId="4" fillId="3" borderId="19" xfId="5" applyFont="1" applyFill="1" applyBorder="1" applyAlignment="1">
      <alignment horizontal="center" vertical="center" wrapText="1"/>
    </xf>
    <xf numFmtId="178" fontId="1" fillId="3" borderId="20" xfId="5" applyFill="1" applyBorder="1" applyAlignment="1"/>
    <xf numFmtId="177" fontId="4" fillId="3" borderId="1" xfId="5" applyNumberFormat="1" applyFont="1" applyFill="1" applyBorder="1" applyAlignment="1">
      <alignment horizontal="center" vertical="center" wrapText="1"/>
    </xf>
    <xf numFmtId="177" fontId="5" fillId="3" borderId="20" xfId="5" applyNumberFormat="1" applyFont="1" applyFill="1" applyBorder="1" applyAlignment="1">
      <alignment horizontal="center" vertical="center" wrapText="1"/>
    </xf>
    <xf numFmtId="178" fontId="4" fillId="3" borderId="21" xfId="5" applyFont="1" applyFill="1" applyBorder="1" applyAlignment="1">
      <alignment horizontal="center" vertical="center" wrapText="1"/>
    </xf>
    <xf numFmtId="178" fontId="2" fillId="2" borderId="1" xfId="5" applyFont="1" applyFill="1" applyBorder="1" applyAlignment="1">
      <alignment horizontal="center" vertical="center" wrapText="1"/>
    </xf>
    <xf numFmtId="178" fontId="2" fillId="2" borderId="1" xfId="5" applyFont="1" applyFill="1" applyBorder="1" applyAlignment="1">
      <alignment vertical="center" wrapText="1"/>
    </xf>
    <xf numFmtId="178" fontId="6" fillId="0" borderId="1" xfId="5" applyFont="1" applyBorder="1" applyAlignment="1">
      <alignment horizontal="center" vertical="center" wrapText="1"/>
    </xf>
    <xf numFmtId="178" fontId="6" fillId="0" borderId="1" xfId="5" applyFont="1" applyBorder="1" applyAlignment="1">
      <alignment vertical="center" wrapText="1"/>
    </xf>
    <xf numFmtId="178" fontId="6" fillId="3" borderId="1" xfId="5" applyFont="1" applyFill="1" applyBorder="1" applyAlignment="1">
      <alignment vertical="center" wrapText="1"/>
    </xf>
    <xf numFmtId="178" fontId="10" fillId="2" borderId="1" xfId="5" applyFont="1" applyFill="1" applyBorder="1" applyAlignment="1">
      <alignment horizontal="center" vertical="center" wrapText="1"/>
    </xf>
    <xf numFmtId="178" fontId="10" fillId="2" borderId="1" xfId="5" applyFont="1" applyFill="1" applyBorder="1" applyAlignment="1">
      <alignment vertical="center" wrapText="1"/>
    </xf>
    <xf numFmtId="178" fontId="2" fillId="4" borderId="1" xfId="5" applyFont="1" applyFill="1" applyBorder="1" applyAlignment="1">
      <alignment horizontal="center" vertical="center" wrapText="1"/>
    </xf>
    <xf numFmtId="178" fontId="2" fillId="4" borderId="1" xfId="5" applyFont="1" applyFill="1" applyBorder="1" applyAlignment="1">
      <alignment vertical="center" wrapText="1"/>
    </xf>
    <xf numFmtId="178" fontId="6" fillId="0" borderId="1" xfId="5" applyFont="1" applyFill="1" applyBorder="1" applyAlignment="1">
      <alignment vertical="center" wrapText="1"/>
    </xf>
    <xf numFmtId="178" fontId="2" fillId="6" borderId="1" xfId="5" applyFont="1" applyFill="1" applyBorder="1" applyAlignment="1">
      <alignment horizontal="center" vertical="center" wrapText="1"/>
    </xf>
    <xf numFmtId="178" fontId="2" fillId="6" borderId="1" xfId="5" applyFont="1" applyFill="1" applyBorder="1" applyAlignment="1">
      <alignment vertical="center" wrapText="1"/>
    </xf>
    <xf numFmtId="178" fontId="1" fillId="0" borderId="0" xfId="5" applyFill="1" applyAlignment="1"/>
    <xf numFmtId="10" fontId="4" fillId="6" borderId="1" xfId="6" applyNumberFormat="1" applyFont="1" applyFill="1" applyBorder="1" applyAlignment="1">
      <alignment horizontal="center" vertical="center" wrapText="1"/>
    </xf>
    <xf numFmtId="10" fontId="5" fillId="6" borderId="1" xfId="6" applyNumberFormat="1" applyFont="1" applyFill="1" applyBorder="1" applyAlignment="1">
      <alignment horizontal="center" vertical="center" wrapText="1"/>
    </xf>
    <xf numFmtId="179" fontId="4" fillId="6" borderId="1" xfId="6" applyNumberFormat="1" applyFont="1" applyFill="1" applyBorder="1" applyAlignment="1">
      <alignment horizontal="center" vertical="center" wrapText="1"/>
    </xf>
    <xf numFmtId="181" fontId="4" fillId="8" borderId="1" xfId="6" applyNumberFormat="1" applyFont="1" applyFill="1" applyBorder="1" applyAlignment="1">
      <alignment horizontal="center" vertical="center"/>
    </xf>
    <xf numFmtId="10" fontId="4" fillId="8" borderId="1" xfId="6" applyNumberFormat="1" applyFont="1" applyFill="1" applyBorder="1" applyAlignment="1">
      <alignment horizontal="center" vertical="center"/>
    </xf>
    <xf numFmtId="9" fontId="0" fillId="0" borderId="0" xfId="6" applyFont="1" applyAlignment="1"/>
    <xf numFmtId="178" fontId="5" fillId="0" borderId="25" xfId="5" applyFont="1" applyBorder="1" applyAlignment="1">
      <alignment vertical="center"/>
    </xf>
    <xf numFmtId="178" fontId="5" fillId="0" borderId="26" xfId="5" applyFont="1" applyBorder="1" applyAlignment="1">
      <alignment vertical="center"/>
    </xf>
    <xf numFmtId="178" fontId="5" fillId="0" borderId="26" xfId="5" applyFont="1" applyBorder="1" applyAlignment="1">
      <alignment horizontal="center" vertical="center"/>
    </xf>
    <xf numFmtId="178" fontId="5" fillId="0" borderId="26" xfId="5" applyFont="1" applyBorder="1" applyAlignment="1">
      <alignment horizontal="left" vertical="center"/>
    </xf>
    <xf numFmtId="178" fontId="4" fillId="0" borderId="26" xfId="5" applyFont="1" applyBorder="1" applyAlignment="1">
      <alignment horizontal="right" vertical="center"/>
    </xf>
    <xf numFmtId="176" fontId="16" fillId="0" borderId="26" xfId="5" applyNumberFormat="1" applyFont="1" applyBorder="1" applyAlignment="1">
      <alignment horizontal="center" vertical="center"/>
    </xf>
    <xf numFmtId="178" fontId="4" fillId="10" borderId="27" xfId="5" applyFont="1" applyFill="1" applyBorder="1" applyAlignment="1">
      <alignment vertical="center" wrapText="1"/>
    </xf>
    <xf numFmtId="178" fontId="4" fillId="10" borderId="28" xfId="5" applyFont="1" applyFill="1" applyBorder="1" applyAlignment="1">
      <alignment horizontal="center" vertical="center" wrapText="1"/>
    </xf>
    <xf numFmtId="178" fontId="4" fillId="10" borderId="29" xfId="5" applyFont="1" applyFill="1" applyBorder="1" applyAlignment="1">
      <alignment horizontal="center" vertical="center" wrapText="1"/>
    </xf>
    <xf numFmtId="178" fontId="4" fillId="11" borderId="30" xfId="5" applyFont="1" applyFill="1" applyBorder="1" applyAlignment="1">
      <alignment horizontal="center" vertical="center" wrapText="1"/>
    </xf>
    <xf numFmtId="178" fontId="4" fillId="11" borderId="29" xfId="5" applyFont="1" applyFill="1" applyBorder="1" applyAlignment="1">
      <alignment horizontal="center" vertical="center" wrapText="1"/>
    </xf>
    <xf numFmtId="177" fontId="4" fillId="10" borderId="30" xfId="5" applyNumberFormat="1" applyFont="1" applyFill="1" applyBorder="1" applyAlignment="1">
      <alignment horizontal="center" vertical="center" wrapText="1"/>
    </xf>
    <xf numFmtId="177" fontId="4" fillId="10" borderId="28" xfId="5" applyNumberFormat="1" applyFont="1" applyFill="1" applyBorder="1" applyAlignment="1">
      <alignment horizontal="center" vertical="center" wrapText="1"/>
    </xf>
    <xf numFmtId="177" fontId="4" fillId="10" borderId="29" xfId="5" applyNumberFormat="1" applyFont="1" applyFill="1" applyBorder="1" applyAlignment="1">
      <alignment horizontal="center" vertical="center" wrapText="1"/>
    </xf>
    <xf numFmtId="177" fontId="4" fillId="10" borderId="31" xfId="5" applyNumberFormat="1" applyFont="1" applyFill="1" applyBorder="1" applyAlignment="1">
      <alignment horizontal="center" vertical="center" wrapText="1"/>
    </xf>
    <xf numFmtId="178" fontId="4" fillId="10" borderId="32" xfId="5" applyFont="1" applyFill="1" applyBorder="1" applyAlignment="1">
      <alignment horizontal="center" vertical="center" wrapText="1"/>
    </xf>
    <xf numFmtId="178" fontId="10" fillId="12" borderId="27" xfId="3" applyFont="1" applyFill="1" applyBorder="1" applyAlignment="1">
      <alignment horizontal="center" vertical="center" wrapText="1"/>
    </xf>
    <xf numFmtId="178" fontId="10" fillId="12" borderId="28" xfId="3" applyNumberFormat="1" applyFont="1" applyFill="1" applyBorder="1" applyAlignment="1">
      <alignment horizontal="left" vertical="center" wrapText="1"/>
    </xf>
    <xf numFmtId="178" fontId="10" fillId="12" borderId="29" xfId="3" applyNumberFormat="1" applyFont="1" applyFill="1" applyBorder="1" applyAlignment="1">
      <alignment horizontal="center" vertical="center" wrapText="1"/>
    </xf>
    <xf numFmtId="43" fontId="18" fillId="12" borderId="28" xfId="5" applyNumberFormat="1" applyFont="1" applyFill="1" applyBorder="1" applyAlignment="1">
      <alignment horizontal="right" vertical="center"/>
    </xf>
    <xf numFmtId="43" fontId="18" fillId="12" borderId="30" xfId="5" applyNumberFormat="1" applyFont="1" applyFill="1" applyBorder="1" applyAlignment="1">
      <alignment horizontal="right" vertical="center"/>
    </xf>
    <xf numFmtId="43" fontId="4" fillId="12" borderId="32" xfId="5" applyNumberFormat="1" applyFont="1" applyFill="1" applyBorder="1" applyAlignment="1">
      <alignment horizontal="center" vertical="center"/>
    </xf>
    <xf numFmtId="178" fontId="4" fillId="0" borderId="26" xfId="5" applyFont="1" applyBorder="1" applyAlignment="1">
      <alignment vertical="center"/>
    </xf>
    <xf numFmtId="178" fontId="10" fillId="13" borderId="27" xfId="3" applyFont="1" applyFill="1" applyBorder="1" applyAlignment="1">
      <alignment horizontal="center" vertical="center" wrapText="1"/>
    </xf>
    <xf numFmtId="178" fontId="10" fillId="13" borderId="28" xfId="3" applyNumberFormat="1" applyFont="1" applyFill="1" applyBorder="1" applyAlignment="1">
      <alignment horizontal="left" vertical="center" wrapText="1"/>
    </xf>
    <xf numFmtId="178" fontId="11" fillId="13" borderId="29" xfId="3" applyNumberFormat="1" applyFont="1" applyFill="1" applyBorder="1" applyAlignment="1">
      <alignment horizontal="center" vertical="center" wrapText="1"/>
    </xf>
    <xf numFmtId="43" fontId="20" fillId="13" borderId="28" xfId="5" applyNumberFormat="1" applyFont="1" applyFill="1" applyBorder="1" applyAlignment="1">
      <alignment horizontal="right" vertical="center"/>
    </xf>
    <xf numFmtId="43" fontId="18" fillId="13" borderId="30" xfId="5" applyNumberFormat="1" applyFont="1" applyFill="1" applyBorder="1" applyAlignment="1">
      <alignment horizontal="right" vertical="center"/>
    </xf>
    <xf numFmtId="43" fontId="18" fillId="13" borderId="28" xfId="5" applyNumberFormat="1" applyFont="1" applyFill="1" applyBorder="1" applyAlignment="1">
      <alignment horizontal="right" vertical="center"/>
    </xf>
    <xf numFmtId="178" fontId="5" fillId="0" borderId="26" xfId="5" applyFont="1" applyFill="1" applyBorder="1" applyAlignment="1">
      <alignment vertical="center"/>
    </xf>
    <xf numFmtId="49" fontId="21" fillId="14" borderId="0" xfId="5" applyNumberFormat="1" applyFont="1" applyFill="1" applyBorder="1" applyAlignment="1">
      <alignment horizontal="center" vertical="center"/>
    </xf>
    <xf numFmtId="178" fontId="22" fillId="0" borderId="28" xfId="3" applyNumberFormat="1" applyFont="1" applyFill="1" applyBorder="1" applyAlignment="1">
      <alignment horizontal="left" vertical="center" wrapText="1"/>
    </xf>
    <xf numFmtId="178" fontId="22" fillId="0" borderId="29" xfId="3" applyNumberFormat="1" applyFont="1" applyFill="1" applyBorder="1" applyAlignment="1">
      <alignment horizontal="center" vertical="center" wrapText="1"/>
    </xf>
    <xf numFmtId="2" fontId="22" fillId="0" borderId="30" xfId="3" applyNumberFormat="1" applyFont="1" applyFill="1" applyBorder="1" applyAlignment="1">
      <alignment vertical="center" wrapText="1"/>
    </xf>
    <xf numFmtId="43" fontId="21" fillId="0" borderId="29" xfId="5" applyNumberFormat="1" applyFont="1" applyFill="1" applyBorder="1" applyAlignment="1">
      <alignment horizontal="right" vertical="center"/>
    </xf>
    <xf numFmtId="43" fontId="21" fillId="0" borderId="30" xfId="5" applyNumberFormat="1" applyFont="1" applyFill="1" applyBorder="1" applyAlignment="1">
      <alignment horizontal="right" vertical="center"/>
    </xf>
    <xf numFmtId="43" fontId="21" fillId="0" borderId="28" xfId="5" applyNumberFormat="1" applyFont="1" applyFill="1" applyBorder="1" applyAlignment="1">
      <alignment horizontal="right" vertical="center"/>
    </xf>
    <xf numFmtId="43" fontId="23" fillId="0" borderId="28" xfId="5" applyNumberFormat="1" applyFont="1" applyFill="1" applyBorder="1" applyAlignment="1">
      <alignment horizontal="right" vertical="center"/>
    </xf>
    <xf numFmtId="43" fontId="16" fillId="12" borderId="32" xfId="5" applyNumberFormat="1" applyFont="1" applyFill="1" applyBorder="1" applyAlignment="1">
      <alignment horizontal="center" vertical="center"/>
    </xf>
    <xf numFmtId="178" fontId="24" fillId="0" borderId="26" xfId="5" applyFont="1" applyFill="1" applyBorder="1" applyAlignment="1">
      <alignment vertical="center"/>
    </xf>
    <xf numFmtId="178" fontId="11" fillId="0" borderId="27" xfId="5" applyFont="1" applyFill="1" applyBorder="1" applyAlignment="1">
      <alignment horizontal="center" vertical="center"/>
    </xf>
    <xf numFmtId="178" fontId="11" fillId="0" borderId="28" xfId="3" applyNumberFormat="1" applyFont="1" applyFill="1" applyBorder="1" applyAlignment="1">
      <alignment horizontal="left" vertical="center" wrapText="1"/>
    </xf>
    <xf numFmtId="178" fontId="11" fillId="0" borderId="29" xfId="3" applyNumberFormat="1" applyFont="1" applyFill="1" applyBorder="1" applyAlignment="1">
      <alignment horizontal="center" vertical="center" wrapText="1"/>
    </xf>
    <xf numFmtId="2" fontId="11" fillId="0" borderId="30" xfId="3" applyNumberFormat="1" applyFont="1" applyFill="1" applyBorder="1" applyAlignment="1">
      <alignment vertical="center" wrapText="1"/>
    </xf>
    <xf numFmtId="43" fontId="20" fillId="0" borderId="29" xfId="5" applyNumberFormat="1" applyFont="1" applyFill="1" applyBorder="1" applyAlignment="1">
      <alignment horizontal="right" vertical="center"/>
    </xf>
    <xf numFmtId="43" fontId="20" fillId="0" borderId="30" xfId="5" applyNumberFormat="1" applyFont="1" applyFill="1" applyBorder="1" applyAlignment="1">
      <alignment horizontal="right" vertical="center"/>
    </xf>
    <xf numFmtId="43" fontId="20" fillId="0" borderId="28" xfId="5" applyNumberFormat="1" applyFont="1" applyFill="1" applyBorder="1" applyAlignment="1">
      <alignment horizontal="right" vertical="center"/>
    </xf>
    <xf numFmtId="43" fontId="18" fillId="0" borderId="28" xfId="5" applyNumberFormat="1" applyFont="1" applyFill="1" applyBorder="1" applyAlignment="1">
      <alignment horizontal="right" vertical="center"/>
    </xf>
    <xf numFmtId="2" fontId="11" fillId="13" borderId="30" xfId="3" applyNumberFormat="1" applyFont="1" applyFill="1" applyBorder="1" applyAlignment="1">
      <alignment vertical="center" wrapText="1"/>
    </xf>
    <xf numFmtId="43" fontId="20" fillId="13" borderId="29" xfId="5" applyNumberFormat="1" applyFont="1" applyFill="1" applyBorder="1" applyAlignment="1">
      <alignment horizontal="right" vertical="center"/>
    </xf>
    <xf numFmtId="43" fontId="20" fillId="13" borderId="30" xfId="5" applyNumberFormat="1" applyFont="1" applyFill="1" applyBorder="1" applyAlignment="1">
      <alignment horizontal="right" vertical="center"/>
    </xf>
    <xf numFmtId="49" fontId="22" fillId="14" borderId="27" xfId="5" applyNumberFormat="1" applyFont="1" applyFill="1" applyBorder="1" applyAlignment="1">
      <alignment horizontal="center" vertical="center"/>
    </xf>
    <xf numFmtId="49" fontId="22" fillId="15" borderId="27" xfId="5" applyNumberFormat="1" applyFont="1" applyFill="1" applyBorder="1" applyAlignment="1">
      <alignment horizontal="center" vertical="center"/>
    </xf>
    <xf numFmtId="43" fontId="20" fillId="0" borderId="31" xfId="5" applyNumberFormat="1" applyFont="1" applyFill="1" applyBorder="1" applyAlignment="1">
      <alignment horizontal="right" vertical="center"/>
    </xf>
    <xf numFmtId="178" fontId="10" fillId="0" borderId="27" xfId="3" applyFont="1" applyFill="1" applyBorder="1" applyAlignment="1">
      <alignment horizontal="center" vertical="center" wrapText="1"/>
    </xf>
    <xf numFmtId="178" fontId="10" fillId="0" borderId="28" xfId="3" applyNumberFormat="1" applyFont="1" applyFill="1" applyBorder="1" applyAlignment="1">
      <alignment horizontal="left" vertical="center" wrapText="1"/>
    </xf>
    <xf numFmtId="178" fontId="10" fillId="0" borderId="29" xfId="3" applyNumberFormat="1" applyFont="1" applyFill="1" applyBorder="1" applyAlignment="1">
      <alignment horizontal="center" vertical="center" wrapText="1"/>
    </xf>
    <xf numFmtId="43" fontId="18" fillId="0" borderId="31" xfId="5" applyNumberFormat="1" applyFont="1" applyFill="1" applyBorder="1" applyAlignment="1">
      <alignment horizontal="right" vertical="center"/>
    </xf>
    <xf numFmtId="43" fontId="18" fillId="12" borderId="29" xfId="5" applyNumberFormat="1" applyFont="1" applyFill="1" applyBorder="1" applyAlignment="1">
      <alignment horizontal="right" vertical="center"/>
    </xf>
    <xf numFmtId="178" fontId="11" fillId="0" borderId="27" xfId="3" applyFont="1" applyFill="1" applyBorder="1" applyAlignment="1">
      <alignment horizontal="center" vertical="center" wrapText="1"/>
    </xf>
    <xf numFmtId="178" fontId="11" fillId="0" borderId="28" xfId="3" applyFont="1" applyFill="1" applyBorder="1" applyAlignment="1">
      <alignment horizontal="left" vertical="center" wrapText="1"/>
    </xf>
    <xf numFmtId="178" fontId="11" fillId="0" borderId="29" xfId="3" applyFont="1" applyFill="1" applyBorder="1" applyAlignment="1">
      <alignment horizontal="center" vertical="center" wrapText="1"/>
    </xf>
    <xf numFmtId="43" fontId="21" fillId="0" borderId="31" xfId="5" applyNumberFormat="1" applyFont="1" applyFill="1" applyBorder="1" applyAlignment="1">
      <alignment horizontal="right" vertical="center"/>
    </xf>
    <xf numFmtId="43" fontId="16" fillId="0" borderId="32" xfId="5" applyNumberFormat="1" applyFont="1" applyFill="1" applyBorder="1" applyAlignment="1">
      <alignment horizontal="center" vertical="center"/>
    </xf>
    <xf numFmtId="43" fontId="4" fillId="0" borderId="32" xfId="5" applyNumberFormat="1" applyFont="1" applyFill="1" applyBorder="1" applyAlignment="1">
      <alignment horizontal="center" vertical="center"/>
    </xf>
    <xf numFmtId="49" fontId="20" fillId="0" borderId="0" xfId="5" applyNumberFormat="1" applyFont="1" applyFill="1" applyBorder="1" applyAlignment="1">
      <alignment horizontal="center" vertical="center"/>
    </xf>
    <xf numFmtId="178" fontId="22" fillId="14" borderId="27" xfId="5" applyFont="1" applyFill="1" applyBorder="1" applyAlignment="1">
      <alignment horizontal="center" vertical="center"/>
    </xf>
    <xf numFmtId="178" fontId="22" fillId="15" borderId="27" xfId="5" applyFont="1" applyFill="1" applyBorder="1" applyAlignment="1">
      <alignment horizontal="center" vertical="center"/>
    </xf>
    <xf numFmtId="178" fontId="22" fillId="0" borderId="27" xfId="5" applyFont="1" applyFill="1" applyBorder="1" applyAlignment="1">
      <alignment horizontal="center" vertical="center"/>
    </xf>
    <xf numFmtId="43" fontId="21" fillId="0" borderId="26" xfId="5" applyNumberFormat="1" applyFont="1" applyFill="1" applyBorder="1" applyAlignment="1">
      <alignment horizontal="right" vertical="center"/>
    </xf>
    <xf numFmtId="49" fontId="21" fillId="0" borderId="0" xfId="5" applyNumberFormat="1" applyFont="1" applyFill="1" applyBorder="1" applyAlignment="1">
      <alignment horizontal="center" vertical="center"/>
    </xf>
    <xf numFmtId="179" fontId="20" fillId="0" borderId="28" xfId="5" applyNumberFormat="1" applyFont="1" applyFill="1" applyBorder="1" applyAlignment="1">
      <alignment horizontal="right" vertical="center"/>
    </xf>
    <xf numFmtId="43" fontId="21" fillId="0" borderId="33" xfId="5" applyNumberFormat="1" applyFont="1" applyFill="1" applyBorder="1" applyAlignment="1">
      <alignment horizontal="right" vertical="center"/>
    </xf>
    <xf numFmtId="178" fontId="21" fillId="0" borderId="28" xfId="5" applyNumberFormat="1" applyFont="1" applyFill="1" applyBorder="1" applyAlignment="1">
      <alignment horizontal="right" vertical="center"/>
    </xf>
    <xf numFmtId="49" fontId="21" fillId="15" borderId="0" xfId="5" applyNumberFormat="1" applyFont="1" applyFill="1" applyBorder="1" applyAlignment="1">
      <alignment horizontal="center" vertical="center"/>
    </xf>
    <xf numFmtId="43" fontId="20" fillId="0" borderId="26" xfId="5" applyNumberFormat="1" applyFont="1" applyFill="1" applyBorder="1" applyAlignment="1">
      <alignment horizontal="right" vertical="center"/>
    </xf>
    <xf numFmtId="178" fontId="22" fillId="16" borderId="28" xfId="3" applyNumberFormat="1" applyFont="1" applyFill="1" applyBorder="1" applyAlignment="1">
      <alignment horizontal="left" vertical="center" wrapText="1"/>
    </xf>
    <xf numFmtId="43" fontId="18" fillId="12" borderId="31" xfId="5" applyNumberFormat="1" applyFont="1" applyFill="1" applyBorder="1" applyAlignment="1">
      <alignment horizontal="right" vertical="center"/>
    </xf>
    <xf numFmtId="43" fontId="20" fillId="0" borderId="33" xfId="5" applyNumberFormat="1" applyFont="1" applyFill="1" applyBorder="1" applyAlignment="1">
      <alignment horizontal="right" vertical="center"/>
    </xf>
    <xf numFmtId="178" fontId="11" fillId="13" borderId="27" xfId="3" applyFont="1" applyFill="1" applyBorder="1" applyAlignment="1">
      <alignment horizontal="center" vertical="center" wrapText="1"/>
    </xf>
    <xf numFmtId="178" fontId="10" fillId="0" borderId="26" xfId="3" applyFont="1" applyFill="1" applyBorder="1" applyAlignment="1">
      <alignment horizontal="center" vertical="center" wrapText="1"/>
    </xf>
    <xf numFmtId="178" fontId="10" fillId="0" borderId="26" xfId="3" applyNumberFormat="1" applyFont="1" applyFill="1" applyBorder="1" applyAlignment="1">
      <alignment horizontal="center" vertical="center" wrapText="1"/>
    </xf>
    <xf numFmtId="2" fontId="11" fillId="0" borderId="26" xfId="3" applyNumberFormat="1" applyFont="1" applyFill="1" applyBorder="1" applyAlignment="1">
      <alignment vertical="center" wrapText="1"/>
    </xf>
    <xf numFmtId="178" fontId="5" fillId="13" borderId="26" xfId="5" applyFont="1" applyFill="1" applyBorder="1" applyAlignment="1">
      <alignment vertical="center"/>
    </xf>
    <xf numFmtId="43" fontId="5" fillId="0" borderId="26" xfId="5" applyNumberFormat="1" applyFont="1" applyBorder="1" applyAlignment="1">
      <alignment vertical="center"/>
    </xf>
    <xf numFmtId="43" fontId="20" fillId="13" borderId="31" xfId="5" applyNumberFormat="1" applyFont="1" applyFill="1" applyBorder="1" applyAlignment="1">
      <alignment horizontal="right" vertical="center"/>
    </xf>
    <xf numFmtId="179" fontId="21" fillId="0" borderId="28" xfId="5" applyNumberFormat="1" applyFont="1" applyFill="1" applyBorder="1" applyAlignment="1">
      <alignment horizontal="right" vertical="center"/>
    </xf>
    <xf numFmtId="43" fontId="18" fillId="0" borderId="29" xfId="5" applyNumberFormat="1" applyFont="1" applyFill="1" applyBorder="1" applyAlignment="1">
      <alignment horizontal="right" vertical="center"/>
    </xf>
    <xf numFmtId="43" fontId="18" fillId="0" borderId="30" xfId="5" applyNumberFormat="1" applyFont="1" applyFill="1" applyBorder="1" applyAlignment="1">
      <alignment horizontal="right" vertical="center"/>
    </xf>
    <xf numFmtId="2" fontId="10" fillId="12" borderId="30" xfId="3" applyNumberFormat="1" applyFont="1" applyFill="1" applyBorder="1" applyAlignment="1">
      <alignment vertical="center" wrapText="1"/>
    </xf>
    <xf numFmtId="49" fontId="5" fillId="0" borderId="32" xfId="5" applyNumberFormat="1" applyFont="1" applyFill="1" applyBorder="1" applyAlignment="1">
      <alignment horizontal="center" vertical="center"/>
    </xf>
    <xf numFmtId="178" fontId="23" fillId="0" borderId="27" xfId="5" applyFont="1" applyFill="1" applyBorder="1" applyAlignment="1">
      <alignment horizontal="center" vertical="center"/>
    </xf>
    <xf numFmtId="178" fontId="19" fillId="0" borderId="28" xfId="3" applyNumberFormat="1" applyFont="1" applyFill="1" applyBorder="1" applyAlignment="1">
      <alignment horizontal="left" vertical="center" wrapText="1"/>
    </xf>
    <xf numFmtId="178" fontId="19" fillId="0" borderId="29" xfId="3" applyNumberFormat="1" applyFont="1" applyFill="1" applyBorder="1" applyAlignment="1">
      <alignment horizontal="center" vertical="center" wrapText="1"/>
    </xf>
    <xf numFmtId="2" fontId="19" fillId="0" borderId="26" xfId="3" applyNumberFormat="1" applyFont="1" applyFill="1" applyBorder="1" applyAlignment="1">
      <alignment vertical="center" wrapText="1"/>
    </xf>
    <xf numFmtId="49" fontId="16" fillId="0" borderId="32" xfId="5" applyNumberFormat="1" applyFont="1" applyFill="1" applyBorder="1" applyAlignment="1">
      <alignment horizontal="center" vertical="center"/>
    </xf>
    <xf numFmtId="178" fontId="16" fillId="0" borderId="26" xfId="5" applyFont="1" applyFill="1" applyBorder="1" applyAlignment="1">
      <alignment vertical="center"/>
    </xf>
    <xf numFmtId="178" fontId="10" fillId="10" borderId="27" xfId="3" applyFont="1" applyFill="1" applyBorder="1" applyAlignment="1">
      <alignment horizontal="center" vertical="center" wrapText="1"/>
    </xf>
    <xf numFmtId="178" fontId="12" fillId="10" borderId="28" xfId="3" applyNumberFormat="1" applyFont="1" applyFill="1" applyBorder="1" applyAlignment="1">
      <alignment horizontal="left" vertical="center" wrapText="1"/>
    </xf>
    <xf numFmtId="178" fontId="12" fillId="10" borderId="29" xfId="3" applyNumberFormat="1" applyFont="1" applyFill="1" applyBorder="1" applyAlignment="1">
      <alignment horizontal="center" vertical="center" wrapText="1"/>
    </xf>
    <xf numFmtId="43" fontId="18" fillId="10" borderId="29" xfId="5" applyNumberFormat="1" applyFont="1" applyFill="1" applyBorder="1" applyAlignment="1">
      <alignment horizontal="right" vertical="center"/>
    </xf>
    <xf numFmtId="43" fontId="23" fillId="10" borderId="31" xfId="5" applyNumberFormat="1" applyFont="1" applyFill="1" applyBorder="1" applyAlignment="1">
      <alignment horizontal="right" vertical="center"/>
    </xf>
    <xf numFmtId="43" fontId="18" fillId="10" borderId="28" xfId="5" applyNumberFormat="1" applyFont="1" applyFill="1" applyBorder="1" applyAlignment="1">
      <alignment horizontal="right" vertical="center"/>
    </xf>
    <xf numFmtId="49" fontId="4" fillId="10" borderId="32" xfId="5" applyNumberFormat="1" applyFont="1" applyFill="1" applyBorder="1" applyAlignment="1">
      <alignment horizontal="center" vertical="center"/>
    </xf>
    <xf numFmtId="178" fontId="12" fillId="0" borderId="28" xfId="3" applyNumberFormat="1" applyFont="1" applyFill="1" applyBorder="1" applyAlignment="1">
      <alignment horizontal="left" vertical="center" wrapText="1"/>
    </xf>
    <xf numFmtId="178" fontId="12" fillId="0" borderId="29" xfId="3" applyNumberFormat="1" applyFont="1" applyFill="1" applyBorder="1" applyAlignment="1">
      <alignment horizontal="center" vertical="center" wrapText="1"/>
    </xf>
    <xf numFmtId="2" fontId="10" fillId="0" borderId="30" xfId="3" applyNumberFormat="1" applyFont="1" applyFill="1" applyBorder="1" applyAlignment="1">
      <alignment vertical="center" wrapText="1"/>
    </xf>
    <xf numFmtId="43" fontId="18" fillId="0" borderId="29" xfId="5" applyNumberFormat="1" applyFont="1" applyFill="1" applyBorder="1" applyAlignment="1">
      <alignment horizontal="right" vertical="center" wrapText="1"/>
    </xf>
    <xf numFmtId="43" fontId="18" fillId="0" borderId="26" xfId="5" applyNumberFormat="1" applyFont="1" applyFill="1" applyBorder="1" applyAlignment="1">
      <alignment horizontal="right" vertical="center"/>
    </xf>
    <xf numFmtId="43" fontId="23" fillId="0" borderId="31" xfId="5" applyNumberFormat="1" applyFont="1" applyFill="1" applyBorder="1" applyAlignment="1">
      <alignment horizontal="right" vertical="center"/>
    </xf>
    <xf numFmtId="49" fontId="4" fillId="0" borderId="32" xfId="5" applyNumberFormat="1" applyFont="1" applyFill="1" applyBorder="1" applyAlignment="1">
      <alignment horizontal="center" vertical="center"/>
    </xf>
    <xf numFmtId="178" fontId="4" fillId="0" borderId="26" xfId="5" applyFont="1" applyFill="1" applyBorder="1" applyAlignment="1">
      <alignment vertical="center"/>
    </xf>
    <xf numFmtId="178" fontId="20" fillId="0" borderId="27" xfId="5" applyFont="1" applyFill="1" applyBorder="1" applyAlignment="1">
      <alignment horizontal="center" vertical="center"/>
    </xf>
    <xf numFmtId="49" fontId="20" fillId="0" borderId="27" xfId="5" applyNumberFormat="1" applyFont="1" applyFill="1" applyBorder="1" applyAlignment="1">
      <alignment horizontal="center" vertical="center"/>
    </xf>
    <xf numFmtId="43" fontId="5" fillId="0" borderId="26" xfId="5" applyNumberFormat="1" applyFont="1" applyFill="1" applyBorder="1" applyAlignment="1">
      <alignment vertical="center"/>
    </xf>
    <xf numFmtId="43" fontId="4" fillId="0" borderId="26" xfId="5" applyNumberFormat="1" applyFont="1" applyFill="1" applyBorder="1" applyAlignment="1">
      <alignment vertical="center"/>
    </xf>
    <xf numFmtId="178" fontId="10" fillId="17" borderId="27" xfId="3" applyFont="1" applyFill="1" applyBorder="1" applyAlignment="1">
      <alignment horizontal="center" vertical="center" wrapText="1"/>
    </xf>
    <xf numFmtId="178" fontId="10" fillId="17" borderId="28" xfId="3" applyNumberFormat="1" applyFont="1" applyFill="1" applyBorder="1" applyAlignment="1">
      <alignment horizontal="left" vertical="center" wrapText="1"/>
    </xf>
    <xf numFmtId="178" fontId="10" fillId="17" borderId="29" xfId="3" applyNumberFormat="1" applyFont="1" applyFill="1" applyBorder="1" applyAlignment="1">
      <alignment horizontal="center" vertical="center" wrapText="1"/>
    </xf>
    <xf numFmtId="2" fontId="10" fillId="17" borderId="30" xfId="3" applyNumberFormat="1" applyFont="1" applyFill="1" applyBorder="1" applyAlignment="1">
      <alignment vertical="center" wrapText="1"/>
    </xf>
    <xf numFmtId="43" fontId="18" fillId="17" borderId="29" xfId="5" applyNumberFormat="1" applyFont="1" applyFill="1" applyBorder="1" applyAlignment="1">
      <alignment horizontal="right" vertical="center"/>
    </xf>
    <xf numFmtId="43" fontId="18" fillId="17" borderId="31" xfId="5" applyNumberFormat="1" applyFont="1" applyFill="1" applyBorder="1" applyAlignment="1">
      <alignment horizontal="right" vertical="center"/>
    </xf>
    <xf numFmtId="43" fontId="18" fillId="17" borderId="28" xfId="5" applyNumberFormat="1" applyFont="1" applyFill="1" applyBorder="1" applyAlignment="1">
      <alignment horizontal="right" vertical="center"/>
    </xf>
    <xf numFmtId="49" fontId="4" fillId="17" borderId="32" xfId="5" applyNumberFormat="1" applyFont="1" applyFill="1" applyBorder="1" applyAlignment="1">
      <alignment horizontal="center" vertical="center"/>
    </xf>
    <xf numFmtId="178" fontId="10" fillId="10" borderId="28" xfId="3" applyNumberFormat="1" applyFont="1" applyFill="1" applyBorder="1" applyAlignment="1">
      <alignment horizontal="left" vertical="center" wrapText="1"/>
    </xf>
    <xf numFmtId="178" fontId="10" fillId="10" borderId="29" xfId="3" applyNumberFormat="1" applyFont="1" applyFill="1" applyBorder="1" applyAlignment="1">
      <alignment horizontal="center" vertical="center" wrapText="1"/>
    </xf>
    <xf numFmtId="2" fontId="10" fillId="10" borderId="30" xfId="3" applyNumberFormat="1" applyFont="1" applyFill="1" applyBorder="1" applyAlignment="1">
      <alignment vertical="center" wrapText="1"/>
    </xf>
    <xf numFmtId="43" fontId="18" fillId="10" borderId="30" xfId="5" applyNumberFormat="1" applyFont="1" applyFill="1" applyBorder="1" applyAlignment="1">
      <alignment horizontal="right" vertical="center"/>
    </xf>
    <xf numFmtId="43" fontId="18" fillId="10" borderId="31" xfId="5" applyNumberFormat="1" applyFont="1" applyFill="1" applyBorder="1" applyAlignment="1">
      <alignment horizontal="right" vertical="center"/>
    </xf>
    <xf numFmtId="43" fontId="20" fillId="10" borderId="31" xfId="5" applyNumberFormat="1" applyFont="1" applyFill="1" applyBorder="1" applyAlignment="1">
      <alignment horizontal="right" vertical="center"/>
    </xf>
    <xf numFmtId="49" fontId="5" fillId="10" borderId="32" xfId="5" applyNumberFormat="1" applyFont="1" applyFill="1" applyBorder="1" applyAlignment="1">
      <alignment horizontal="center" vertical="center"/>
    </xf>
    <xf numFmtId="178" fontId="10" fillId="0" borderId="34" xfId="3" applyFont="1" applyFill="1" applyBorder="1" applyAlignment="1">
      <alignment horizontal="center" vertical="center" wrapText="1"/>
    </xf>
    <xf numFmtId="178" fontId="10" fillId="0" borderId="34" xfId="3" applyNumberFormat="1" applyFont="1" applyFill="1" applyBorder="1" applyAlignment="1">
      <alignment horizontal="left" vertical="center" wrapText="1"/>
    </xf>
    <xf numFmtId="178" fontId="10" fillId="0" borderId="34" xfId="3" applyNumberFormat="1" applyFont="1" applyFill="1" applyBorder="1" applyAlignment="1">
      <alignment horizontal="center" vertical="center" wrapText="1"/>
    </xf>
    <xf numFmtId="2" fontId="10" fillId="0" borderId="34" xfId="3" applyNumberFormat="1" applyFont="1" applyFill="1" applyBorder="1" applyAlignment="1">
      <alignment vertical="center" wrapText="1"/>
    </xf>
    <xf numFmtId="43" fontId="18" fillId="0" borderId="34" xfId="5" applyNumberFormat="1" applyFont="1" applyFill="1" applyBorder="1" applyAlignment="1">
      <alignment horizontal="right" vertical="center"/>
    </xf>
    <xf numFmtId="43" fontId="20" fillId="0" borderId="34" xfId="5" applyNumberFormat="1" applyFont="1" applyFill="1" applyBorder="1" applyAlignment="1">
      <alignment horizontal="right" vertical="center"/>
    </xf>
    <xf numFmtId="49" fontId="5" fillId="0" borderId="34" xfId="5" applyNumberFormat="1" applyFont="1" applyFill="1" applyBorder="1" applyAlignment="1">
      <alignment horizontal="center" vertical="center"/>
    </xf>
    <xf numFmtId="178" fontId="12" fillId="0" borderId="34" xfId="3" applyNumberFormat="1" applyFont="1" applyFill="1" applyBorder="1" applyAlignment="1">
      <alignment horizontal="center" vertical="center" wrapText="1"/>
    </xf>
    <xf numFmtId="10" fontId="10" fillId="0" borderId="34" xfId="6" applyNumberFormat="1" applyFont="1" applyFill="1" applyBorder="1" applyAlignment="1">
      <alignment vertical="center"/>
    </xf>
    <xf numFmtId="10" fontId="18" fillId="0" borderId="34" xfId="5" applyNumberFormat="1" applyFont="1" applyFill="1" applyBorder="1" applyAlignment="1">
      <alignment horizontal="right" vertical="center"/>
    </xf>
    <xf numFmtId="49" fontId="4" fillId="0" borderId="34" xfId="5" applyNumberFormat="1" applyFont="1" applyFill="1" applyBorder="1" applyAlignment="1">
      <alignment horizontal="center" vertical="center"/>
    </xf>
    <xf numFmtId="178" fontId="5" fillId="0" borderId="34" xfId="5" applyFont="1" applyBorder="1" applyAlignment="1">
      <alignment vertical="center"/>
    </xf>
    <xf numFmtId="178" fontId="5" fillId="0" borderId="34" xfId="5" applyFont="1" applyBorder="1" applyAlignment="1">
      <alignment horizontal="center" vertical="center"/>
    </xf>
    <xf numFmtId="178" fontId="5" fillId="0" borderId="34" xfId="5" applyFont="1" applyBorder="1" applyAlignment="1">
      <alignment horizontal="right" vertical="center"/>
    </xf>
    <xf numFmtId="178" fontId="4" fillId="0" borderId="34" xfId="5" applyFont="1" applyBorder="1" applyAlignment="1">
      <alignment horizontal="right" vertical="center"/>
    </xf>
    <xf numFmtId="178" fontId="5" fillId="0" borderId="34" xfId="5" applyFont="1" applyFill="1" applyBorder="1" applyAlignment="1">
      <alignment horizontal="center" vertical="center"/>
    </xf>
    <xf numFmtId="43" fontId="5" fillId="0" borderId="34" xfId="5" applyNumberFormat="1" applyFont="1" applyBorder="1" applyAlignment="1">
      <alignment horizontal="right" vertical="center"/>
    </xf>
    <xf numFmtId="178" fontId="5" fillId="0" borderId="26" xfId="5" applyFont="1" applyBorder="1" applyAlignment="1">
      <alignment horizontal="right" vertical="center"/>
    </xf>
    <xf numFmtId="43" fontId="5" fillId="0" borderId="26" xfId="5" applyNumberFormat="1" applyFont="1" applyBorder="1" applyAlignment="1">
      <alignment horizontal="right" vertical="center"/>
    </xf>
    <xf numFmtId="178" fontId="4" fillId="0" borderId="26" xfId="5" applyFont="1" applyBorder="1" applyAlignment="1">
      <alignment horizontal="center" vertical="center"/>
    </xf>
    <xf numFmtId="178" fontId="5" fillId="0" borderId="35" xfId="7" applyFont="1" applyBorder="1" applyAlignment="1">
      <alignment horizontal="center" vertical="center" wrapText="1"/>
    </xf>
    <xf numFmtId="178" fontId="5" fillId="0" borderId="36" xfId="7" applyFont="1" applyBorder="1" applyAlignment="1">
      <alignment horizontal="center" vertical="center" wrapText="1"/>
    </xf>
    <xf numFmtId="182" fontId="5" fillId="0" borderId="36" xfId="7" applyNumberFormat="1" applyFont="1" applyBorder="1" applyAlignment="1">
      <alignment horizontal="center" vertical="center" wrapText="1"/>
    </xf>
    <xf numFmtId="178" fontId="4" fillId="18" borderId="37" xfId="7" applyFont="1" applyFill="1" applyBorder="1" applyAlignment="1">
      <alignment horizontal="center" vertical="center" wrapText="1"/>
    </xf>
    <xf numFmtId="178" fontId="5" fillId="0" borderId="0" xfId="7" applyFont="1" applyBorder="1" applyAlignment="1">
      <alignment horizontal="center" vertical="center" wrapText="1"/>
    </xf>
    <xf numFmtId="178" fontId="27" fillId="0" borderId="38" xfId="7" applyFont="1" applyBorder="1" applyAlignment="1">
      <alignment horizontal="center" vertical="center" wrapText="1"/>
    </xf>
    <xf numFmtId="178" fontId="27" fillId="0" borderId="1" xfId="7" applyFont="1" applyBorder="1" applyAlignment="1">
      <alignment horizontal="center" vertical="center" wrapText="1"/>
    </xf>
    <xf numFmtId="178" fontId="28" fillId="0" borderId="1" xfId="7" applyFont="1" applyBorder="1" applyAlignment="1">
      <alignment horizontal="center" vertical="center" wrapText="1"/>
    </xf>
    <xf numFmtId="182" fontId="28" fillId="19" borderId="1" xfId="7" applyNumberFormat="1" applyFont="1" applyFill="1" applyBorder="1" applyAlignment="1">
      <alignment horizontal="center" vertical="center" wrapText="1"/>
    </xf>
    <xf numFmtId="178" fontId="27" fillId="19" borderId="1" xfId="7" applyFont="1" applyFill="1" applyBorder="1" applyAlignment="1">
      <alignment horizontal="center" vertical="center" wrapText="1"/>
    </xf>
    <xf numFmtId="178" fontId="29" fillId="20" borderId="1" xfId="7" applyFont="1" applyFill="1" applyBorder="1" applyAlignment="1">
      <alignment horizontal="center" vertical="center" wrapText="1"/>
    </xf>
    <xf numFmtId="178" fontId="27" fillId="0" borderId="1" xfId="7" applyFont="1" applyFill="1" applyBorder="1" applyAlignment="1">
      <alignment horizontal="center" vertical="center" wrapText="1"/>
    </xf>
    <xf numFmtId="58" fontId="27" fillId="0" borderId="1" xfId="7" applyNumberFormat="1" applyFont="1" applyFill="1" applyBorder="1" applyAlignment="1">
      <alignment horizontal="center" vertical="center" wrapText="1"/>
    </xf>
    <xf numFmtId="178" fontId="29" fillId="20" borderId="13" xfId="7" applyFont="1" applyFill="1" applyBorder="1" applyAlignment="1">
      <alignment horizontal="center" vertical="center" wrapText="1"/>
    </xf>
    <xf numFmtId="178" fontId="4" fillId="18" borderId="23" xfId="7" applyFont="1" applyFill="1" applyBorder="1" applyAlignment="1">
      <alignment horizontal="center" vertical="center" wrapText="1"/>
    </xf>
    <xf numFmtId="178" fontId="27" fillId="0" borderId="0" xfId="7" applyFont="1" applyBorder="1" applyAlignment="1">
      <alignment horizontal="center" vertical="center" wrapText="1"/>
    </xf>
    <xf numFmtId="178" fontId="27" fillId="0" borderId="15" xfId="7" applyFont="1" applyFill="1" applyBorder="1" applyAlignment="1">
      <alignment horizontal="center" vertical="center" wrapText="1"/>
    </xf>
    <xf numFmtId="178" fontId="27" fillId="20" borderId="15" xfId="7" applyFont="1" applyFill="1" applyBorder="1" applyAlignment="1">
      <alignment horizontal="center" vertical="center" wrapText="1"/>
    </xf>
    <xf numFmtId="178" fontId="24" fillId="20" borderId="1" xfId="7" applyFont="1" applyFill="1" applyBorder="1" applyAlignment="1">
      <alignment horizontal="center" vertical="center" wrapText="1"/>
    </xf>
    <xf numFmtId="178" fontId="24" fillId="20" borderId="15" xfId="7" applyFont="1" applyFill="1" applyBorder="1" applyAlignment="1">
      <alignment horizontal="center" vertical="center" wrapText="1"/>
    </xf>
    <xf numFmtId="178" fontId="24" fillId="0" borderId="15" xfId="7" applyFont="1" applyFill="1" applyBorder="1" applyAlignment="1">
      <alignment horizontal="center" vertical="center" wrapText="1"/>
    </xf>
    <xf numFmtId="178" fontId="29" fillId="20" borderId="15" xfId="7" applyFont="1" applyFill="1" applyBorder="1" applyAlignment="1">
      <alignment horizontal="center" vertical="center" wrapText="1"/>
    </xf>
    <xf numFmtId="178" fontId="28" fillId="0" borderId="15" xfId="7" applyFont="1" applyFill="1" applyBorder="1" applyAlignment="1">
      <alignment horizontal="center" vertical="center" wrapText="1"/>
    </xf>
    <xf numFmtId="178" fontId="30" fillId="20" borderId="15" xfId="7" applyFont="1" applyFill="1" applyBorder="1" applyAlignment="1">
      <alignment horizontal="center" vertical="center" wrapText="1"/>
    </xf>
    <xf numFmtId="178" fontId="28" fillId="20" borderId="15" xfId="7" applyFont="1" applyFill="1" applyBorder="1" applyAlignment="1">
      <alignment horizontal="center" vertical="center" wrapText="1"/>
    </xf>
    <xf numFmtId="178" fontId="28" fillId="20" borderId="40" xfId="7" applyFont="1" applyFill="1" applyBorder="1" applyAlignment="1">
      <alignment horizontal="center" vertical="center" wrapText="1"/>
    </xf>
    <xf numFmtId="178" fontId="4" fillId="18" borderId="24" xfId="7" applyFont="1" applyFill="1" applyBorder="1" applyAlignment="1">
      <alignment horizontal="center" vertical="center" wrapText="1"/>
    </xf>
    <xf numFmtId="178" fontId="5" fillId="0" borderId="1" xfId="7" applyFont="1" applyBorder="1" applyAlignment="1">
      <alignment horizontal="center" vertical="center" wrapText="1"/>
    </xf>
    <xf numFmtId="182" fontId="5" fillId="0" borderId="1" xfId="7" applyNumberFormat="1" applyFont="1" applyBorder="1" applyAlignment="1">
      <alignment horizontal="center" vertical="center" wrapText="1"/>
    </xf>
    <xf numFmtId="183" fontId="5" fillId="0" borderId="1" xfId="7" applyNumberFormat="1" applyFont="1" applyBorder="1" applyAlignment="1">
      <alignment horizontal="center" vertical="center" wrapText="1"/>
    </xf>
    <xf numFmtId="183" fontId="5" fillId="20" borderId="1" xfId="7" applyNumberFormat="1" applyFont="1" applyFill="1" applyBorder="1" applyAlignment="1">
      <alignment horizontal="center" vertical="center" wrapText="1"/>
    </xf>
    <xf numFmtId="183" fontId="5" fillId="20" borderId="41" xfId="7" applyNumberFormat="1" applyFont="1" applyFill="1" applyBorder="1" applyAlignment="1">
      <alignment horizontal="center" vertical="center" wrapText="1"/>
    </xf>
    <xf numFmtId="183" fontId="4" fillId="18" borderId="17" xfId="7" applyNumberFormat="1" applyFont="1" applyFill="1" applyBorder="1" applyAlignment="1">
      <alignment horizontal="center" vertical="center" wrapText="1"/>
    </xf>
    <xf numFmtId="183" fontId="5" fillId="0" borderId="0" xfId="7" applyNumberFormat="1" applyFont="1" applyBorder="1" applyAlignment="1">
      <alignment horizontal="center" vertical="center" wrapText="1"/>
    </xf>
    <xf numFmtId="183" fontId="5" fillId="20" borderId="13" xfId="7" applyNumberFormat="1" applyFont="1" applyFill="1" applyBorder="1" applyAlignment="1">
      <alignment horizontal="center" vertical="center" wrapText="1"/>
    </xf>
    <xf numFmtId="183" fontId="4" fillId="18" borderId="23" xfId="7" applyNumberFormat="1" applyFont="1" applyFill="1" applyBorder="1" applyAlignment="1">
      <alignment horizontal="center" vertical="center" wrapText="1"/>
    </xf>
    <xf numFmtId="179" fontId="5" fillId="20" borderId="1" xfId="7" applyNumberFormat="1" applyFont="1" applyFill="1" applyBorder="1" applyAlignment="1">
      <alignment horizontal="center" vertical="center" wrapText="1"/>
    </xf>
    <xf numFmtId="179" fontId="5" fillId="20" borderId="41" xfId="7" applyNumberFormat="1" applyFont="1" applyFill="1" applyBorder="1" applyAlignment="1">
      <alignment horizontal="center" vertical="center" wrapText="1"/>
    </xf>
    <xf numFmtId="179" fontId="4" fillId="18" borderId="17" xfId="7" applyNumberFormat="1" applyFont="1" applyFill="1" applyBorder="1" applyAlignment="1">
      <alignment horizontal="center" vertical="center" wrapText="1"/>
    </xf>
    <xf numFmtId="183" fontId="5" fillId="20" borderId="15" xfId="7" applyNumberFormat="1" applyFont="1" applyFill="1" applyBorder="1" applyAlignment="1">
      <alignment horizontal="center" vertical="center" wrapText="1"/>
    </xf>
    <xf numFmtId="178" fontId="5" fillId="21" borderId="1" xfId="7" applyFont="1" applyFill="1" applyBorder="1" applyAlignment="1">
      <alignment horizontal="center" vertical="center" wrapText="1"/>
    </xf>
    <xf numFmtId="182" fontId="5" fillId="21" borderId="1" xfId="7" applyNumberFormat="1" applyFont="1" applyFill="1" applyBorder="1" applyAlignment="1">
      <alignment horizontal="center" vertical="center" wrapText="1"/>
    </xf>
    <xf numFmtId="183" fontId="5" fillId="21" borderId="1" xfId="7" applyNumberFormat="1" applyFont="1" applyFill="1" applyBorder="1" applyAlignment="1">
      <alignment horizontal="center" vertical="center" wrapText="1"/>
    </xf>
    <xf numFmtId="183" fontId="31" fillId="21" borderId="1" xfId="7" applyNumberFormat="1" applyFont="1" applyFill="1" applyBorder="1" applyAlignment="1">
      <alignment horizontal="center" vertical="center" wrapText="1"/>
    </xf>
    <xf numFmtId="183" fontId="5" fillId="21" borderId="41" xfId="7" applyNumberFormat="1" applyFont="1" applyFill="1" applyBorder="1" applyAlignment="1">
      <alignment horizontal="center" vertical="center" wrapText="1"/>
    </xf>
    <xf numFmtId="183" fontId="5" fillId="21" borderId="13" xfId="7" applyNumberFormat="1" applyFont="1" applyFill="1" applyBorder="1" applyAlignment="1">
      <alignment horizontal="center" vertical="center" wrapText="1"/>
    </xf>
    <xf numFmtId="179" fontId="16" fillId="18" borderId="17" xfId="7" applyNumberFormat="1" applyFont="1" applyFill="1" applyBorder="1" applyAlignment="1">
      <alignment horizontal="center" vertical="center" wrapText="1"/>
    </xf>
    <xf numFmtId="178" fontId="5" fillId="0" borderId="1" xfId="7" applyFont="1" applyFill="1" applyBorder="1" applyAlignment="1">
      <alignment horizontal="center" vertical="center" wrapText="1"/>
    </xf>
    <xf numFmtId="183" fontId="27" fillId="20" borderId="1" xfId="7" applyNumberFormat="1" applyFont="1" applyFill="1" applyBorder="1" applyAlignment="1">
      <alignment horizontal="center" vertical="center" wrapText="1"/>
    </xf>
    <xf numFmtId="178" fontId="28" fillId="0" borderId="1" xfId="7" applyFont="1" applyFill="1" applyBorder="1" applyAlignment="1">
      <alignment horizontal="center" vertical="center" wrapText="1"/>
    </xf>
    <xf numFmtId="178" fontId="28" fillId="20" borderId="1" xfId="7" applyFont="1" applyFill="1" applyBorder="1" applyAlignment="1">
      <alignment horizontal="center" vertical="center" wrapText="1"/>
    </xf>
    <xf numFmtId="178" fontId="28" fillId="20" borderId="13" xfId="7" applyFont="1" applyFill="1" applyBorder="1" applyAlignment="1">
      <alignment horizontal="center" vertical="center" wrapText="1"/>
    </xf>
    <xf numFmtId="183" fontId="27" fillId="0" borderId="0" xfId="7" applyNumberFormat="1" applyFont="1" applyBorder="1" applyAlignment="1">
      <alignment horizontal="center" vertical="center" wrapText="1"/>
    </xf>
    <xf numFmtId="178" fontId="5" fillId="20" borderId="1" xfId="7" applyFont="1" applyFill="1" applyBorder="1" applyAlignment="1">
      <alignment horizontal="center" vertical="center" wrapText="1"/>
    </xf>
    <xf numFmtId="179" fontId="29" fillId="20" borderId="1" xfId="7" applyNumberFormat="1" applyFont="1" applyFill="1" applyBorder="1" applyAlignment="1">
      <alignment horizontal="center" vertical="center" wrapText="1"/>
    </xf>
    <xf numFmtId="179" fontId="4" fillId="18" borderId="23" xfId="7" applyNumberFormat="1" applyFont="1" applyFill="1" applyBorder="1" applyAlignment="1">
      <alignment horizontal="center" vertical="center" wrapText="1"/>
    </xf>
    <xf numFmtId="178" fontId="27" fillId="20" borderId="1" xfId="7" applyFont="1" applyFill="1" applyBorder="1" applyAlignment="1">
      <alignment horizontal="center" vertical="center" wrapText="1"/>
    </xf>
    <xf numFmtId="178" fontId="5" fillId="0" borderId="20" xfId="7" applyFont="1" applyFill="1" applyBorder="1" applyAlignment="1">
      <alignment horizontal="center" vertical="center" wrapText="1"/>
    </xf>
    <xf numFmtId="178" fontId="27" fillId="0" borderId="20" xfId="7" applyFont="1" applyFill="1" applyBorder="1" applyAlignment="1">
      <alignment horizontal="center" vertical="center" wrapText="1"/>
    </xf>
    <xf numFmtId="178" fontId="28" fillId="0" borderId="20" xfId="7" applyFont="1" applyFill="1" applyBorder="1" applyAlignment="1">
      <alignment horizontal="center" vertical="center" wrapText="1"/>
    </xf>
    <xf numFmtId="178" fontId="29" fillId="20" borderId="20" xfId="7" applyFont="1" applyFill="1" applyBorder="1" applyAlignment="1">
      <alignment horizontal="center" vertical="center" wrapText="1"/>
    </xf>
    <xf numFmtId="178" fontId="28" fillId="20" borderId="20" xfId="7" applyFont="1" applyFill="1" applyBorder="1" applyAlignment="1">
      <alignment horizontal="center" vertical="center" wrapText="1"/>
    </xf>
    <xf numFmtId="178" fontId="28" fillId="20" borderId="21" xfId="7" applyFont="1" applyFill="1" applyBorder="1" applyAlignment="1">
      <alignment horizontal="center" vertical="center" wrapText="1"/>
    </xf>
    <xf numFmtId="183" fontId="5" fillId="0" borderId="20" xfId="7" applyNumberFormat="1" applyFont="1" applyBorder="1" applyAlignment="1">
      <alignment horizontal="center" vertical="center" wrapText="1"/>
    </xf>
    <xf numFmtId="178" fontId="27" fillId="20" borderId="20" xfId="7" applyFont="1" applyFill="1" applyBorder="1" applyAlignment="1">
      <alignment horizontal="center" vertical="center" wrapText="1"/>
    </xf>
    <xf numFmtId="178" fontId="29" fillId="0" borderId="20" xfId="7" applyFont="1" applyFill="1" applyBorder="1" applyAlignment="1">
      <alignment horizontal="center" vertical="center" wrapText="1"/>
    </xf>
    <xf numFmtId="179" fontId="29" fillId="20" borderId="20" xfId="7" applyNumberFormat="1" applyFont="1" applyFill="1" applyBorder="1" applyAlignment="1">
      <alignment horizontal="center" vertical="center" wrapText="1"/>
    </xf>
    <xf numFmtId="178" fontId="5" fillId="21" borderId="20" xfId="7" applyFont="1" applyFill="1" applyBorder="1" applyAlignment="1">
      <alignment horizontal="center" vertical="center" wrapText="1"/>
    </xf>
    <xf numFmtId="183" fontId="5" fillId="21" borderId="20" xfId="7" applyNumberFormat="1" applyFont="1" applyFill="1" applyBorder="1" applyAlignment="1">
      <alignment horizontal="center" vertical="center" wrapText="1"/>
    </xf>
    <xf numFmtId="178" fontId="5" fillId="21" borderId="21" xfId="7" applyFont="1" applyFill="1" applyBorder="1" applyAlignment="1">
      <alignment horizontal="center" vertical="center" wrapText="1"/>
    </xf>
    <xf numFmtId="183" fontId="5" fillId="21" borderId="21" xfId="7" applyNumberFormat="1" applyFont="1" applyFill="1" applyBorder="1" applyAlignment="1">
      <alignment horizontal="center" vertical="center" wrapText="1"/>
    </xf>
    <xf numFmtId="182" fontId="5" fillId="21" borderId="20" xfId="7" applyNumberFormat="1" applyFont="1" applyFill="1" applyBorder="1" applyAlignment="1">
      <alignment horizontal="center" vertical="center" wrapText="1"/>
    </xf>
    <xf numFmtId="182" fontId="5" fillId="21" borderId="21" xfId="7" applyNumberFormat="1" applyFont="1" applyFill="1" applyBorder="1" applyAlignment="1">
      <alignment horizontal="center" vertical="center" wrapText="1"/>
    </xf>
    <xf numFmtId="182" fontId="16" fillId="18" borderId="23" xfId="7" applyNumberFormat="1" applyFont="1" applyFill="1" applyBorder="1" applyAlignment="1">
      <alignment horizontal="center" vertical="center" wrapText="1"/>
    </xf>
    <xf numFmtId="182" fontId="27" fillId="0" borderId="0" xfId="7" applyNumberFormat="1" applyFont="1" applyBorder="1" applyAlignment="1">
      <alignment horizontal="center" vertical="center" wrapText="1"/>
    </xf>
    <xf numFmtId="178" fontId="5" fillId="20" borderId="20" xfId="7" applyFont="1" applyFill="1" applyBorder="1" applyAlignment="1">
      <alignment horizontal="center" vertical="center" wrapText="1"/>
    </xf>
    <xf numFmtId="179" fontId="27" fillId="20" borderId="20" xfId="7" applyNumberFormat="1" applyFont="1" applyFill="1" applyBorder="1" applyAlignment="1">
      <alignment horizontal="center" vertical="center" wrapText="1"/>
    </xf>
    <xf numFmtId="183" fontId="31" fillId="21" borderId="20" xfId="7" applyNumberFormat="1" applyFont="1" applyFill="1" applyBorder="1" applyAlignment="1">
      <alignment horizontal="center" vertical="center" wrapText="1"/>
    </xf>
    <xf numFmtId="182" fontId="5" fillId="21" borderId="41" xfId="7" applyNumberFormat="1" applyFont="1" applyFill="1" applyBorder="1" applyAlignment="1">
      <alignment horizontal="center" vertical="center" wrapText="1"/>
    </xf>
    <xf numFmtId="182" fontId="16" fillId="18" borderId="17" xfId="7" applyNumberFormat="1" applyFont="1" applyFill="1" applyBorder="1" applyAlignment="1">
      <alignment horizontal="center" vertical="center" wrapText="1"/>
    </xf>
    <xf numFmtId="182" fontId="5" fillId="0" borderId="0" xfId="7" applyNumberFormat="1" applyFont="1" applyBorder="1" applyAlignment="1">
      <alignment horizontal="center" vertical="center" wrapText="1"/>
    </xf>
    <xf numFmtId="178" fontId="5" fillId="0" borderId="20" xfId="7" applyFont="1" applyBorder="1" applyAlignment="1">
      <alignment horizontal="center" vertical="center" wrapText="1"/>
    </xf>
    <xf numFmtId="182" fontId="5" fillId="0" borderId="20" xfId="7" applyNumberFormat="1" applyFont="1" applyBorder="1" applyAlignment="1">
      <alignment horizontal="center" vertical="center" wrapText="1"/>
    </xf>
    <xf numFmtId="178" fontId="24" fillId="0" borderId="20" xfId="7" applyFont="1" applyFill="1" applyBorder="1" applyAlignment="1">
      <alignment horizontal="center" vertical="center" wrapText="1"/>
    </xf>
    <xf numFmtId="183" fontId="27" fillId="20" borderId="20" xfId="7" applyNumberFormat="1" applyFont="1" applyFill="1" applyBorder="1" applyAlignment="1">
      <alignment horizontal="center" vertical="center" wrapText="1"/>
    </xf>
    <xf numFmtId="178" fontId="16" fillId="18" borderId="23" xfId="7" applyFont="1" applyFill="1" applyBorder="1" applyAlignment="1">
      <alignment horizontal="center" vertical="center" wrapText="1"/>
    </xf>
    <xf numFmtId="178" fontId="4" fillId="18" borderId="1" xfId="7" applyFont="1" applyFill="1" applyBorder="1" applyAlignment="1">
      <alignment horizontal="center" vertical="center" wrapText="1"/>
    </xf>
    <xf numFmtId="183" fontId="5" fillId="0" borderId="1" xfId="7" applyNumberFormat="1" applyFont="1" applyFill="1" applyBorder="1" applyAlignment="1">
      <alignment horizontal="center" vertical="center" wrapText="1"/>
    </xf>
    <xf numFmtId="177" fontId="5" fillId="20" borderId="1" xfId="7" applyNumberFormat="1" applyFont="1" applyFill="1" applyBorder="1" applyAlignment="1">
      <alignment horizontal="center" vertical="center" wrapText="1"/>
    </xf>
    <xf numFmtId="177" fontId="5" fillId="0" borderId="1" xfId="7" applyNumberFormat="1" applyFont="1" applyBorder="1" applyAlignment="1">
      <alignment horizontal="center" vertical="center" wrapText="1"/>
    </xf>
    <xf numFmtId="183" fontId="16" fillId="18" borderId="17" xfId="7" applyNumberFormat="1" applyFont="1" applyFill="1" applyBorder="1" applyAlignment="1">
      <alignment horizontal="center" vertical="center" wrapText="1"/>
    </xf>
    <xf numFmtId="178" fontId="5" fillId="22" borderId="1" xfId="7" applyFont="1" applyFill="1" applyBorder="1" applyAlignment="1">
      <alignment horizontal="center" vertical="center" wrapText="1"/>
    </xf>
    <xf numFmtId="182" fontId="5" fillId="22" borderId="1" xfId="7" applyNumberFormat="1" applyFont="1" applyFill="1" applyBorder="1" applyAlignment="1">
      <alignment horizontal="center" vertical="center" wrapText="1"/>
    </xf>
    <xf numFmtId="183" fontId="5" fillId="22" borderId="1" xfId="7" applyNumberFormat="1" applyFont="1" applyFill="1" applyBorder="1" applyAlignment="1">
      <alignment horizontal="center" vertical="center" wrapText="1"/>
    </xf>
    <xf numFmtId="183" fontId="5" fillId="22" borderId="13" xfId="7" applyNumberFormat="1" applyFont="1" applyFill="1" applyBorder="1" applyAlignment="1">
      <alignment horizontal="center" vertical="center" wrapText="1"/>
    </xf>
    <xf numFmtId="183" fontId="4" fillId="22" borderId="23" xfId="7" applyNumberFormat="1" applyFont="1" applyFill="1" applyBorder="1" applyAlignment="1">
      <alignment horizontal="center" vertical="center" wrapText="1"/>
    </xf>
    <xf numFmtId="182" fontId="5" fillId="22" borderId="14" xfId="7" applyNumberFormat="1" applyFont="1" applyFill="1" applyBorder="1" applyAlignment="1">
      <alignment horizontal="center" vertical="center" wrapText="1"/>
    </xf>
    <xf numFmtId="182" fontId="16" fillId="22" borderId="14" xfId="7" applyNumberFormat="1" applyFont="1" applyFill="1" applyBorder="1" applyAlignment="1">
      <alignment horizontal="center" vertical="center" wrapText="1"/>
    </xf>
    <xf numFmtId="183" fontId="5" fillId="22" borderId="47" xfId="7" applyNumberFormat="1" applyFont="1" applyFill="1" applyBorder="1" applyAlignment="1">
      <alignment horizontal="center" vertical="center" wrapText="1"/>
    </xf>
    <xf numFmtId="183" fontId="31" fillId="22" borderId="47" xfId="7" applyNumberFormat="1" applyFont="1" applyFill="1" applyBorder="1" applyAlignment="1">
      <alignment horizontal="center" vertical="center" wrapText="1"/>
    </xf>
    <xf numFmtId="183" fontId="5" fillId="22" borderId="48" xfId="7" applyNumberFormat="1" applyFont="1" applyFill="1" applyBorder="1" applyAlignment="1">
      <alignment horizontal="center" vertical="center" wrapText="1"/>
    </xf>
    <xf numFmtId="183" fontId="4" fillId="22" borderId="49" xfId="7" applyNumberFormat="1" applyFont="1" applyFill="1" applyBorder="1" applyAlignment="1">
      <alignment horizontal="center" vertical="center" wrapText="1"/>
    </xf>
    <xf numFmtId="178" fontId="5" fillId="0" borderId="0" xfId="7" applyFont="1" applyFill="1" applyBorder="1" applyAlignment="1">
      <alignment horizontal="center" vertical="center" wrapText="1"/>
    </xf>
    <xf numFmtId="0" fontId="4" fillId="23" borderId="1" xfId="0" applyFont="1" applyFill="1" applyBorder="1" applyAlignment="1">
      <alignment vertical="center" wrapText="1"/>
    </xf>
    <xf numFmtId="178" fontId="5" fillId="0" borderId="38" xfId="7" applyFont="1" applyBorder="1" applyAlignment="1">
      <alignment horizontal="center" vertical="center" wrapText="1"/>
    </xf>
    <xf numFmtId="178" fontId="5" fillId="0" borderId="1" xfId="7" applyFont="1" applyBorder="1" applyAlignment="1">
      <alignment horizontal="center" vertical="center" wrapText="1"/>
    </xf>
    <xf numFmtId="178" fontId="5" fillId="0" borderId="13" xfId="7" applyFont="1" applyBorder="1" applyAlignment="1">
      <alignment horizontal="center" vertical="center" wrapText="1"/>
    </xf>
    <xf numFmtId="178" fontId="5" fillId="0" borderId="14" xfId="7" applyFont="1" applyBorder="1" applyAlignment="1">
      <alignment horizontal="center" vertical="center" wrapText="1"/>
    </xf>
    <xf numFmtId="178" fontId="5" fillId="22" borderId="11" xfId="7" applyFont="1" applyFill="1" applyBorder="1" applyAlignment="1">
      <alignment horizontal="center" vertical="center" wrapText="1"/>
    </xf>
    <xf numFmtId="178" fontId="5" fillId="22" borderId="12" xfId="7" applyFont="1" applyFill="1" applyBorder="1" applyAlignment="1">
      <alignment horizontal="center" vertical="center" wrapText="1"/>
    </xf>
    <xf numFmtId="178" fontId="5" fillId="22" borderId="45" xfId="7" applyFont="1" applyFill="1" applyBorder="1" applyAlignment="1">
      <alignment horizontal="center" vertical="center" wrapText="1"/>
    </xf>
    <xf numFmtId="178" fontId="5" fillId="22" borderId="46" xfId="7" applyFont="1" applyFill="1" applyBorder="1" applyAlignment="1">
      <alignment horizontal="center" vertical="center" wrapText="1"/>
    </xf>
    <xf numFmtId="182" fontId="5" fillId="22" borderId="13" xfId="7" applyNumberFormat="1" applyFont="1" applyFill="1" applyBorder="1" applyAlignment="1">
      <alignment horizontal="center" vertical="center" wrapText="1"/>
    </xf>
    <xf numFmtId="182" fontId="5" fillId="22" borderId="14" xfId="7" applyNumberFormat="1" applyFont="1" applyFill="1" applyBorder="1" applyAlignment="1">
      <alignment horizontal="center" vertical="center" wrapText="1"/>
    </xf>
    <xf numFmtId="178" fontId="5" fillId="22" borderId="47" xfId="7" applyFont="1" applyFill="1" applyBorder="1" applyAlignment="1">
      <alignment horizontal="center" vertical="center" wrapText="1"/>
    </xf>
    <xf numFmtId="178" fontId="5" fillId="21" borderId="1" xfId="7" applyFont="1" applyFill="1" applyBorder="1" applyAlignment="1">
      <alignment horizontal="center" vertical="center" wrapText="1"/>
    </xf>
    <xf numFmtId="178" fontId="5" fillId="0" borderId="43" xfId="7" applyFont="1" applyBorder="1" applyAlignment="1">
      <alignment horizontal="center" vertical="center" wrapText="1"/>
    </xf>
    <xf numFmtId="178" fontId="5" fillId="0" borderId="44" xfId="7" applyFont="1" applyBorder="1" applyAlignment="1">
      <alignment horizontal="center" vertical="center" wrapText="1"/>
    </xf>
    <xf numFmtId="178" fontId="5" fillId="0" borderId="11" xfId="7" applyFont="1" applyBorder="1" applyAlignment="1">
      <alignment horizontal="center" vertical="center" wrapText="1"/>
    </xf>
    <xf numFmtId="178" fontId="5" fillId="0" borderId="12" xfId="7" applyFont="1" applyBorder="1" applyAlignment="1">
      <alignment horizontal="center" vertical="center" wrapText="1"/>
    </xf>
    <xf numFmtId="178" fontId="5" fillId="0" borderId="18" xfId="7" applyFont="1" applyBorder="1" applyAlignment="1">
      <alignment horizontal="center" vertical="center" wrapText="1"/>
    </xf>
    <xf numFmtId="178" fontId="5" fillId="0" borderId="19" xfId="7" applyFont="1" applyBorder="1" applyAlignment="1">
      <alignment horizontal="center" vertical="center" wrapText="1"/>
    </xf>
    <xf numFmtId="178" fontId="28" fillId="0" borderId="15" xfId="7" applyFont="1" applyFill="1" applyBorder="1" applyAlignment="1">
      <alignment horizontal="center" vertical="center" wrapText="1"/>
    </xf>
    <xf numFmtId="178" fontId="27" fillId="0" borderId="16" xfId="7" applyFont="1" applyFill="1" applyBorder="1" applyAlignment="1">
      <alignment horizontal="center" vertical="center" wrapText="1"/>
    </xf>
    <xf numFmtId="178" fontId="27" fillId="0" borderId="20" xfId="7" applyFont="1" applyFill="1" applyBorder="1" applyAlignment="1">
      <alignment horizontal="center" vertical="center" wrapText="1"/>
    </xf>
    <xf numFmtId="182" fontId="5" fillId="21" borderId="13" xfId="7" applyNumberFormat="1" applyFont="1" applyFill="1" applyBorder="1" applyAlignment="1">
      <alignment horizontal="center" vertical="center" wrapText="1"/>
    </xf>
    <xf numFmtId="182" fontId="5" fillId="21" borderId="14" xfId="7" applyNumberFormat="1" applyFont="1" applyFill="1" applyBorder="1" applyAlignment="1">
      <alignment horizontal="center" vertical="center" wrapText="1"/>
    </xf>
    <xf numFmtId="178" fontId="5" fillId="0" borderId="39" xfId="7" applyFont="1" applyBorder="1" applyAlignment="1">
      <alignment horizontal="center" vertical="center" wrapText="1"/>
    </xf>
    <xf numFmtId="178" fontId="5" fillId="0" borderId="42" xfId="7" applyFont="1" applyBorder="1" applyAlignment="1">
      <alignment horizontal="center" vertical="center" wrapText="1"/>
    </xf>
    <xf numFmtId="178" fontId="28" fillId="21" borderId="15" xfId="7" applyFont="1" applyFill="1" applyBorder="1" applyAlignment="1">
      <alignment horizontal="center" vertical="center" wrapText="1"/>
    </xf>
    <xf numFmtId="178" fontId="27" fillId="21" borderId="16" xfId="7" applyFont="1" applyFill="1" applyBorder="1" applyAlignment="1">
      <alignment horizontal="center" vertical="center" wrapText="1"/>
    </xf>
    <xf numFmtId="178" fontId="27" fillId="21" borderId="20" xfId="7" applyFont="1" applyFill="1" applyBorder="1" applyAlignment="1">
      <alignment horizontal="center" vertical="center" wrapText="1"/>
    </xf>
    <xf numFmtId="178" fontId="27" fillId="0" borderId="39" xfId="7" applyFont="1" applyFill="1" applyBorder="1" applyAlignment="1">
      <alignment horizontal="center" vertical="center" wrapText="1"/>
    </xf>
    <xf numFmtId="178" fontId="27" fillId="0" borderId="15" xfId="7" applyFont="1" applyFill="1" applyBorder="1" applyAlignment="1">
      <alignment horizontal="center" vertical="center" wrapText="1"/>
    </xf>
    <xf numFmtId="178" fontId="5" fillId="21" borderId="13" xfId="7" applyFont="1" applyFill="1" applyBorder="1" applyAlignment="1">
      <alignment horizontal="center" vertical="center" wrapText="1"/>
    </xf>
    <xf numFmtId="178" fontId="5" fillId="21" borderId="14" xfId="7" applyFont="1" applyFill="1" applyBorder="1" applyAlignment="1">
      <alignment horizontal="center" vertical="center" wrapText="1"/>
    </xf>
    <xf numFmtId="57" fontId="5" fillId="0" borderId="36" xfId="7" applyNumberFormat="1" applyFont="1" applyBorder="1" applyAlignment="1">
      <alignment horizontal="center" vertical="center" wrapText="1"/>
    </xf>
    <xf numFmtId="178" fontId="5" fillId="0" borderId="36" xfId="7" applyFont="1" applyBorder="1" applyAlignment="1">
      <alignment horizontal="center" vertical="center" wrapText="1"/>
    </xf>
    <xf numFmtId="178" fontId="5" fillId="0" borderId="6" xfId="7" applyFont="1" applyBorder="1" applyAlignment="1">
      <alignment horizontal="center" vertical="center" wrapText="1"/>
    </xf>
    <xf numFmtId="178" fontId="5" fillId="0" borderId="7" xfId="7" applyFont="1" applyBorder="1" applyAlignment="1">
      <alignment horizontal="center" vertical="center" wrapText="1"/>
    </xf>
    <xf numFmtId="178" fontId="5" fillId="0" borderId="8" xfId="7" applyFont="1" applyBorder="1" applyAlignment="1">
      <alignment horizontal="center" vertical="center" wrapText="1"/>
    </xf>
    <xf numFmtId="178" fontId="15" fillId="0" borderId="25" xfId="5" applyFont="1" applyBorder="1" applyAlignment="1">
      <alignment horizontal="center" vertical="center"/>
    </xf>
    <xf numFmtId="178" fontId="5" fillId="0" borderId="26" xfId="5" applyFont="1" applyBorder="1" applyAlignment="1">
      <alignment vertical="center"/>
    </xf>
    <xf numFmtId="177" fontId="4" fillId="3" borderId="1" xfId="5" applyNumberFormat="1" applyFont="1" applyFill="1" applyBorder="1" applyAlignment="1">
      <alignment horizontal="center" vertical="center" wrapText="1"/>
    </xf>
    <xf numFmtId="177" fontId="4" fillId="3" borderId="15" xfId="5" applyNumberFormat="1" applyFont="1" applyFill="1" applyBorder="1" applyAlignment="1">
      <alignment horizontal="center" vertical="center" wrapText="1"/>
    </xf>
    <xf numFmtId="177" fontId="4" fillId="3" borderId="20" xfId="5" applyNumberFormat="1" applyFont="1" applyFill="1" applyBorder="1" applyAlignment="1">
      <alignment horizontal="center" vertical="center" wrapText="1"/>
    </xf>
    <xf numFmtId="178" fontId="7" fillId="0" borderId="0" xfId="5" applyFont="1" applyAlignment="1">
      <alignment horizontal="center"/>
    </xf>
    <xf numFmtId="178" fontId="4" fillId="3" borderId="2" xfId="5" applyFont="1" applyFill="1" applyBorder="1" applyAlignment="1">
      <alignment horizontal="center" vertical="center" wrapText="1"/>
    </xf>
    <xf numFmtId="178" fontId="4" fillId="3" borderId="3" xfId="5" applyFont="1" applyFill="1" applyBorder="1" applyAlignment="1">
      <alignment horizontal="center" vertical="center" wrapText="1"/>
    </xf>
    <xf numFmtId="178" fontId="4" fillId="3" borderId="11" xfId="5" applyFont="1" applyFill="1" applyBorder="1" applyAlignment="1">
      <alignment horizontal="center" vertical="center" wrapText="1"/>
    </xf>
    <xf numFmtId="178" fontId="4" fillId="3" borderId="12" xfId="5" applyFont="1" applyFill="1" applyBorder="1" applyAlignment="1">
      <alignment horizontal="center" vertical="center" wrapText="1"/>
    </xf>
    <xf numFmtId="178" fontId="4" fillId="3" borderId="18" xfId="5" applyFont="1" applyFill="1" applyBorder="1" applyAlignment="1">
      <alignment horizontal="center" vertical="center" wrapText="1"/>
    </xf>
    <xf numFmtId="178" fontId="4" fillId="3" borderId="19" xfId="5" applyFont="1" applyFill="1" applyBorder="1" applyAlignment="1">
      <alignment horizontal="center" vertical="center" wrapText="1"/>
    </xf>
    <xf numFmtId="178" fontId="4" fillId="3" borderId="4" xfId="5" applyFont="1" applyFill="1" applyBorder="1" applyAlignment="1">
      <alignment horizontal="center" vertical="center" wrapText="1"/>
    </xf>
    <xf numFmtId="177" fontId="4" fillId="3" borderId="6" xfId="5" applyNumberFormat="1" applyFont="1" applyFill="1" applyBorder="1" applyAlignment="1">
      <alignment horizontal="center" vertical="center" wrapText="1"/>
    </xf>
    <xf numFmtId="177" fontId="4" fillId="3" borderId="7" xfId="5" applyNumberFormat="1" applyFont="1" applyFill="1" applyBorder="1" applyAlignment="1">
      <alignment horizontal="center" vertical="center" wrapText="1"/>
    </xf>
    <xf numFmtId="177" fontId="4" fillId="3" borderId="8" xfId="5" applyNumberFormat="1" applyFont="1" applyFill="1" applyBorder="1" applyAlignment="1">
      <alignment horizontal="center" vertical="center" wrapText="1"/>
    </xf>
    <xf numFmtId="177" fontId="4" fillId="3" borderId="9" xfId="5" applyNumberFormat="1" applyFont="1" applyFill="1" applyBorder="1" applyAlignment="1">
      <alignment horizontal="center" vertical="center" wrapText="1"/>
    </xf>
    <xf numFmtId="177" fontId="4" fillId="3" borderId="16" xfId="5" applyNumberFormat="1" applyFont="1" applyFill="1" applyBorder="1" applyAlignment="1">
      <alignment horizontal="center" vertical="center" wrapText="1"/>
    </xf>
    <xf numFmtId="178" fontId="4" fillId="3" borderId="10" xfId="5" applyFont="1" applyFill="1" applyBorder="1" applyAlignment="1">
      <alignment horizontal="center" vertical="center" wrapText="1"/>
    </xf>
    <xf numFmtId="178" fontId="4" fillId="3" borderId="17" xfId="5" applyFont="1" applyFill="1" applyBorder="1" applyAlignment="1">
      <alignment horizontal="center" vertical="center" wrapText="1"/>
    </xf>
    <xf numFmtId="178" fontId="4" fillId="3" borderId="22" xfId="5" applyFont="1" applyFill="1" applyBorder="1" applyAlignment="1">
      <alignment horizontal="center" vertical="center" wrapText="1"/>
    </xf>
    <xf numFmtId="177" fontId="4" fillId="3" borderId="13" xfId="5" applyNumberFormat="1" applyFont="1" applyFill="1" applyBorder="1" applyAlignment="1">
      <alignment horizontal="center" vertical="center" wrapText="1"/>
    </xf>
    <xf numFmtId="177" fontId="4" fillId="3" borderId="14" xfId="5" applyNumberFormat="1" applyFont="1" applyFill="1" applyBorder="1" applyAlignment="1">
      <alignment horizontal="center" vertical="center" wrapText="1"/>
    </xf>
    <xf numFmtId="177" fontId="4" fillId="3" borderId="1" xfId="0" applyNumberFormat="1" applyFont="1" applyFill="1" applyBorder="1" applyAlignment="1">
      <alignment horizontal="center" vertical="center" wrapText="1"/>
    </xf>
    <xf numFmtId="177" fontId="4" fillId="3" borderId="15" xfId="0" applyNumberFormat="1" applyFont="1" applyFill="1" applyBorder="1" applyAlignment="1">
      <alignment horizontal="center" vertical="center" wrapText="1"/>
    </xf>
    <xf numFmtId="177" fontId="4" fillId="3" borderId="2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177" fontId="4" fillId="3" borderId="6" xfId="0" applyNumberFormat="1" applyFont="1" applyFill="1" applyBorder="1" applyAlignment="1">
      <alignment horizontal="center" vertical="center" wrapText="1"/>
    </xf>
    <xf numFmtId="177" fontId="4" fillId="3" borderId="7" xfId="0" applyNumberFormat="1" applyFont="1" applyFill="1" applyBorder="1" applyAlignment="1">
      <alignment horizontal="center" vertical="center" wrapText="1"/>
    </xf>
    <xf numFmtId="177" fontId="4" fillId="3" borderId="8" xfId="0" applyNumberFormat="1" applyFont="1" applyFill="1" applyBorder="1" applyAlignment="1">
      <alignment horizontal="center" vertical="center" wrapText="1"/>
    </xf>
    <xf numFmtId="177" fontId="4" fillId="3" borderId="9" xfId="0" applyNumberFormat="1" applyFont="1" applyFill="1" applyBorder="1" applyAlignment="1">
      <alignment horizontal="center" vertical="center" wrapText="1"/>
    </xf>
    <xf numFmtId="177" fontId="4" fillId="3" borderId="16" xfId="0" applyNumberFormat="1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177" fontId="4" fillId="3" borderId="13" xfId="0" applyNumberFormat="1" applyFont="1" applyFill="1" applyBorder="1" applyAlignment="1">
      <alignment horizontal="center" vertical="center" wrapText="1"/>
    </xf>
    <xf numFmtId="177" fontId="4" fillId="3" borderId="14" xfId="0" applyNumberFormat="1" applyFont="1" applyFill="1" applyBorder="1" applyAlignment="1">
      <alignment horizontal="center" vertical="center" wrapText="1"/>
    </xf>
  </cellXfs>
  <cellStyles count="8">
    <cellStyle name="百分比" xfId="2" builtinId="5"/>
    <cellStyle name="百分比 2" xfId="6"/>
    <cellStyle name="常规" xfId="0" builtinId="0"/>
    <cellStyle name="常规 2" xfId="5"/>
    <cellStyle name="常规 2 2" xfId="7"/>
    <cellStyle name="常规_北辰项目经济指标测算05.3.4测算ok" xfId="3"/>
    <cellStyle name="常规_王村地块财务指标测算08.4.3改管理费用" xfId="4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</xdr:row>
      <xdr:rowOff>9525</xdr:rowOff>
    </xdr:from>
    <xdr:to>
      <xdr:col>38</xdr:col>
      <xdr:colOff>550582</xdr:colOff>
      <xdr:row>20</xdr:row>
      <xdr:rowOff>56554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0" y="295275"/>
          <a:ext cx="14952382" cy="4771429"/>
        </a:xfrm>
        <a:prstGeom prst="rect">
          <a:avLst/>
        </a:prstGeom>
      </xdr:spPr>
    </xdr:pic>
    <xdr:clientData/>
  </xdr:twoCellAnchor>
  <xdr:twoCellAnchor>
    <xdr:from>
      <xdr:col>24</xdr:col>
      <xdr:colOff>19050</xdr:colOff>
      <xdr:row>5</xdr:row>
      <xdr:rowOff>114300</xdr:rowOff>
    </xdr:from>
    <xdr:to>
      <xdr:col>27</xdr:col>
      <xdr:colOff>504825</xdr:colOff>
      <xdr:row>7</xdr:row>
      <xdr:rowOff>114300</xdr:rowOff>
    </xdr:to>
    <xdr:sp macro="" textlink="">
      <xdr:nvSpPr>
        <xdr:cNvPr id="4" name="圆角矩形标注 3"/>
        <xdr:cNvSpPr/>
      </xdr:nvSpPr>
      <xdr:spPr>
        <a:xfrm>
          <a:off x="17773650" y="1676400"/>
          <a:ext cx="2543175" cy="723900"/>
        </a:xfrm>
        <a:prstGeom prst="wedgeRoundRectCallout">
          <a:avLst>
            <a:gd name="adj1" fmla="val -53792"/>
            <a:gd name="adj2" fmla="val 21711"/>
            <a:gd name="adj3" fmla="val 16667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4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固定值吗？如何确定？</a:t>
          </a:r>
        </a:p>
      </xdr:txBody>
    </xdr:sp>
    <xdr:clientData/>
  </xdr:twoCellAnchor>
  <xdr:twoCellAnchor>
    <xdr:from>
      <xdr:col>3</xdr:col>
      <xdr:colOff>847725</xdr:colOff>
      <xdr:row>2</xdr:row>
      <xdr:rowOff>342900</xdr:rowOff>
    </xdr:from>
    <xdr:to>
      <xdr:col>4</xdr:col>
      <xdr:colOff>19050</xdr:colOff>
      <xdr:row>4</xdr:row>
      <xdr:rowOff>9525</xdr:rowOff>
    </xdr:to>
    <xdr:sp macro="" textlink="">
      <xdr:nvSpPr>
        <xdr:cNvPr id="3" name="流程图: 过程 2"/>
        <xdr:cNvSpPr/>
      </xdr:nvSpPr>
      <xdr:spPr>
        <a:xfrm>
          <a:off x="3933825" y="819150"/>
          <a:ext cx="1371600" cy="390525"/>
        </a:xfrm>
        <a:prstGeom prst="flowChart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1600200</xdr:colOff>
      <xdr:row>4</xdr:row>
      <xdr:rowOff>95250</xdr:rowOff>
    </xdr:from>
    <xdr:to>
      <xdr:col>4</xdr:col>
      <xdr:colOff>1047750</xdr:colOff>
      <xdr:row>5</xdr:row>
      <xdr:rowOff>200025</xdr:rowOff>
    </xdr:to>
    <xdr:sp macro="" textlink="">
      <xdr:nvSpPr>
        <xdr:cNvPr id="7" name="圆角矩形标注 6"/>
        <xdr:cNvSpPr/>
      </xdr:nvSpPr>
      <xdr:spPr>
        <a:xfrm>
          <a:off x="4686300" y="1295400"/>
          <a:ext cx="1647825" cy="466725"/>
        </a:xfrm>
        <a:prstGeom prst="wedgeRoundRectCallout">
          <a:avLst>
            <a:gd name="adj1" fmla="val -32069"/>
            <a:gd name="adj2" fmla="val -66447"/>
            <a:gd name="adj3" fmla="val 16667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2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固定值吗？如何确定？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6_10_27/&#34015;&#21439;&#39033;&#30446;&#21512;&#21516;&#21488;&#3613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台帐使用说明"/>
      <sheetName val="Sheet1"/>
      <sheetName val="Chart1"/>
      <sheetName val="拨款台帐"/>
      <sheetName val="合同台帐"/>
      <sheetName val="简表"/>
      <sheetName val="销售价格测算"/>
      <sheetName val="给吕妍成本（2016年2月）"/>
      <sheetName val="动态成本"/>
      <sheetName val="成本明细"/>
      <sheetName val="往来款台账"/>
      <sheetName val="税金"/>
    </sheetNames>
    <sheetDataSet>
      <sheetData sheetId="0"/>
      <sheetData sheetId="1"/>
      <sheetData sheetId="2"/>
      <sheetData sheetId="3"/>
      <sheetData sheetId="4"/>
      <sheetData sheetId="5">
        <row r="4">
          <cell r="A4" t="str">
            <v>JXA-001</v>
          </cell>
          <cell r="B4" t="str">
            <v>2013.7.19</v>
          </cell>
          <cell r="C4" t="str">
            <v>前核地</v>
          </cell>
          <cell r="D4" t="str">
            <v>南郡蓝山核定用地图合同</v>
          </cell>
          <cell r="E4" t="str">
            <v>天津市蓟县测绘队</v>
          </cell>
          <cell r="F4">
            <v>12055.17</v>
          </cell>
          <cell r="G4">
            <v>12055.17</v>
          </cell>
          <cell r="H4">
            <v>12055.17</v>
          </cell>
          <cell r="I4">
            <v>12055.17</v>
          </cell>
          <cell r="J4">
            <v>0</v>
          </cell>
          <cell r="K4">
            <v>12055.17</v>
          </cell>
        </row>
        <row r="5">
          <cell r="A5" t="str">
            <v>JXA-002</v>
          </cell>
          <cell r="B5" t="str">
            <v>2013.7.19</v>
          </cell>
          <cell r="C5" t="str">
            <v>前勘绘</v>
          </cell>
          <cell r="D5" t="str">
            <v>天津蓟县项目地形图测绘合同</v>
          </cell>
          <cell r="E5" t="str">
            <v>天津市蓟县测绘队</v>
          </cell>
          <cell r="F5">
            <v>44110</v>
          </cell>
          <cell r="G5">
            <v>44110</v>
          </cell>
          <cell r="H5">
            <v>44110</v>
          </cell>
          <cell r="I5">
            <v>44110</v>
          </cell>
          <cell r="J5">
            <v>0</v>
          </cell>
          <cell r="K5">
            <v>44110</v>
          </cell>
        </row>
        <row r="6">
          <cell r="A6" t="str">
            <v>JXA-003</v>
          </cell>
          <cell r="B6" t="str">
            <v>2013.8.9</v>
          </cell>
          <cell r="C6" t="str">
            <v>前勘勘</v>
          </cell>
          <cell r="D6" t="str">
            <v>初勘合同</v>
          </cell>
          <cell r="E6" t="str">
            <v>天津市勘察院</v>
          </cell>
          <cell r="F6">
            <v>71820</v>
          </cell>
          <cell r="G6">
            <v>102375</v>
          </cell>
          <cell r="H6">
            <v>102375</v>
          </cell>
          <cell r="I6">
            <v>102375</v>
          </cell>
          <cell r="J6">
            <v>30555</v>
          </cell>
          <cell r="K6">
            <v>102375</v>
          </cell>
        </row>
        <row r="7">
          <cell r="A7" t="str">
            <v>JXA-004</v>
          </cell>
          <cell r="B7" t="str">
            <v>2013.8.19</v>
          </cell>
          <cell r="C7" t="str">
            <v>前设设</v>
          </cell>
          <cell r="D7" t="str">
            <v>建筑方案及施工图设计合同</v>
          </cell>
          <cell r="E7" t="str">
            <v>北京新纪元建筑工程设计有限公司</v>
          </cell>
          <cell r="F7">
            <v>7800000</v>
          </cell>
          <cell r="G7">
            <v>7800000</v>
          </cell>
          <cell r="H7">
            <v>6327629</v>
          </cell>
          <cell r="I7">
            <v>7800000</v>
          </cell>
          <cell r="J7">
            <v>0</v>
          </cell>
          <cell r="K7">
            <v>6327629</v>
          </cell>
        </row>
        <row r="8">
          <cell r="A8" t="str">
            <v>JXA-005</v>
          </cell>
          <cell r="B8" t="str">
            <v>2013.8.19</v>
          </cell>
          <cell r="C8" t="str">
            <v>土土</v>
          </cell>
          <cell r="D8" t="str">
            <v>天津市国有建设用地使用权出让合同</v>
          </cell>
          <cell r="E8" t="str">
            <v>天津市国土资源和房屋管理局蓟县国土资源分局</v>
          </cell>
          <cell r="F8">
            <v>366100000</v>
          </cell>
          <cell r="G8">
            <v>366100000</v>
          </cell>
          <cell r="H8">
            <v>366100000</v>
          </cell>
          <cell r="I8">
            <v>366100000</v>
          </cell>
          <cell r="J8">
            <v>0</v>
          </cell>
          <cell r="K8">
            <v>366100000</v>
          </cell>
        </row>
        <row r="9">
          <cell r="A9" t="str">
            <v>JXA-006W</v>
          </cell>
          <cell r="B9" t="str">
            <v>2013.10.23</v>
          </cell>
          <cell r="C9" t="str">
            <v>土交</v>
          </cell>
          <cell r="D9" t="str">
            <v>代理代办费（蓟县国土收取）</v>
          </cell>
          <cell r="E9" t="str">
            <v>天津市国土资源和房屋管理局蓟县国土资源分局</v>
          </cell>
          <cell r="F9">
            <v>366100</v>
          </cell>
          <cell r="G9">
            <v>366100</v>
          </cell>
          <cell r="H9">
            <v>366100</v>
          </cell>
          <cell r="I9">
            <v>366100</v>
          </cell>
          <cell r="J9">
            <v>0</v>
          </cell>
          <cell r="K9">
            <v>366100</v>
          </cell>
        </row>
        <row r="10">
          <cell r="A10" t="str">
            <v>JXA-007W</v>
          </cell>
          <cell r="B10" t="str">
            <v>2013.10.29</v>
          </cell>
          <cell r="C10" t="str">
            <v>土其</v>
          </cell>
          <cell r="D10" t="str">
            <v>国有土地使用权登记费</v>
          </cell>
          <cell r="E10" t="str">
            <v>天津市蓟县地籍管理中心</v>
          </cell>
          <cell r="F10">
            <v>10000</v>
          </cell>
          <cell r="G10">
            <v>10000</v>
          </cell>
          <cell r="H10">
            <v>10000</v>
          </cell>
          <cell r="I10">
            <v>10000</v>
          </cell>
          <cell r="J10">
            <v>0</v>
          </cell>
          <cell r="K10">
            <v>10000</v>
          </cell>
        </row>
        <row r="11">
          <cell r="A11" t="str">
            <v>JXA-008W</v>
          </cell>
          <cell r="B11" t="str">
            <v>2013.5.23</v>
          </cell>
          <cell r="C11" t="str">
            <v>土交</v>
          </cell>
          <cell r="D11" t="str">
            <v>土地交易代理代办费</v>
          </cell>
          <cell r="E11" t="str">
            <v>天津市土地交易中心</v>
          </cell>
          <cell r="F11">
            <v>1464400</v>
          </cell>
          <cell r="G11">
            <v>1464400</v>
          </cell>
          <cell r="H11">
            <v>1464400</v>
          </cell>
          <cell r="I11">
            <v>1464400</v>
          </cell>
          <cell r="J11">
            <v>0</v>
          </cell>
          <cell r="K11">
            <v>1464400</v>
          </cell>
        </row>
        <row r="12">
          <cell r="A12" t="str">
            <v>JXA-009W</v>
          </cell>
          <cell r="B12" t="str">
            <v>2013.5.23</v>
          </cell>
          <cell r="C12" t="str">
            <v>土交</v>
          </cell>
          <cell r="D12" t="str">
            <v>土地交易手续费</v>
          </cell>
          <cell r="E12" t="str">
            <v>天津市土地交易中心</v>
          </cell>
          <cell r="F12">
            <v>732200</v>
          </cell>
          <cell r="G12">
            <v>732200</v>
          </cell>
          <cell r="H12">
            <v>732200</v>
          </cell>
          <cell r="I12">
            <v>732200</v>
          </cell>
          <cell r="J12">
            <v>0</v>
          </cell>
          <cell r="K12">
            <v>732200</v>
          </cell>
        </row>
        <row r="13">
          <cell r="A13" t="str">
            <v>JXA-010W</v>
          </cell>
          <cell r="B13" t="str">
            <v>2013.8.31</v>
          </cell>
          <cell r="C13" t="str">
            <v>土拍</v>
          </cell>
          <cell r="D13" t="str">
            <v>土地拍卖佣金（蓟县063号）</v>
          </cell>
          <cell r="E13" t="str">
            <v>宁波富地企业管理咨询服务有限公司</v>
          </cell>
          <cell r="F13">
            <v>14644000</v>
          </cell>
          <cell r="G13">
            <v>14644000</v>
          </cell>
          <cell r="H13">
            <v>14644000</v>
          </cell>
          <cell r="I13">
            <v>14644000</v>
          </cell>
          <cell r="J13">
            <v>0</v>
          </cell>
          <cell r="K13">
            <v>14644000</v>
          </cell>
        </row>
        <row r="14">
          <cell r="A14" t="str">
            <v>JXA-011W</v>
          </cell>
          <cell r="B14" t="str">
            <v>2013.11.14</v>
          </cell>
          <cell r="C14" t="str">
            <v>前勘绘</v>
          </cell>
          <cell r="D14" t="str">
            <v>管线实测费（买图）</v>
          </cell>
          <cell r="E14" t="str">
            <v>天津市蓟县地下空间规划信息中心</v>
          </cell>
          <cell r="F14">
            <v>12600</v>
          </cell>
          <cell r="G14">
            <v>12600</v>
          </cell>
          <cell r="H14">
            <v>12600</v>
          </cell>
          <cell r="I14">
            <v>12600</v>
          </cell>
          <cell r="J14">
            <v>0</v>
          </cell>
          <cell r="K14">
            <v>12600</v>
          </cell>
        </row>
        <row r="15">
          <cell r="A15" t="str">
            <v>JXA-012W</v>
          </cell>
          <cell r="B15" t="str">
            <v>2013.11.20</v>
          </cell>
          <cell r="C15" t="str">
            <v>前勘绘</v>
          </cell>
          <cell r="D15" t="str">
            <v>管线实测费</v>
          </cell>
          <cell r="E15" t="str">
            <v>天津市蓟县测绘队</v>
          </cell>
          <cell r="F15">
            <v>61713</v>
          </cell>
          <cell r="G15">
            <v>61713</v>
          </cell>
          <cell r="H15">
            <v>61713</v>
          </cell>
          <cell r="I15">
            <v>61713</v>
          </cell>
          <cell r="J15">
            <v>0</v>
          </cell>
          <cell r="K15">
            <v>61713</v>
          </cell>
        </row>
        <row r="16">
          <cell r="A16" t="str">
            <v>JXA-013</v>
          </cell>
          <cell r="B16" t="str">
            <v>2013.11.27</v>
          </cell>
          <cell r="C16" t="str">
            <v>建环内</v>
          </cell>
          <cell r="D16" t="str">
            <v>蓟县苗木采购与种植养护工程施工合同</v>
          </cell>
          <cell r="E16" t="str">
            <v>天津市静海县泽森苗圃</v>
          </cell>
          <cell r="F16">
            <v>8280192</v>
          </cell>
          <cell r="G16">
            <v>8280192</v>
          </cell>
          <cell r="H16">
            <v>3312076.7999999998</v>
          </cell>
          <cell r="I16">
            <v>8280192</v>
          </cell>
          <cell r="J16">
            <v>0</v>
          </cell>
          <cell r="K16">
            <v>3312076.7999999998</v>
          </cell>
        </row>
        <row r="17">
          <cell r="A17" t="str">
            <v>JXA-014W</v>
          </cell>
          <cell r="B17" t="str">
            <v>2014.3.10</v>
          </cell>
          <cell r="C17" t="str">
            <v>前设图</v>
          </cell>
          <cell r="D17" t="str">
            <v>图纸打印</v>
          </cell>
          <cell r="E17" t="str">
            <v>王为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0</v>
          </cell>
          <cell r="K17">
            <v>1000</v>
          </cell>
        </row>
        <row r="18">
          <cell r="A18" t="str">
            <v>JXA-015</v>
          </cell>
          <cell r="B18" t="str">
            <v>2013.12.3</v>
          </cell>
          <cell r="C18" t="str">
            <v>前标咨</v>
          </cell>
          <cell r="D18" t="str">
            <v>（一、三期）造价咨询合同</v>
          </cell>
          <cell r="E18" t="str">
            <v>天津中天华建工程咨询有限公司</v>
          </cell>
          <cell r="F18">
            <v>300000</v>
          </cell>
          <cell r="G18">
            <v>300000</v>
          </cell>
          <cell r="H18">
            <v>140000</v>
          </cell>
          <cell r="I18">
            <v>300000</v>
          </cell>
          <cell r="J18">
            <v>0</v>
          </cell>
          <cell r="K18">
            <v>140000</v>
          </cell>
        </row>
        <row r="19">
          <cell r="A19" t="str">
            <v>JXA-016B</v>
          </cell>
          <cell r="B19" t="str">
            <v>2013.1.21</v>
          </cell>
          <cell r="C19" t="str">
            <v>前临土</v>
          </cell>
          <cell r="D19" t="str">
            <v>场地平整</v>
          </cell>
          <cell r="E19" t="str">
            <v>天津市蓟县振东建筑有限责任公司</v>
          </cell>
          <cell r="F19">
            <v>6750000</v>
          </cell>
          <cell r="G19">
            <v>6750000</v>
          </cell>
          <cell r="H19">
            <v>4649988</v>
          </cell>
          <cell r="I19">
            <v>6750000</v>
          </cell>
          <cell r="J19">
            <v>0</v>
          </cell>
          <cell r="K19">
            <v>4649988</v>
          </cell>
        </row>
        <row r="20">
          <cell r="A20" t="str">
            <v>JXA-017W</v>
          </cell>
          <cell r="B20" t="str">
            <v>2013.11.25</v>
          </cell>
          <cell r="C20" t="str">
            <v>土契</v>
          </cell>
          <cell r="D20" t="str">
            <v>土地契税</v>
          </cell>
          <cell r="E20" t="str">
            <v>蓟县国土资源分局</v>
          </cell>
          <cell r="F20">
            <v>11967564.17</v>
          </cell>
          <cell r="G20">
            <v>11967564.17</v>
          </cell>
          <cell r="H20">
            <v>11967564.17</v>
          </cell>
          <cell r="I20">
            <v>11967564.17</v>
          </cell>
          <cell r="J20">
            <v>0</v>
          </cell>
          <cell r="K20">
            <v>11967564.17</v>
          </cell>
        </row>
        <row r="21">
          <cell r="A21" t="str">
            <v>JXA-018</v>
          </cell>
          <cell r="B21" t="str">
            <v>2013.2.26</v>
          </cell>
          <cell r="C21" t="str">
            <v>前其他</v>
          </cell>
          <cell r="D21" t="str">
            <v>模型制作合同</v>
          </cell>
          <cell r="E21" t="str">
            <v>北京恩思轩宇模型科技有限公司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A22" t="str">
            <v>JXA-019W</v>
          </cell>
          <cell r="B22" t="str">
            <v>2013.11.27</v>
          </cell>
          <cell r="C22" t="str">
            <v>前其他</v>
          </cell>
          <cell r="D22" t="str">
            <v>技术服务费《2014年造价信息参考》</v>
          </cell>
          <cell r="E22" t="str">
            <v>天津市建设工程造价信息中心</v>
          </cell>
          <cell r="F22">
            <v>320</v>
          </cell>
          <cell r="G22">
            <v>320</v>
          </cell>
          <cell r="H22">
            <v>320</v>
          </cell>
          <cell r="I22">
            <v>320</v>
          </cell>
          <cell r="J22">
            <v>0</v>
          </cell>
          <cell r="K22">
            <v>320</v>
          </cell>
        </row>
        <row r="23">
          <cell r="A23" t="str">
            <v>JXA-020W</v>
          </cell>
          <cell r="B23" t="str">
            <v>2013.11.28</v>
          </cell>
          <cell r="C23" t="str">
            <v>前其他</v>
          </cell>
          <cell r="D23" t="str">
            <v>技术咨询费《2014年工程造价信息》</v>
          </cell>
          <cell r="E23" t="str">
            <v>天津市建设工程造价和招标管理协会</v>
          </cell>
          <cell r="F23">
            <v>840</v>
          </cell>
          <cell r="G23">
            <v>840</v>
          </cell>
          <cell r="H23">
            <v>840</v>
          </cell>
          <cell r="I23">
            <v>840</v>
          </cell>
          <cell r="J23">
            <v>0</v>
          </cell>
          <cell r="K23">
            <v>840</v>
          </cell>
        </row>
        <row r="24">
          <cell r="A24" t="str">
            <v>JXA-021W</v>
          </cell>
          <cell r="B24" t="str">
            <v>2013.11.29</v>
          </cell>
          <cell r="C24" t="str">
            <v>前设图</v>
          </cell>
          <cell r="D24" t="str">
            <v>彩色打印效果图39张</v>
          </cell>
          <cell r="E24" t="str">
            <v>天津市蓟县东方打印室</v>
          </cell>
          <cell r="F24">
            <v>390</v>
          </cell>
          <cell r="G24">
            <v>390</v>
          </cell>
          <cell r="H24">
            <v>390</v>
          </cell>
          <cell r="I24">
            <v>390</v>
          </cell>
          <cell r="J24">
            <v>0</v>
          </cell>
          <cell r="K24">
            <v>390</v>
          </cell>
        </row>
        <row r="25">
          <cell r="A25" t="str">
            <v>JXA-022W</v>
          </cell>
          <cell r="B25" t="str">
            <v>2013.11.30</v>
          </cell>
          <cell r="C25" t="str">
            <v>前设图</v>
          </cell>
          <cell r="D25" t="str">
            <v>图纸打印</v>
          </cell>
          <cell r="E25" t="str">
            <v>天津富多彩数码快印有限公司</v>
          </cell>
          <cell r="F25">
            <v>1000</v>
          </cell>
          <cell r="G25">
            <v>1000</v>
          </cell>
          <cell r="H25">
            <v>1000</v>
          </cell>
          <cell r="I25">
            <v>1000</v>
          </cell>
          <cell r="J25">
            <v>0</v>
          </cell>
          <cell r="K25">
            <v>1000</v>
          </cell>
        </row>
        <row r="26">
          <cell r="A26" t="str">
            <v>JXA-023</v>
          </cell>
          <cell r="B26" t="str">
            <v>2014.3.14</v>
          </cell>
          <cell r="C26" t="str">
            <v>前临障</v>
          </cell>
          <cell r="D26" t="str">
            <v>柿子树补偿协议书</v>
          </cell>
          <cell r="E26" t="str">
            <v>渔阳镇七里峰村民委员会</v>
          </cell>
          <cell r="F26">
            <v>30000</v>
          </cell>
          <cell r="G26">
            <v>30000</v>
          </cell>
          <cell r="H26">
            <v>30000</v>
          </cell>
          <cell r="I26">
            <v>30000</v>
          </cell>
          <cell r="J26">
            <v>0</v>
          </cell>
          <cell r="K26">
            <v>30000</v>
          </cell>
        </row>
        <row r="27">
          <cell r="A27" t="str">
            <v>JXA-024</v>
          </cell>
          <cell r="B27" t="str">
            <v>2015.1.6</v>
          </cell>
          <cell r="C27" t="str">
            <v>建环内</v>
          </cell>
          <cell r="D27" t="str">
            <v>苗木增补协议</v>
          </cell>
          <cell r="E27" t="str">
            <v>天津市静海县泽森苗圃</v>
          </cell>
          <cell r="F27">
            <v>477650</v>
          </cell>
          <cell r="G27">
            <v>477650</v>
          </cell>
          <cell r="H27">
            <v>280000</v>
          </cell>
          <cell r="I27">
            <v>477650</v>
          </cell>
          <cell r="J27">
            <v>0</v>
          </cell>
          <cell r="K27">
            <v>280000</v>
          </cell>
        </row>
        <row r="28">
          <cell r="A28" t="str">
            <v>JXA-025W</v>
          </cell>
          <cell r="B28" t="str">
            <v>2014.12.26</v>
          </cell>
          <cell r="C28" t="str">
            <v>前道口</v>
          </cell>
          <cell r="D28" t="str">
            <v>南侧道路开口</v>
          </cell>
          <cell r="E28" t="str">
            <v>天津市蓟县公路路政支队</v>
          </cell>
          <cell r="F28">
            <v>131400</v>
          </cell>
          <cell r="G28">
            <v>131400</v>
          </cell>
          <cell r="H28">
            <v>131400</v>
          </cell>
          <cell r="I28">
            <v>131400</v>
          </cell>
          <cell r="J28">
            <v>0</v>
          </cell>
          <cell r="K28">
            <v>131400</v>
          </cell>
        </row>
        <row r="29">
          <cell r="A29" t="str">
            <v>JXA-026W</v>
          </cell>
          <cell r="B29" t="str">
            <v>2014.12.26</v>
          </cell>
          <cell r="C29" t="str">
            <v>前道口</v>
          </cell>
          <cell r="D29" t="str">
            <v>西侧道路开口</v>
          </cell>
          <cell r="E29" t="str">
            <v>天津市蓟县公路路政支队</v>
          </cell>
          <cell r="F29">
            <v>264625</v>
          </cell>
          <cell r="G29">
            <v>264625</v>
          </cell>
          <cell r="H29">
            <v>264625</v>
          </cell>
          <cell r="I29">
            <v>264625</v>
          </cell>
          <cell r="J29">
            <v>0</v>
          </cell>
          <cell r="K29">
            <v>264625</v>
          </cell>
        </row>
        <row r="30">
          <cell r="A30" t="str">
            <v>JXA-027W</v>
          </cell>
          <cell r="B30" t="str">
            <v>2014.12.29</v>
          </cell>
          <cell r="C30" t="str">
            <v>前其他</v>
          </cell>
          <cell r="D30" t="str">
            <v>一期在建工程评估费</v>
          </cell>
          <cell r="E30" t="str">
            <v>天津杰诺德房地产价格评估咨询有限公司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A31" t="str">
            <v>JXA-028W</v>
          </cell>
          <cell r="B31" t="str">
            <v>2014.12.29</v>
          </cell>
          <cell r="C31" t="str">
            <v>前设图</v>
          </cell>
          <cell r="D31" t="str">
            <v>图纸复印费</v>
          </cell>
          <cell r="E31" t="str">
            <v>天津市宝坻区汇彩打字复印服务中心</v>
          </cell>
          <cell r="F31">
            <v>240</v>
          </cell>
          <cell r="G31">
            <v>240</v>
          </cell>
          <cell r="H31">
            <v>240</v>
          </cell>
          <cell r="I31">
            <v>240</v>
          </cell>
          <cell r="J31">
            <v>0</v>
          </cell>
          <cell r="K31">
            <v>240</v>
          </cell>
        </row>
        <row r="32">
          <cell r="A32" t="str">
            <v>JXA-029W</v>
          </cell>
          <cell r="B32" t="str">
            <v>2014.12.29</v>
          </cell>
          <cell r="C32" t="str">
            <v>不可预见</v>
          </cell>
          <cell r="D32" t="str">
            <v>专家论证费</v>
          </cell>
          <cell r="E32" t="str">
            <v>天津忆江南企业管理咨询服务有限公司</v>
          </cell>
          <cell r="F32">
            <v>2000</v>
          </cell>
          <cell r="G32">
            <v>2000</v>
          </cell>
          <cell r="H32">
            <v>2000</v>
          </cell>
          <cell r="I32">
            <v>2000</v>
          </cell>
          <cell r="J32">
            <v>0</v>
          </cell>
          <cell r="K32">
            <v>2000</v>
          </cell>
        </row>
        <row r="33">
          <cell r="A33" t="str">
            <v>JXA-030W</v>
          </cell>
          <cell r="B33" t="str">
            <v>2014.12.29</v>
          </cell>
          <cell r="C33" t="str">
            <v>前设图</v>
          </cell>
          <cell r="D33" t="str">
            <v>图纸打印费</v>
          </cell>
          <cell r="E33" t="str">
            <v>天津市蓟县张雷办公用品商店</v>
          </cell>
          <cell r="F33">
            <v>120</v>
          </cell>
          <cell r="G33">
            <v>120</v>
          </cell>
          <cell r="H33">
            <v>120</v>
          </cell>
          <cell r="I33">
            <v>120</v>
          </cell>
          <cell r="J33">
            <v>0</v>
          </cell>
          <cell r="K33">
            <v>120</v>
          </cell>
        </row>
        <row r="34">
          <cell r="A34" t="str">
            <v>JXA-031W</v>
          </cell>
          <cell r="B34" t="str">
            <v>2015.1.9</v>
          </cell>
          <cell r="C34" t="str">
            <v>前其他</v>
          </cell>
          <cell r="D34" t="str">
            <v>一期工程在建工程（15个楼）房屋所有权登记费</v>
          </cell>
          <cell r="E34" t="str">
            <v>天津市财政局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A35" t="str">
            <v>JXA-032W</v>
          </cell>
          <cell r="B35" t="str">
            <v>2015.2.12</v>
          </cell>
          <cell r="C35" t="str">
            <v>前其他</v>
          </cell>
          <cell r="D35" t="str">
            <v>蓟县在建工程保费</v>
          </cell>
          <cell r="E35" t="str">
            <v>太平财产保险有限公司天津分公司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A36" t="str">
            <v>JXA-033</v>
          </cell>
          <cell r="B36" t="str">
            <v>2015.12.28</v>
          </cell>
          <cell r="C36" t="str">
            <v>建安</v>
          </cell>
          <cell r="D36" t="str">
            <v>维修改建工程（集团办公室精装）</v>
          </cell>
          <cell r="E36" t="str">
            <v>天津市锦适名研装饰设计有限公司</v>
          </cell>
          <cell r="F36">
            <v>100000</v>
          </cell>
          <cell r="G36">
            <v>100000</v>
          </cell>
          <cell r="H36">
            <v>100000</v>
          </cell>
          <cell r="I36">
            <v>100000</v>
          </cell>
          <cell r="J36">
            <v>0</v>
          </cell>
          <cell r="K36">
            <v>100000</v>
          </cell>
        </row>
        <row r="37">
          <cell r="A37" t="str">
            <v>JXA-034W</v>
          </cell>
          <cell r="B37" t="str">
            <v>2014.4.15</v>
          </cell>
          <cell r="C37" t="str">
            <v>前设图</v>
          </cell>
          <cell r="D37" t="str">
            <v>图纸打印</v>
          </cell>
          <cell r="E37"/>
          <cell r="F37">
            <v>3685</v>
          </cell>
          <cell r="G37">
            <v>3685</v>
          </cell>
          <cell r="H37">
            <v>3685</v>
          </cell>
          <cell r="I37">
            <v>3685</v>
          </cell>
          <cell r="J37">
            <v>0</v>
          </cell>
          <cell r="K37">
            <v>3685</v>
          </cell>
        </row>
        <row r="38">
          <cell r="A38" t="str">
            <v>JXA-035</v>
          </cell>
          <cell r="B38" t="str">
            <v>2014.4.20</v>
          </cell>
          <cell r="C38" t="str">
            <v>前勘勘</v>
          </cell>
          <cell r="D38" t="str">
            <v>建设工程勘察合同(详勘）</v>
          </cell>
          <cell r="E38" t="str">
            <v>天津华北工程勘察设计有限公司</v>
          </cell>
          <cell r="F38">
            <v>1030000</v>
          </cell>
          <cell r="G38">
            <v>1030000</v>
          </cell>
          <cell r="H38">
            <v>721000</v>
          </cell>
          <cell r="I38">
            <v>1030000</v>
          </cell>
          <cell r="J38">
            <v>0</v>
          </cell>
          <cell r="K38">
            <v>721000</v>
          </cell>
        </row>
        <row r="39">
          <cell r="A39" t="str">
            <v>JXA-036</v>
          </cell>
          <cell r="B39" t="str">
            <v>2014.4.23</v>
          </cell>
          <cell r="C39" t="str">
            <v>建环外</v>
          </cell>
          <cell r="D39" t="str">
            <v>挡土墙施工合同（西侧、南侧）</v>
          </cell>
          <cell r="E39" t="str">
            <v>天津市蓟县振东建筑有限责任公司</v>
          </cell>
          <cell r="F39">
            <v>3098815</v>
          </cell>
          <cell r="G39">
            <v>1243479</v>
          </cell>
          <cell r="H39">
            <v>1243479</v>
          </cell>
          <cell r="I39">
            <v>1243479</v>
          </cell>
          <cell r="J39">
            <v>-1855336</v>
          </cell>
          <cell r="K39">
            <v>1243479</v>
          </cell>
        </row>
        <row r="40">
          <cell r="A40" t="str">
            <v>JXA-037</v>
          </cell>
          <cell r="B40" t="str">
            <v>2014.4.</v>
          </cell>
          <cell r="C40" t="str">
            <v>前设其</v>
          </cell>
          <cell r="D40" t="str">
            <v>地库及人防设计合同</v>
          </cell>
          <cell r="E40" t="str">
            <v>天津冶金规划设计院</v>
          </cell>
          <cell r="F40">
            <v>449680</v>
          </cell>
          <cell r="G40">
            <v>449680</v>
          </cell>
          <cell r="H40">
            <v>338650</v>
          </cell>
          <cell r="I40">
            <v>449680</v>
          </cell>
          <cell r="J40"/>
          <cell r="K40">
            <v>338650</v>
          </cell>
        </row>
        <row r="41">
          <cell r="A41" t="str">
            <v>JXA-038</v>
          </cell>
          <cell r="B41" t="str">
            <v>2014.4.18</v>
          </cell>
          <cell r="C41" t="str">
            <v>前设景</v>
          </cell>
          <cell r="D41" t="str">
            <v>景观设计合同</v>
          </cell>
          <cell r="E41" t="str">
            <v>天津宏石筑景景观设计有限公司（更名为：砂樘（天津）城市设计有限公司）</v>
          </cell>
          <cell r="F41">
            <v>2683575</v>
          </cell>
          <cell r="G41">
            <v>2683575</v>
          </cell>
          <cell r="H41">
            <v>1744323.75</v>
          </cell>
          <cell r="I41">
            <v>2683575</v>
          </cell>
          <cell r="J41">
            <v>0</v>
          </cell>
          <cell r="K41">
            <v>1744323.75</v>
          </cell>
        </row>
        <row r="42">
          <cell r="A42" t="str">
            <v>JXA-039W</v>
          </cell>
          <cell r="B42" t="str">
            <v>2014.5.19</v>
          </cell>
          <cell r="C42" t="str">
            <v>不可预见</v>
          </cell>
          <cell r="D42" t="str">
            <v>公告展示牌（报修详）</v>
          </cell>
          <cell r="E42" t="str">
            <v>天津市蓟县地下空间规划信息中心</v>
          </cell>
          <cell r="F42">
            <v>16200</v>
          </cell>
          <cell r="G42">
            <v>16200</v>
          </cell>
          <cell r="H42">
            <v>16200</v>
          </cell>
          <cell r="I42">
            <v>16200</v>
          </cell>
          <cell r="J42">
            <v>0</v>
          </cell>
          <cell r="K42">
            <v>16200</v>
          </cell>
        </row>
        <row r="43">
          <cell r="A43" t="str">
            <v>JXA-040</v>
          </cell>
          <cell r="B43" t="str">
            <v>2014.5.21</v>
          </cell>
          <cell r="C43" t="str">
            <v>前临围</v>
          </cell>
          <cell r="D43" t="str">
            <v>博御园临时围墙工程</v>
          </cell>
          <cell r="E43" t="str">
            <v>天津宏鑫鼎泰建筑工程有限公司</v>
          </cell>
          <cell r="F43">
            <v>200000</v>
          </cell>
          <cell r="G43">
            <v>200000</v>
          </cell>
          <cell r="H43">
            <v>200000</v>
          </cell>
          <cell r="I43">
            <v>200000</v>
          </cell>
          <cell r="J43">
            <v>0</v>
          </cell>
          <cell r="K43">
            <v>200000</v>
          </cell>
        </row>
        <row r="44">
          <cell r="A44" t="str">
            <v>JXA-041W</v>
          </cell>
          <cell r="B44" t="str">
            <v>2014.5.26</v>
          </cell>
          <cell r="C44" t="str">
            <v>基电工</v>
          </cell>
          <cell r="D44" t="str">
            <v>一期电力配套费</v>
          </cell>
          <cell r="E44" t="str">
            <v>天津市电力公司蓟县分公司</v>
          </cell>
          <cell r="F44">
            <v>6013035</v>
          </cell>
          <cell r="G44">
            <v>6013035</v>
          </cell>
          <cell r="H44">
            <v>5411731.5</v>
          </cell>
          <cell r="I44">
            <v>6013035</v>
          </cell>
          <cell r="J44">
            <v>0</v>
          </cell>
          <cell r="K44">
            <v>5411731.5</v>
          </cell>
        </row>
        <row r="45">
          <cell r="A45" t="str">
            <v>JXA-042</v>
          </cell>
          <cell r="B45" t="str">
            <v>2014.4.28</v>
          </cell>
          <cell r="C45" t="str">
            <v>前标代</v>
          </cell>
          <cell r="D45" t="str">
            <v>招投标代理（设计、勘察、工程、监理）</v>
          </cell>
          <cell r="E45" t="str">
            <v>天津建安建设项目管理有限公司</v>
          </cell>
          <cell r="F45">
            <v>150733</v>
          </cell>
          <cell r="G45">
            <v>150733</v>
          </cell>
          <cell r="H45">
            <v>150733</v>
          </cell>
          <cell r="I45">
            <v>150733</v>
          </cell>
          <cell r="J45">
            <v>0</v>
          </cell>
          <cell r="K45">
            <v>150733</v>
          </cell>
        </row>
        <row r="46">
          <cell r="A46" t="str">
            <v>JXA-043</v>
          </cell>
          <cell r="B46" t="str">
            <v>2014.4.</v>
          </cell>
          <cell r="C46" t="str">
            <v>前能评</v>
          </cell>
          <cell r="D46" t="str">
            <v>固定资产投资项目合理用能评估合同（能评）</v>
          </cell>
          <cell r="E46" t="str">
            <v>天津天发源环境保护事务代理中心有限公司</v>
          </cell>
          <cell r="F46">
            <v>105000</v>
          </cell>
          <cell r="G46">
            <v>105000</v>
          </cell>
          <cell r="H46">
            <v>105000</v>
          </cell>
          <cell r="I46">
            <v>105000</v>
          </cell>
          <cell r="J46">
            <v>0</v>
          </cell>
          <cell r="K46">
            <v>105000</v>
          </cell>
        </row>
        <row r="47">
          <cell r="A47" t="str">
            <v>JXA-044</v>
          </cell>
          <cell r="B47" t="str">
            <v>2014.4.</v>
          </cell>
          <cell r="C47" t="str">
            <v>前环评</v>
          </cell>
          <cell r="D47" t="str">
            <v>技术咨询合同(环评）</v>
          </cell>
          <cell r="E47" t="str">
            <v>天津市环境保护科学研究院</v>
          </cell>
          <cell r="F47">
            <v>165000</v>
          </cell>
          <cell r="G47">
            <v>165000</v>
          </cell>
          <cell r="H47">
            <v>165000</v>
          </cell>
          <cell r="I47">
            <v>165000</v>
          </cell>
          <cell r="J47">
            <v>0</v>
          </cell>
          <cell r="K47">
            <v>165000</v>
          </cell>
        </row>
        <row r="48">
          <cell r="A48" t="str">
            <v>JXA-045W</v>
          </cell>
          <cell r="B48" t="str">
            <v>2014.5.4</v>
          </cell>
          <cell r="C48" t="str">
            <v>前勘绘</v>
          </cell>
          <cell r="D48" t="str">
            <v>拨地定桩（红线测绘）</v>
          </cell>
          <cell r="E48" t="str">
            <v>天津市蓟县测绘队</v>
          </cell>
          <cell r="F48">
            <v>40165</v>
          </cell>
          <cell r="G48">
            <v>40165</v>
          </cell>
          <cell r="H48">
            <v>40165</v>
          </cell>
          <cell r="I48">
            <v>40165</v>
          </cell>
          <cell r="J48">
            <v>0</v>
          </cell>
          <cell r="K48">
            <v>40165</v>
          </cell>
        </row>
        <row r="49">
          <cell r="A49" t="str">
            <v>JXA-046W</v>
          </cell>
          <cell r="B49" t="str">
            <v>2015.4.22</v>
          </cell>
          <cell r="C49" t="str">
            <v>基电工</v>
          </cell>
          <cell r="D49" t="str">
            <v>一期电力配套费（泵房、供热站动力负荷）</v>
          </cell>
          <cell r="E49" t="str">
            <v>天津市电力公司蓟县分公司</v>
          </cell>
          <cell r="F49">
            <v>647955</v>
          </cell>
          <cell r="G49">
            <v>647955</v>
          </cell>
          <cell r="H49">
            <v>583159.5</v>
          </cell>
          <cell r="I49">
            <v>647955</v>
          </cell>
          <cell r="J49">
            <v>0</v>
          </cell>
          <cell r="K49">
            <v>583159.5</v>
          </cell>
        </row>
        <row r="50">
          <cell r="A50" t="str">
            <v>JXA-047</v>
          </cell>
          <cell r="B50" t="str">
            <v>2014.6.11</v>
          </cell>
          <cell r="C50" t="str">
            <v>前临电</v>
          </cell>
          <cell r="D50" t="str">
            <v>临时电设计费</v>
          </cell>
          <cell r="E50" t="str">
            <v>天津市龙宇电力工程设计有限公司</v>
          </cell>
          <cell r="F50">
            <v>20285</v>
          </cell>
          <cell r="G50">
            <v>20285</v>
          </cell>
          <cell r="H50">
            <v>20285</v>
          </cell>
          <cell r="I50">
            <v>20285</v>
          </cell>
          <cell r="J50">
            <v>0</v>
          </cell>
          <cell r="K50">
            <v>20285</v>
          </cell>
        </row>
        <row r="51">
          <cell r="A51" t="str">
            <v>JXA-048</v>
          </cell>
          <cell r="B51" t="str">
            <v>2014.6.</v>
          </cell>
          <cell r="C51" t="str">
            <v>建监</v>
          </cell>
          <cell r="D51" t="str">
            <v>监理工程</v>
          </cell>
          <cell r="E51" t="str">
            <v>天津市环外监理有限公司</v>
          </cell>
          <cell r="F51">
            <v>2571257</v>
          </cell>
          <cell r="G51">
            <v>2571257</v>
          </cell>
          <cell r="H51">
            <v>385687.7</v>
          </cell>
          <cell r="I51">
            <v>2571257</v>
          </cell>
          <cell r="J51">
            <v>0</v>
          </cell>
          <cell r="K51">
            <v>385687.7</v>
          </cell>
        </row>
        <row r="52">
          <cell r="A52" t="str">
            <v>JXA-049</v>
          </cell>
          <cell r="B52" t="str">
            <v>2014.6.17</v>
          </cell>
          <cell r="C52" t="str">
            <v>前临围</v>
          </cell>
          <cell r="D52" t="str">
            <v>彩钢临时围挡</v>
          </cell>
          <cell r="E52" t="str">
            <v>天津宏鑫鼎泰建筑工程有限公司</v>
          </cell>
          <cell r="F52">
            <v>138000</v>
          </cell>
          <cell r="G52">
            <v>138000</v>
          </cell>
          <cell r="H52">
            <v>138000</v>
          </cell>
          <cell r="I52">
            <v>138000</v>
          </cell>
          <cell r="J52">
            <v>0</v>
          </cell>
          <cell r="K52">
            <v>138000</v>
          </cell>
        </row>
        <row r="53">
          <cell r="A53" t="str">
            <v>JXA-050</v>
          </cell>
          <cell r="B53" t="str">
            <v>2014.6.</v>
          </cell>
          <cell r="C53" t="str">
            <v>前临障</v>
          </cell>
          <cell r="D53" t="str">
            <v>地下障碍物拆除</v>
          </cell>
          <cell r="E53" t="str">
            <v>天津渔阳建工集团机械施工有限公司</v>
          </cell>
          <cell r="F53">
            <v>120000</v>
          </cell>
          <cell r="G53">
            <v>120000</v>
          </cell>
          <cell r="H53">
            <v>120000</v>
          </cell>
          <cell r="I53">
            <v>120000</v>
          </cell>
          <cell r="J53">
            <v>0</v>
          </cell>
          <cell r="K53">
            <v>120000</v>
          </cell>
        </row>
        <row r="54">
          <cell r="A54" t="str">
            <v>JXA-051</v>
          </cell>
          <cell r="B54" t="str">
            <v>2014.6.16</v>
          </cell>
          <cell r="C54" t="str">
            <v>前临电</v>
          </cell>
          <cell r="D54" t="str">
            <v>临电工程费</v>
          </cell>
          <cell r="E54" t="str">
            <v>天津市信弘德电力工程有限公司蓟县分公司</v>
          </cell>
          <cell r="F54">
            <v>430000</v>
          </cell>
          <cell r="G54">
            <v>430000</v>
          </cell>
          <cell r="H54">
            <v>430000</v>
          </cell>
          <cell r="I54">
            <v>430000</v>
          </cell>
          <cell r="J54">
            <v>0</v>
          </cell>
          <cell r="K54">
            <v>430000</v>
          </cell>
        </row>
        <row r="55">
          <cell r="A55" t="str">
            <v>JXA-052W</v>
          </cell>
          <cell r="B55" t="str">
            <v>2014.6.16</v>
          </cell>
          <cell r="C55" t="str">
            <v>前标服</v>
          </cell>
          <cell r="D55" t="str">
            <v>勘察、设计交易服务费（全项目）</v>
          </cell>
          <cell r="E55" t="str">
            <v>天津市工程建设交易服务中心</v>
          </cell>
          <cell r="F55">
            <v>43800</v>
          </cell>
          <cell r="G55">
            <v>43800</v>
          </cell>
          <cell r="H55">
            <v>43800</v>
          </cell>
          <cell r="I55">
            <v>43800</v>
          </cell>
          <cell r="J55">
            <v>0</v>
          </cell>
          <cell r="K55">
            <v>43800</v>
          </cell>
        </row>
        <row r="56">
          <cell r="A56" t="str">
            <v>JXA-053</v>
          </cell>
          <cell r="B56" t="str">
            <v>2015.1.6</v>
          </cell>
          <cell r="C56" t="str">
            <v>建环外</v>
          </cell>
          <cell r="D56" t="str">
            <v>挡土墙施工合同（重签）</v>
          </cell>
          <cell r="E56" t="str">
            <v>天津市蓟县宏拓建筑有限公司</v>
          </cell>
          <cell r="F56">
            <v>3138486</v>
          </cell>
          <cell r="G56">
            <v>3138486</v>
          </cell>
          <cell r="H56">
            <v>2033890</v>
          </cell>
          <cell r="I56">
            <v>3138486</v>
          </cell>
          <cell r="J56">
            <v>0</v>
          </cell>
          <cell r="K56">
            <v>2033890</v>
          </cell>
        </row>
        <row r="57">
          <cell r="A57" t="str">
            <v>JXA-054W</v>
          </cell>
          <cell r="B57" t="str">
            <v>2014.6.27</v>
          </cell>
          <cell r="C57" t="str">
            <v>前临电</v>
          </cell>
          <cell r="D57" t="str">
            <v>负荷管理装置费、外部供电工程费</v>
          </cell>
          <cell r="E57" t="str">
            <v>天津市电力分公司蓟县分公司</v>
          </cell>
          <cell r="F57">
            <v>40682</v>
          </cell>
          <cell r="G57">
            <v>40682</v>
          </cell>
          <cell r="H57">
            <v>40682</v>
          </cell>
          <cell r="I57">
            <v>40682</v>
          </cell>
          <cell r="J57">
            <v>0</v>
          </cell>
          <cell r="K57">
            <v>40682</v>
          </cell>
        </row>
        <row r="58">
          <cell r="A58" t="str">
            <v>JXA-055W</v>
          </cell>
          <cell r="B58" t="str">
            <v>2014.6.27</v>
          </cell>
          <cell r="C58" t="str">
            <v>前临电</v>
          </cell>
          <cell r="D58" t="str">
            <v>公路占路费</v>
          </cell>
          <cell r="E58" t="str">
            <v>天津市蓟县路政支队</v>
          </cell>
          <cell r="F58">
            <v>15210</v>
          </cell>
          <cell r="G58">
            <v>15210</v>
          </cell>
          <cell r="H58">
            <v>15210</v>
          </cell>
          <cell r="I58">
            <v>15210</v>
          </cell>
          <cell r="J58">
            <v>0</v>
          </cell>
          <cell r="K58">
            <v>15210</v>
          </cell>
        </row>
        <row r="59">
          <cell r="A59" t="str">
            <v>JXA-056</v>
          </cell>
          <cell r="B59" t="str">
            <v>2015.12.4</v>
          </cell>
          <cell r="C59" t="str">
            <v>前临电</v>
          </cell>
          <cell r="D59" t="str">
            <v>变压器移位（一台）</v>
          </cell>
          <cell r="E59" t="str">
            <v>天津市聚鑫达建设工程有限公司</v>
          </cell>
          <cell r="F59">
            <v>150000</v>
          </cell>
          <cell r="G59">
            <v>150000</v>
          </cell>
          <cell r="H59">
            <v>0</v>
          </cell>
          <cell r="I59">
            <v>150000</v>
          </cell>
          <cell r="J59">
            <v>0</v>
          </cell>
          <cell r="K59">
            <v>0</v>
          </cell>
        </row>
        <row r="60">
          <cell r="A60" t="str">
            <v>JXA-057</v>
          </cell>
          <cell r="B60" t="str">
            <v>2015.12.11</v>
          </cell>
          <cell r="C60" t="str">
            <v>建主建</v>
          </cell>
          <cell r="D60" t="str">
            <v>清运拉圾（三期）</v>
          </cell>
          <cell r="E60" t="str">
            <v>天津市蓟县宏拓建筑有限公司</v>
          </cell>
          <cell r="F60">
            <v>135990</v>
          </cell>
          <cell r="G60">
            <v>135990</v>
          </cell>
          <cell r="H60">
            <v>95000</v>
          </cell>
          <cell r="I60">
            <v>135990</v>
          </cell>
          <cell r="J60">
            <v>0</v>
          </cell>
          <cell r="K60">
            <v>95000</v>
          </cell>
        </row>
        <row r="61">
          <cell r="A61" t="str">
            <v>JXA-058W</v>
          </cell>
          <cell r="B61" t="str">
            <v>2014.7.9</v>
          </cell>
          <cell r="C61" t="str">
            <v>前其他</v>
          </cell>
          <cell r="D61" t="str">
            <v>蓟县土地评估费</v>
          </cell>
          <cell r="E61" t="str">
            <v>天津杰诺德房地产价格评估咨询有限公司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</row>
        <row r="62">
          <cell r="A62" t="str">
            <v>JXA-059</v>
          </cell>
          <cell r="B62" t="str">
            <v>2014.8.14</v>
          </cell>
          <cell r="C62" t="str">
            <v>前临电</v>
          </cell>
          <cell r="D62" t="str">
            <v>装表临时用电高压供电合同</v>
          </cell>
          <cell r="E62" t="str">
            <v>国网天津市电力公司蓟县供电分公司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</row>
        <row r="63">
          <cell r="A63" t="str">
            <v>JXA-060W</v>
          </cell>
          <cell r="B63" t="str">
            <v>2014.7.16</v>
          </cell>
          <cell r="C63" t="str">
            <v>建定测</v>
          </cell>
          <cell r="D63" t="str">
            <v>建筑物放线（一期楼座测绘）</v>
          </cell>
          <cell r="E63" t="str">
            <v>天津市蓟县测绘队</v>
          </cell>
          <cell r="F63">
            <v>137711</v>
          </cell>
          <cell r="G63">
            <v>137711</v>
          </cell>
          <cell r="H63">
            <v>137711</v>
          </cell>
          <cell r="I63">
            <v>137711</v>
          </cell>
          <cell r="J63">
            <v>0</v>
          </cell>
          <cell r="K63">
            <v>137711</v>
          </cell>
        </row>
        <row r="64">
          <cell r="A64" t="str">
            <v>JXA-061W</v>
          </cell>
          <cell r="B64" t="str">
            <v>2015.3.26</v>
          </cell>
          <cell r="C64" t="str">
            <v>基电箱</v>
          </cell>
          <cell r="D64" t="str">
            <v>配电站电力设计费</v>
          </cell>
          <cell r="E64" t="str">
            <v>天津市龙宇达电力工程设计有限公司</v>
          </cell>
          <cell r="F64">
            <v>20000</v>
          </cell>
          <cell r="G64">
            <v>20000</v>
          </cell>
          <cell r="H64">
            <v>20000</v>
          </cell>
          <cell r="I64">
            <v>20000</v>
          </cell>
          <cell r="J64">
            <v>0</v>
          </cell>
          <cell r="K64">
            <v>20000</v>
          </cell>
        </row>
        <row r="65">
          <cell r="A65" t="str">
            <v>JXA-062W</v>
          </cell>
          <cell r="B65" t="str">
            <v>2014.7.16</v>
          </cell>
          <cell r="C65" t="str">
            <v>公配小</v>
          </cell>
          <cell r="D65" t="str">
            <v>小配套费（一期）</v>
          </cell>
          <cell r="E65" t="str">
            <v>蓟县建设管理委员会</v>
          </cell>
          <cell r="F65">
            <v>3907038.37</v>
          </cell>
          <cell r="G65">
            <v>3907038.37</v>
          </cell>
          <cell r="H65">
            <v>3907038.37</v>
          </cell>
          <cell r="I65">
            <v>3907038.37</v>
          </cell>
          <cell r="J65">
            <v>0</v>
          </cell>
          <cell r="K65">
            <v>3907038.37</v>
          </cell>
        </row>
        <row r="66">
          <cell r="A66" t="str">
            <v>JXA-063W</v>
          </cell>
          <cell r="B66" t="str">
            <v>2014.7.16</v>
          </cell>
          <cell r="C66" t="str">
            <v>前墙</v>
          </cell>
          <cell r="D66" t="str">
            <v>墙改费（一期）</v>
          </cell>
          <cell r="E66" t="str">
            <v>蓟县建设管理委员会</v>
          </cell>
          <cell r="F66">
            <v>137377.49</v>
          </cell>
          <cell r="G66">
            <v>137377.49</v>
          </cell>
          <cell r="H66">
            <v>137377.49</v>
          </cell>
          <cell r="I66">
            <v>137377.49</v>
          </cell>
          <cell r="J66">
            <v>0</v>
          </cell>
          <cell r="K66">
            <v>137377.49</v>
          </cell>
        </row>
        <row r="67">
          <cell r="A67" t="str">
            <v>JXA-064</v>
          </cell>
          <cell r="B67" t="str">
            <v>2015.2.6</v>
          </cell>
          <cell r="C67" t="str">
            <v>建定测</v>
          </cell>
          <cell r="D67" t="str">
            <v>二期放线、检线报告</v>
          </cell>
          <cell r="E67" t="str">
            <v>天津市蓟县测绘队</v>
          </cell>
          <cell r="F67">
            <v>37738</v>
          </cell>
          <cell r="G67">
            <v>37738</v>
          </cell>
          <cell r="H67">
            <v>37738</v>
          </cell>
          <cell r="I67">
            <v>37738</v>
          </cell>
          <cell r="J67">
            <v>0</v>
          </cell>
          <cell r="K67">
            <v>37738</v>
          </cell>
        </row>
        <row r="68">
          <cell r="A68" t="str">
            <v>JXA-065W</v>
          </cell>
          <cell r="B68" t="str">
            <v>2014.7.21</v>
          </cell>
          <cell r="C68" t="str">
            <v>前人建</v>
          </cell>
          <cell r="D68" t="str">
            <v>人防易地建设费</v>
          </cell>
          <cell r="E68" t="str">
            <v>蓟县人民政府人民防空办公室</v>
          </cell>
          <cell r="F68">
            <v>339000</v>
          </cell>
          <cell r="G68">
            <v>339000</v>
          </cell>
          <cell r="H68">
            <v>339000</v>
          </cell>
          <cell r="I68">
            <v>339000</v>
          </cell>
          <cell r="J68">
            <v>0</v>
          </cell>
          <cell r="K68">
            <v>339000</v>
          </cell>
        </row>
        <row r="69">
          <cell r="A69" t="str">
            <v>JXA-066</v>
          </cell>
          <cell r="B69" t="str">
            <v>2014.7.24</v>
          </cell>
          <cell r="C69" t="str">
            <v>前人档</v>
          </cell>
          <cell r="D69" t="str">
            <v>人防工程资料编制费</v>
          </cell>
          <cell r="E69" t="str">
            <v>天津市人防工程建设管理站</v>
          </cell>
          <cell r="F69">
            <v>19645</v>
          </cell>
          <cell r="G69">
            <v>19645</v>
          </cell>
          <cell r="H69">
            <v>19645</v>
          </cell>
          <cell r="I69">
            <v>19645</v>
          </cell>
          <cell r="J69">
            <v>0</v>
          </cell>
          <cell r="K69">
            <v>19645</v>
          </cell>
        </row>
        <row r="70">
          <cell r="A70" t="str">
            <v>JXA-067W</v>
          </cell>
          <cell r="B70" t="str">
            <v>2014.7.24</v>
          </cell>
          <cell r="C70" t="str">
            <v>前地</v>
          </cell>
          <cell r="D70" t="str">
            <v>地名标志费及地名公告费</v>
          </cell>
          <cell r="E70" t="str">
            <v>蓟县规划局</v>
          </cell>
          <cell r="F70">
            <v>83164.149999999994</v>
          </cell>
          <cell r="G70">
            <v>83164.149999999994</v>
          </cell>
          <cell r="H70">
            <v>83164.149999999994</v>
          </cell>
          <cell r="I70">
            <v>83164.149999999994</v>
          </cell>
          <cell r="J70">
            <v>0</v>
          </cell>
          <cell r="K70">
            <v>83164.149999999994</v>
          </cell>
        </row>
        <row r="71">
          <cell r="A71" t="str">
            <v>JXA-068</v>
          </cell>
          <cell r="B71" t="str">
            <v>2014.7.24</v>
          </cell>
          <cell r="C71" t="str">
            <v>前设审</v>
          </cell>
          <cell r="D71" t="str">
            <v>博御园施工图审查（一期）</v>
          </cell>
          <cell r="E71" t="str">
            <v>天津华苑建筑工程咨询有限公司</v>
          </cell>
          <cell r="F71">
            <v>65619</v>
          </cell>
          <cell r="G71">
            <v>65619</v>
          </cell>
          <cell r="H71">
            <v>65619</v>
          </cell>
          <cell r="I71">
            <v>65619</v>
          </cell>
          <cell r="J71">
            <v>0</v>
          </cell>
          <cell r="K71">
            <v>65619</v>
          </cell>
        </row>
        <row r="72">
          <cell r="A72" t="str">
            <v>JXA-068B</v>
          </cell>
          <cell r="B72" t="str">
            <v>2015.3.03</v>
          </cell>
          <cell r="C72" t="str">
            <v>前设审</v>
          </cell>
          <cell r="D72" t="str">
            <v>一期施工图审查变更补充协议</v>
          </cell>
          <cell r="E72" t="str">
            <v>天津华苑建筑工程咨询有限公司</v>
          </cell>
          <cell r="F72">
            <v>9381</v>
          </cell>
          <cell r="G72">
            <v>9381</v>
          </cell>
          <cell r="H72">
            <v>9381</v>
          </cell>
          <cell r="I72">
            <v>9381</v>
          </cell>
          <cell r="J72">
            <v>0</v>
          </cell>
          <cell r="K72">
            <v>9381</v>
          </cell>
        </row>
        <row r="73">
          <cell r="A73" t="str">
            <v>JXA-068C</v>
          </cell>
          <cell r="B73" t="str">
            <v>2015.3.27</v>
          </cell>
          <cell r="C73" t="str">
            <v>前设审</v>
          </cell>
          <cell r="D73" t="str">
            <v>一期施工图审查（中部地下室变更）</v>
          </cell>
          <cell r="E73" t="str">
            <v>天津华苑建筑工程咨询有限公司</v>
          </cell>
          <cell r="F73">
            <v>2100</v>
          </cell>
          <cell r="G73">
            <v>2100</v>
          </cell>
          <cell r="H73">
            <v>2100</v>
          </cell>
          <cell r="I73">
            <v>2100</v>
          </cell>
          <cell r="J73">
            <v>0</v>
          </cell>
          <cell r="K73">
            <v>2100</v>
          </cell>
        </row>
        <row r="74">
          <cell r="A74" t="str">
            <v>JXA-068D</v>
          </cell>
          <cell r="B74" t="str">
            <v>2015.7.6</v>
          </cell>
          <cell r="C74" t="str">
            <v>前设审</v>
          </cell>
          <cell r="D74" t="str">
            <v>一期施工图审查（1.2.3.23#变更）</v>
          </cell>
          <cell r="E74" t="str">
            <v>天津华苑建筑工程咨询有限公司</v>
          </cell>
          <cell r="F74">
            <v>2326</v>
          </cell>
          <cell r="G74">
            <v>2326</v>
          </cell>
          <cell r="H74">
            <v>2326</v>
          </cell>
          <cell r="I74">
            <v>2326</v>
          </cell>
          <cell r="J74">
            <v>0</v>
          </cell>
          <cell r="K74">
            <v>2326</v>
          </cell>
        </row>
        <row r="75">
          <cell r="A75" t="str">
            <v>JXA-069（1）</v>
          </cell>
          <cell r="B75" t="str">
            <v>2014.7.24</v>
          </cell>
          <cell r="C75" t="str">
            <v>基热工</v>
          </cell>
          <cell r="D75" t="str">
            <v>供热配套合同（工程建设费）</v>
          </cell>
          <cell r="E75" t="str">
            <v>天津市蓟县供热服务中心</v>
          </cell>
          <cell r="F75">
            <v>13252746.24</v>
          </cell>
          <cell r="G75">
            <v>13252746.24</v>
          </cell>
          <cell r="H75">
            <v>6771382</v>
          </cell>
          <cell r="I75">
            <v>13252746.24</v>
          </cell>
          <cell r="J75">
            <v>0</v>
          </cell>
          <cell r="K75">
            <v>6771382</v>
          </cell>
        </row>
        <row r="76">
          <cell r="A76" t="str">
            <v>JXA-069（2）</v>
          </cell>
          <cell r="B76" t="str">
            <v>2014.7.24</v>
          </cell>
          <cell r="C76" t="str">
            <v>基热表</v>
          </cell>
          <cell r="D76" t="str">
            <v>供热配套合同（热计量装配费）</v>
          </cell>
          <cell r="E76" t="str">
            <v>天津市蓟县供热服务中心</v>
          </cell>
          <cell r="F76">
            <v>1149400</v>
          </cell>
          <cell r="G76">
            <v>1149400</v>
          </cell>
          <cell r="H76">
            <v>0</v>
          </cell>
          <cell r="I76">
            <v>1149400</v>
          </cell>
          <cell r="J76">
            <v>0</v>
          </cell>
          <cell r="K76">
            <v>0</v>
          </cell>
        </row>
        <row r="77">
          <cell r="A77" t="str">
            <v>JXA-070</v>
          </cell>
          <cell r="B77" t="str">
            <v>2014.8.5</v>
          </cell>
          <cell r="C77" t="str">
            <v>基热内</v>
          </cell>
          <cell r="D77" t="str">
            <v>供用热协议书（二次管网）</v>
          </cell>
          <cell r="E77" t="str">
            <v>蓟县鑫泰物业管理有限公司</v>
          </cell>
          <cell r="F77">
            <v>2673069.73</v>
          </cell>
          <cell r="G77">
            <v>2673069.73</v>
          </cell>
          <cell r="H77">
            <v>1900000</v>
          </cell>
          <cell r="I77">
            <v>2673069.73</v>
          </cell>
          <cell r="J77">
            <v>0</v>
          </cell>
          <cell r="K77">
            <v>1900000</v>
          </cell>
        </row>
        <row r="78">
          <cell r="A78" t="str">
            <v>JXA-071</v>
          </cell>
          <cell r="B78" t="str">
            <v>2014.10.29</v>
          </cell>
          <cell r="C78" t="str">
            <v>基水用</v>
          </cell>
          <cell r="D78" t="str">
            <v>用水报告书技术服务合同</v>
          </cell>
          <cell r="E78" t="str">
            <v>天津市润野水资源开发技术咨询有限公司</v>
          </cell>
          <cell r="F78">
            <v>380000</v>
          </cell>
          <cell r="G78">
            <v>380000</v>
          </cell>
          <cell r="H78">
            <v>380000</v>
          </cell>
          <cell r="I78">
            <v>380000</v>
          </cell>
          <cell r="J78">
            <v>0</v>
          </cell>
          <cell r="K78">
            <v>380000</v>
          </cell>
        </row>
        <row r="79">
          <cell r="A79" t="str">
            <v>JXA-072</v>
          </cell>
          <cell r="B79" t="str">
            <v>2014.8.5</v>
          </cell>
          <cell r="C79" t="str">
            <v>基水保</v>
          </cell>
          <cell r="D79" t="str">
            <v>水土保持方案报告书技术服务合同</v>
          </cell>
          <cell r="E79" t="str">
            <v>天津市蓟县水土保持技术咨询服务站</v>
          </cell>
          <cell r="F79">
            <v>660000</v>
          </cell>
          <cell r="G79">
            <v>660000</v>
          </cell>
          <cell r="H79">
            <v>660000</v>
          </cell>
          <cell r="I79">
            <v>660000</v>
          </cell>
          <cell r="J79">
            <v>0</v>
          </cell>
          <cell r="K79">
            <v>660000</v>
          </cell>
        </row>
        <row r="80">
          <cell r="A80" t="str">
            <v>JXA-073</v>
          </cell>
          <cell r="B80" t="str">
            <v>2014.8.5</v>
          </cell>
          <cell r="C80" t="str">
            <v>建基</v>
          </cell>
          <cell r="D80" t="str">
            <v>示范区强夯工程合同</v>
          </cell>
          <cell r="E80" t="str">
            <v>天津华勘集团有限公司</v>
          </cell>
          <cell r="F80">
            <v>748148</v>
          </cell>
          <cell r="G80">
            <v>748148</v>
          </cell>
          <cell r="H80">
            <v>678130</v>
          </cell>
          <cell r="I80">
            <v>748148</v>
          </cell>
          <cell r="J80">
            <v>0</v>
          </cell>
          <cell r="K80">
            <v>678130</v>
          </cell>
        </row>
        <row r="81">
          <cell r="A81" t="str">
            <v>JXA-073B</v>
          </cell>
          <cell r="B81" t="str">
            <v>2015.2.5</v>
          </cell>
          <cell r="C81" t="str">
            <v>建基</v>
          </cell>
          <cell r="D81" t="str">
            <v>一期强夯工程补充合同</v>
          </cell>
          <cell r="E81" t="str">
            <v>天津华勘集团有限公司</v>
          </cell>
          <cell r="F81">
            <v>967950</v>
          </cell>
          <cell r="G81">
            <v>967950</v>
          </cell>
          <cell r="H81">
            <v>807870</v>
          </cell>
          <cell r="I81">
            <v>967950</v>
          </cell>
          <cell r="J81">
            <v>0</v>
          </cell>
          <cell r="K81">
            <v>807870</v>
          </cell>
        </row>
        <row r="82">
          <cell r="A82" t="str">
            <v>JXA-074W</v>
          </cell>
          <cell r="B82" t="str">
            <v>2014.8.5</v>
          </cell>
          <cell r="C82" t="str">
            <v>基水地</v>
          </cell>
          <cell r="D82" t="str">
            <v>地下水资源费</v>
          </cell>
          <cell r="E82" t="str">
            <v>天津市蓟县节约用水事务管理中心</v>
          </cell>
          <cell r="F82">
            <v>529783</v>
          </cell>
          <cell r="G82">
            <v>529783</v>
          </cell>
          <cell r="H82">
            <v>529783</v>
          </cell>
          <cell r="I82">
            <v>529783</v>
          </cell>
          <cell r="J82">
            <v>0</v>
          </cell>
          <cell r="K82">
            <v>529783</v>
          </cell>
        </row>
        <row r="83">
          <cell r="A83" t="str">
            <v>JXA-075W</v>
          </cell>
          <cell r="B83" t="str">
            <v>2014.8.5</v>
          </cell>
          <cell r="C83" t="str">
            <v>基水补</v>
          </cell>
          <cell r="D83" t="str">
            <v>水土保持设施补偿费</v>
          </cell>
          <cell r="E83" t="str">
            <v>天津市蓟县水土保持检查监督站</v>
          </cell>
          <cell r="F83">
            <v>271230</v>
          </cell>
          <cell r="G83">
            <v>271230</v>
          </cell>
          <cell r="H83">
            <v>271230</v>
          </cell>
          <cell r="I83">
            <v>271230</v>
          </cell>
          <cell r="J83">
            <v>0</v>
          </cell>
          <cell r="K83">
            <v>271230</v>
          </cell>
        </row>
        <row r="84">
          <cell r="A84" t="str">
            <v>JXA-076</v>
          </cell>
          <cell r="B84" t="str">
            <v>2014.8.4</v>
          </cell>
          <cell r="C84" t="str">
            <v>前环</v>
          </cell>
          <cell r="D84" t="str">
            <v>环境报告评估合同</v>
          </cell>
          <cell r="E84" t="str">
            <v>天津市环境工程评估中心</v>
          </cell>
          <cell r="F84">
            <v>67500</v>
          </cell>
          <cell r="G84">
            <v>67500</v>
          </cell>
          <cell r="H84">
            <v>67500</v>
          </cell>
          <cell r="I84">
            <v>67500</v>
          </cell>
          <cell r="J84">
            <v>0</v>
          </cell>
          <cell r="K84">
            <v>67500</v>
          </cell>
        </row>
        <row r="85">
          <cell r="A85" t="str">
            <v>JXA-077</v>
          </cell>
          <cell r="B85" t="str">
            <v>2014.8.6</v>
          </cell>
          <cell r="C85" t="str">
            <v>前标担</v>
          </cell>
          <cell r="D85" t="str">
            <v>支付委托保证合同（一期）</v>
          </cell>
          <cell r="E85" t="str">
            <v>天津融诚挚信投资担保有限公司</v>
          </cell>
          <cell r="F85">
            <v>40000</v>
          </cell>
          <cell r="G85">
            <v>40000</v>
          </cell>
          <cell r="H85">
            <v>40000</v>
          </cell>
          <cell r="I85">
            <v>40000</v>
          </cell>
          <cell r="J85">
            <v>0</v>
          </cell>
          <cell r="K85">
            <v>40000</v>
          </cell>
        </row>
        <row r="86">
          <cell r="A86" t="str">
            <v>JXA-078W</v>
          </cell>
          <cell r="B86" t="str">
            <v>2014.8.9</v>
          </cell>
          <cell r="C86" t="str">
            <v>前泥</v>
          </cell>
          <cell r="D86" t="str">
            <v>水泥基金（一期）</v>
          </cell>
          <cell r="E86" t="str">
            <v>蓟县建设管理委员会</v>
          </cell>
          <cell r="F86">
            <v>51516.56</v>
          </cell>
          <cell r="G86">
            <v>51516.56</v>
          </cell>
          <cell r="H86">
            <v>51516.56</v>
          </cell>
          <cell r="I86">
            <v>51516.56</v>
          </cell>
          <cell r="J86">
            <v>0</v>
          </cell>
          <cell r="K86">
            <v>51516.56</v>
          </cell>
        </row>
        <row r="87">
          <cell r="A87" t="str">
            <v>JXA-079W</v>
          </cell>
          <cell r="B87" t="str">
            <v>2014.8.11</v>
          </cell>
          <cell r="C87" t="str">
            <v>土配</v>
          </cell>
          <cell r="D87" t="str">
            <v>大配套费（一期）</v>
          </cell>
          <cell r="E87" t="str">
            <v>蓟县建设管理委员会</v>
          </cell>
          <cell r="F87">
            <v>12515936.4</v>
          </cell>
          <cell r="G87">
            <v>12515936.4</v>
          </cell>
          <cell r="H87">
            <v>12515936.4</v>
          </cell>
          <cell r="I87">
            <v>12515936.4</v>
          </cell>
          <cell r="J87">
            <v>0</v>
          </cell>
          <cell r="K87">
            <v>12515936.4</v>
          </cell>
        </row>
        <row r="88">
          <cell r="A88" t="str">
            <v>JXA-080W</v>
          </cell>
          <cell r="B88" t="str">
            <v>2014.9.3</v>
          </cell>
          <cell r="C88" t="str">
            <v>基气源</v>
          </cell>
          <cell r="D88" t="str">
            <v>气源发展费（一期）(蓟县另收）</v>
          </cell>
          <cell r="E88" t="str">
            <v>蓟县建设管理委员会</v>
          </cell>
          <cell r="F88">
            <v>1127572.3999999999</v>
          </cell>
          <cell r="G88">
            <v>1127572.3999999999</v>
          </cell>
          <cell r="H88">
            <v>1127572.3999999999</v>
          </cell>
          <cell r="I88">
            <v>1127572.3999999999</v>
          </cell>
          <cell r="J88">
            <v>0</v>
          </cell>
          <cell r="K88">
            <v>1127572.3999999999</v>
          </cell>
        </row>
        <row r="89">
          <cell r="A89" t="str">
            <v>JXA-081W</v>
          </cell>
          <cell r="B89" t="str">
            <v>2014.8.9</v>
          </cell>
          <cell r="C89" t="str">
            <v>前标服</v>
          </cell>
          <cell r="D89" t="str">
            <v>建设工程交易服务费（一期）</v>
          </cell>
          <cell r="E89" t="str">
            <v>蓟县建设管理委员会</v>
          </cell>
          <cell r="F89">
            <v>45600</v>
          </cell>
          <cell r="G89">
            <v>45600</v>
          </cell>
          <cell r="H89">
            <v>45600</v>
          </cell>
          <cell r="I89">
            <v>45600</v>
          </cell>
          <cell r="J89">
            <v>0</v>
          </cell>
          <cell r="K89">
            <v>45600</v>
          </cell>
        </row>
        <row r="90">
          <cell r="A90" t="str">
            <v>JXA-082W</v>
          </cell>
          <cell r="B90" t="str">
            <v>2014.8.9</v>
          </cell>
          <cell r="C90" t="str">
            <v>前标服</v>
          </cell>
          <cell r="D90" t="str">
            <v>工程监理交易服务费（全项目）</v>
          </cell>
          <cell r="E90" t="str">
            <v>蓟县建设管理委员会</v>
          </cell>
          <cell r="F90">
            <v>21600</v>
          </cell>
          <cell r="G90">
            <v>21600</v>
          </cell>
          <cell r="H90">
            <v>21600</v>
          </cell>
          <cell r="I90">
            <v>21600</v>
          </cell>
          <cell r="J90">
            <v>0</v>
          </cell>
          <cell r="K90">
            <v>21600</v>
          </cell>
        </row>
        <row r="91">
          <cell r="A91" t="str">
            <v>JXA-083W</v>
          </cell>
          <cell r="B91" t="str">
            <v>2014.12.26</v>
          </cell>
          <cell r="C91" t="str">
            <v>前标服</v>
          </cell>
          <cell r="D91" t="str">
            <v>物业招标服务费（全项目）</v>
          </cell>
          <cell r="E91" t="str">
            <v>天津市物业管理招标服务中心</v>
          </cell>
          <cell r="F91">
            <v>39911.519999999997</v>
          </cell>
          <cell r="G91">
            <v>39911.519999999997</v>
          </cell>
          <cell r="H91">
            <v>39911.519999999997</v>
          </cell>
          <cell r="I91">
            <v>39911.519999999997</v>
          </cell>
          <cell r="J91">
            <v>0</v>
          </cell>
          <cell r="K91">
            <v>39911.519999999997</v>
          </cell>
        </row>
        <row r="92">
          <cell r="A92" t="str">
            <v>JXA-084</v>
          </cell>
          <cell r="B92" t="str">
            <v>2014.8.8</v>
          </cell>
          <cell r="C92" t="str">
            <v>前临水</v>
          </cell>
          <cell r="D92" t="str">
            <v>临时水施工费</v>
          </cell>
          <cell r="E92" t="str">
            <v>蓟县自来水管理所</v>
          </cell>
          <cell r="F92">
            <v>50000</v>
          </cell>
          <cell r="G92">
            <v>50000</v>
          </cell>
          <cell r="H92">
            <v>50000</v>
          </cell>
          <cell r="I92">
            <v>50000</v>
          </cell>
          <cell r="J92">
            <v>0</v>
          </cell>
          <cell r="K92">
            <v>50000</v>
          </cell>
        </row>
        <row r="93">
          <cell r="A93" t="str">
            <v>JXA-085W</v>
          </cell>
          <cell r="B93" t="str">
            <v>2014.8.15</v>
          </cell>
          <cell r="C93" t="str">
            <v>前稳</v>
          </cell>
          <cell r="D93" t="str">
            <v>一标段稳定保证金（一期）</v>
          </cell>
          <cell r="E93" t="str">
            <v>蓟县建设管理委员会</v>
          </cell>
          <cell r="F93">
            <v>300000</v>
          </cell>
          <cell r="G93">
            <v>300000</v>
          </cell>
          <cell r="H93">
            <v>300000</v>
          </cell>
          <cell r="I93">
            <v>300000</v>
          </cell>
          <cell r="J93">
            <v>0</v>
          </cell>
          <cell r="K93">
            <v>300000</v>
          </cell>
        </row>
        <row r="94">
          <cell r="A94" t="str">
            <v>JXA-086W</v>
          </cell>
          <cell r="B94" t="str">
            <v>2014.8.15</v>
          </cell>
          <cell r="C94" t="str">
            <v>前</v>
          </cell>
          <cell r="D94" t="str">
            <v>农民工资预储工资</v>
          </cell>
          <cell r="E94" t="str">
            <v>蓟县建设管理委员会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</row>
        <row r="95">
          <cell r="A95" t="str">
            <v>JXA-087W</v>
          </cell>
          <cell r="B95" t="str">
            <v>2014.8.15</v>
          </cell>
          <cell r="C95" t="str">
            <v>前</v>
          </cell>
          <cell r="D95" t="str">
            <v>文明施工措施费</v>
          </cell>
          <cell r="E95" t="str">
            <v>蓟县建设管理委员会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A96" t="str">
            <v>JXA-088</v>
          </cell>
          <cell r="B96" t="str">
            <v>2014.8.15</v>
          </cell>
          <cell r="C96" t="str">
            <v>前设网</v>
          </cell>
          <cell r="D96" t="str">
            <v>蓟县项目综合管网设计合同（方案）</v>
          </cell>
          <cell r="E96" t="str">
            <v>天津华厦建筑设计有限公司</v>
          </cell>
          <cell r="F96">
            <v>150000</v>
          </cell>
          <cell r="G96">
            <v>150000</v>
          </cell>
          <cell r="H96">
            <v>120000</v>
          </cell>
          <cell r="I96">
            <v>150000</v>
          </cell>
          <cell r="J96">
            <v>0</v>
          </cell>
          <cell r="K96">
            <v>120000</v>
          </cell>
        </row>
        <row r="97">
          <cell r="A97" t="str">
            <v>JXA-089W</v>
          </cell>
          <cell r="B97" t="str">
            <v>2014.8.15</v>
          </cell>
          <cell r="C97" t="str">
            <v>前标服</v>
          </cell>
          <cell r="D97" t="str">
            <v>建安设备交易服务费（一期）蓟县收取</v>
          </cell>
          <cell r="E97" t="str">
            <v>蓟县建设管理委员会</v>
          </cell>
          <cell r="F97">
            <v>12400</v>
          </cell>
          <cell r="G97">
            <v>12400</v>
          </cell>
          <cell r="H97">
            <v>12400</v>
          </cell>
          <cell r="I97">
            <v>12400</v>
          </cell>
          <cell r="J97">
            <v>0</v>
          </cell>
          <cell r="K97">
            <v>12400</v>
          </cell>
        </row>
        <row r="98">
          <cell r="A98" t="str">
            <v>JXA-090</v>
          </cell>
          <cell r="B98" t="str">
            <v>2014.8.19</v>
          </cell>
          <cell r="C98" t="str">
            <v>前设其</v>
          </cell>
          <cell r="D98" t="str">
            <v>区内外挡土墙及边坡支护设计合同</v>
          </cell>
          <cell r="E98" t="str">
            <v>天津华北工程勘察设计有限公司</v>
          </cell>
          <cell r="F98">
            <v>450000</v>
          </cell>
          <cell r="G98">
            <v>450000</v>
          </cell>
          <cell r="H98">
            <v>135000</v>
          </cell>
          <cell r="I98">
            <v>450000</v>
          </cell>
          <cell r="J98">
            <v>0</v>
          </cell>
          <cell r="K98">
            <v>135000</v>
          </cell>
        </row>
        <row r="99">
          <cell r="A99" t="str">
            <v>JXA-091</v>
          </cell>
          <cell r="B99" t="str">
            <v>2014.12.11</v>
          </cell>
          <cell r="C99" t="str">
            <v>前设其</v>
          </cell>
          <cell r="D99" t="str">
            <v>智能化设计合同</v>
          </cell>
          <cell r="E99" t="str">
            <v>天津北方金誉科技发展有限公司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A100" t="str">
            <v>JXA-092</v>
          </cell>
          <cell r="B100" t="str">
            <v>2014.9.18</v>
          </cell>
          <cell r="C100" t="str">
            <v>前临水</v>
          </cell>
          <cell r="D100" t="str">
            <v>临水施工占路及修复费</v>
          </cell>
          <cell r="E100" t="str">
            <v>天津市蓟县路政支队</v>
          </cell>
          <cell r="F100">
            <v>9505</v>
          </cell>
          <cell r="G100">
            <v>9505</v>
          </cell>
          <cell r="H100">
            <v>9505</v>
          </cell>
          <cell r="I100">
            <v>9505</v>
          </cell>
          <cell r="J100">
            <v>0</v>
          </cell>
          <cell r="K100">
            <v>9505</v>
          </cell>
        </row>
        <row r="101">
          <cell r="A101" t="str">
            <v>JXA-093</v>
          </cell>
          <cell r="B101" t="str">
            <v>2014.8.28</v>
          </cell>
          <cell r="C101" t="str">
            <v>建基</v>
          </cell>
          <cell r="D101" t="str">
            <v>一期工程强夯检测（一期）</v>
          </cell>
          <cell r="E101" t="str">
            <v>天津市津海岩土工程有限责任公司</v>
          </cell>
          <cell r="F101">
            <v>150000</v>
          </cell>
          <cell r="G101">
            <v>150000</v>
          </cell>
          <cell r="H101">
            <v>0</v>
          </cell>
          <cell r="I101">
            <v>150000</v>
          </cell>
          <cell r="J101">
            <v>0</v>
          </cell>
          <cell r="K101">
            <v>0</v>
          </cell>
        </row>
        <row r="102">
          <cell r="A102" t="str">
            <v>JXA-094W</v>
          </cell>
          <cell r="B102" t="str">
            <v>2014.8.28</v>
          </cell>
          <cell r="C102" t="str">
            <v>前</v>
          </cell>
          <cell r="D102" t="str">
            <v>临时用水水费（一期）</v>
          </cell>
          <cell r="E102" t="str">
            <v>蓟县自来水管理所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</row>
        <row r="103">
          <cell r="A103" t="str">
            <v>JXA-095W</v>
          </cell>
          <cell r="B103" t="str">
            <v>2014.9.23</v>
          </cell>
          <cell r="C103" t="str">
            <v>前面</v>
          </cell>
          <cell r="D103" t="str">
            <v>前置面积测量（一期）</v>
          </cell>
          <cell r="E103" t="str">
            <v>天津市国土资源测绘和房屋测量中心</v>
          </cell>
          <cell r="F103">
            <v>80518.990000000005</v>
          </cell>
          <cell r="G103">
            <v>80518.990000000005</v>
          </cell>
          <cell r="H103">
            <v>80518.990000000005</v>
          </cell>
          <cell r="I103">
            <v>80518.990000000005</v>
          </cell>
          <cell r="J103">
            <v>0</v>
          </cell>
          <cell r="K103">
            <v>80518.990000000005</v>
          </cell>
        </row>
        <row r="104">
          <cell r="A104" t="str">
            <v>JXA-096</v>
          </cell>
          <cell r="B104" t="str">
            <v>2014.9.19</v>
          </cell>
          <cell r="C104" t="str">
            <v>前设</v>
          </cell>
          <cell r="D104" t="str">
            <v>售楼处样板间精装设计合同</v>
          </cell>
          <cell r="E104" t="str">
            <v>北京米罗那装饰设计有限公司</v>
          </cell>
          <cell r="F104">
            <v>700000</v>
          </cell>
          <cell r="G104">
            <v>737340</v>
          </cell>
          <cell r="H104">
            <v>737340</v>
          </cell>
          <cell r="I104">
            <v>737340</v>
          </cell>
          <cell r="J104">
            <v>37340</v>
          </cell>
          <cell r="K104">
            <v>737340</v>
          </cell>
        </row>
        <row r="105">
          <cell r="A105" t="str">
            <v>JXA-097</v>
          </cell>
          <cell r="B105" t="str">
            <v>2014.11.5</v>
          </cell>
          <cell r="C105" t="str">
            <v>前设</v>
          </cell>
          <cell r="D105" t="str">
            <v>综合管网（给水、中水、雨水、污水配套工程设计）（施工图）</v>
          </cell>
          <cell r="E105" t="str">
            <v>天津华夏建筑设计有限公司</v>
          </cell>
          <cell r="F105">
            <v>347800</v>
          </cell>
          <cell r="G105">
            <v>347800</v>
          </cell>
          <cell r="H105">
            <v>137300</v>
          </cell>
          <cell r="I105">
            <v>347800</v>
          </cell>
          <cell r="J105">
            <v>0</v>
          </cell>
          <cell r="K105">
            <v>137300</v>
          </cell>
        </row>
        <row r="106">
          <cell r="A106" t="str">
            <v>JXA-098</v>
          </cell>
          <cell r="B106" t="str">
            <v>2014.11.5</v>
          </cell>
          <cell r="C106" t="str">
            <v>建主</v>
          </cell>
          <cell r="D106" t="str">
            <v>一期配电箱采购合同（含电表箱）</v>
          </cell>
          <cell r="E106" t="str">
            <v>天津市隆裕电器有限公司</v>
          </cell>
          <cell r="F106">
            <v>2050000</v>
          </cell>
          <cell r="G106">
            <v>2050000</v>
          </cell>
          <cell r="H106">
            <v>400000</v>
          </cell>
          <cell r="I106">
            <v>2050000</v>
          </cell>
          <cell r="J106">
            <v>0</v>
          </cell>
          <cell r="K106">
            <v>400000</v>
          </cell>
        </row>
        <row r="107">
          <cell r="A107" t="str">
            <v>JXA-099</v>
          </cell>
          <cell r="B107" t="str">
            <v>2014.12.1</v>
          </cell>
          <cell r="C107" t="str">
            <v>建沉</v>
          </cell>
          <cell r="D107" t="str">
            <v>沉降观测合同</v>
          </cell>
          <cell r="E107" t="str">
            <v>天津市房屋质量安全鉴定检测中心</v>
          </cell>
          <cell r="F107">
            <v>83103</v>
          </cell>
          <cell r="G107">
            <v>83103</v>
          </cell>
          <cell r="H107">
            <v>0</v>
          </cell>
          <cell r="I107">
            <v>83103</v>
          </cell>
          <cell r="J107">
            <v>0</v>
          </cell>
          <cell r="K107">
            <v>0</v>
          </cell>
        </row>
        <row r="108">
          <cell r="A108" t="str">
            <v>JXA-100</v>
          </cell>
          <cell r="B108" t="str">
            <v>2014.12.1</v>
          </cell>
          <cell r="C108" t="str">
            <v>前标代</v>
          </cell>
          <cell r="D108" t="str">
            <v>物业招投标代理合同</v>
          </cell>
          <cell r="E108" t="str">
            <v>天津市晓波房地产物业管理有限公司</v>
          </cell>
          <cell r="F108">
            <v>140000</v>
          </cell>
          <cell r="G108">
            <v>140000</v>
          </cell>
          <cell r="H108">
            <v>140000</v>
          </cell>
          <cell r="I108">
            <v>140000</v>
          </cell>
          <cell r="J108">
            <v>0</v>
          </cell>
          <cell r="K108">
            <v>140000</v>
          </cell>
        </row>
        <row r="109">
          <cell r="A109" t="str">
            <v>JXA-101</v>
          </cell>
          <cell r="B109" t="str">
            <v>2015.1.7</v>
          </cell>
          <cell r="C109" t="str">
            <v>建环外</v>
          </cell>
          <cell r="D109" t="str">
            <v>界外地景观</v>
          </cell>
          <cell r="E109" t="str">
            <v>天津兰苑绿化工程有限公司</v>
          </cell>
          <cell r="F109">
            <v>3100000</v>
          </cell>
          <cell r="G109">
            <v>3100000</v>
          </cell>
          <cell r="H109">
            <v>1950000</v>
          </cell>
          <cell r="I109">
            <v>3100000</v>
          </cell>
          <cell r="J109">
            <v>0</v>
          </cell>
          <cell r="K109">
            <v>1950000</v>
          </cell>
        </row>
        <row r="110">
          <cell r="A110" t="str">
            <v>JXA-102</v>
          </cell>
          <cell r="B110"/>
          <cell r="C110"/>
          <cell r="D110" t="str">
            <v>总包一期工程</v>
          </cell>
          <cell r="E110" t="str">
            <v>天津泉州建设工程集团有限公司</v>
          </cell>
          <cell r="F110">
            <v>110000000</v>
          </cell>
          <cell r="G110">
            <v>110000000</v>
          </cell>
          <cell r="H110">
            <v>33863610</v>
          </cell>
          <cell r="I110">
            <v>110000000</v>
          </cell>
          <cell r="J110">
            <v>0</v>
          </cell>
          <cell r="K110">
            <v>33863610</v>
          </cell>
        </row>
        <row r="111">
          <cell r="A111" t="str">
            <v>JXA-103</v>
          </cell>
          <cell r="B111" t="str">
            <v>2015.3.26</v>
          </cell>
          <cell r="C111" t="str">
            <v>建主</v>
          </cell>
          <cell r="D111" t="str">
            <v>一期断桥铝合金门窗安装</v>
          </cell>
          <cell r="E111" t="str">
            <v>天津江胜建筑工程有限公司</v>
          </cell>
          <cell r="F111">
            <v>6801387</v>
          </cell>
          <cell r="G111">
            <v>6801387</v>
          </cell>
          <cell r="H111">
            <v>1232374</v>
          </cell>
          <cell r="I111">
            <v>6801387</v>
          </cell>
          <cell r="J111">
            <v>0</v>
          </cell>
          <cell r="K111">
            <v>1232374</v>
          </cell>
        </row>
        <row r="112">
          <cell r="A112" t="str">
            <v>JXA-104</v>
          </cell>
          <cell r="B112" t="str">
            <v>2015.3.27</v>
          </cell>
          <cell r="C112" t="str">
            <v>基中工</v>
          </cell>
          <cell r="D112" t="str">
            <v>一期中水配套工程</v>
          </cell>
          <cell r="E112" t="str">
            <v>蓟县自来水管理所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</row>
        <row r="113">
          <cell r="A113" t="str">
            <v>JXA-105W</v>
          </cell>
          <cell r="B113" t="str">
            <v>2015.3.31</v>
          </cell>
          <cell r="C113" t="str">
            <v>基中水</v>
          </cell>
          <cell r="D113" t="str">
            <v>一期自来水配套工程</v>
          </cell>
          <cell r="E113" t="str">
            <v>天津市蓟县节约用水事务管理中心</v>
          </cell>
          <cell r="F113">
            <v>1888940.46</v>
          </cell>
          <cell r="G113">
            <v>1888940.46</v>
          </cell>
          <cell r="H113">
            <v>650000</v>
          </cell>
          <cell r="I113">
            <v>1888940.46</v>
          </cell>
          <cell r="J113">
            <v>0</v>
          </cell>
          <cell r="K113">
            <v>650000</v>
          </cell>
        </row>
        <row r="114">
          <cell r="A114" t="str">
            <v>JXA-106</v>
          </cell>
          <cell r="B114" t="str">
            <v>2015.4.28</v>
          </cell>
          <cell r="C114" t="str">
            <v>基视</v>
          </cell>
          <cell r="D114" t="str">
            <v>政务网IP电视及宽带接入协议</v>
          </cell>
          <cell r="E114" t="str">
            <v>天津新众影视传媒有限公司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</row>
        <row r="115">
          <cell r="A115" t="str">
            <v>JXA-107</v>
          </cell>
          <cell r="B115" t="str">
            <v>2015.4.28</v>
          </cell>
          <cell r="C115" t="str">
            <v>建主</v>
          </cell>
          <cell r="D115" t="str">
            <v>售楼处中央空调安装合同</v>
          </cell>
          <cell r="E115" t="str">
            <v>天津荣润世纪科技有限公司</v>
          </cell>
          <cell r="F115">
            <v>450612</v>
          </cell>
          <cell r="G115">
            <v>450612</v>
          </cell>
          <cell r="H115">
            <v>428081</v>
          </cell>
          <cell r="I115">
            <v>450612</v>
          </cell>
          <cell r="J115">
            <v>0</v>
          </cell>
          <cell r="K115">
            <v>428081</v>
          </cell>
        </row>
        <row r="116">
          <cell r="A116" t="str">
            <v>JXA-108</v>
          </cell>
          <cell r="B116" t="str">
            <v>2015.4.23</v>
          </cell>
          <cell r="C116" t="str">
            <v>建环内</v>
          </cell>
          <cell r="D116" t="str">
            <v>示范区景观</v>
          </cell>
          <cell r="E116" t="str">
            <v>天津兰苑园林绿化工程有限公司</v>
          </cell>
          <cell r="F116">
            <v>9498614</v>
          </cell>
          <cell r="G116">
            <v>9498614</v>
          </cell>
          <cell r="H116">
            <v>6000000</v>
          </cell>
          <cell r="I116">
            <v>9498614</v>
          </cell>
          <cell r="J116">
            <v>0</v>
          </cell>
          <cell r="K116">
            <v>6000000</v>
          </cell>
        </row>
        <row r="117">
          <cell r="A117" t="str">
            <v>JXA-109</v>
          </cell>
          <cell r="B117" t="str">
            <v>2015.5.14</v>
          </cell>
          <cell r="C117" t="str">
            <v>基气工</v>
          </cell>
          <cell r="D117" t="str">
            <v>一期燃气配套工程</v>
          </cell>
          <cell r="E117" t="str">
            <v>津燃润燃气有限公司</v>
          </cell>
          <cell r="F117">
            <v>2430392</v>
          </cell>
          <cell r="G117">
            <v>2430392</v>
          </cell>
          <cell r="H117">
            <v>1701274.4</v>
          </cell>
          <cell r="I117">
            <v>2430392</v>
          </cell>
          <cell r="J117">
            <v>0</v>
          </cell>
          <cell r="K117">
            <v>1701274.4</v>
          </cell>
        </row>
        <row r="118">
          <cell r="A118" t="str">
            <v>JXA-110</v>
          </cell>
          <cell r="B118" t="str">
            <v>2015.4.23</v>
          </cell>
          <cell r="C118" t="str">
            <v>建主</v>
          </cell>
          <cell r="D118" t="str">
            <v>一期保温涂料线条线角</v>
          </cell>
          <cell r="E118" t="str">
            <v>天津万通达建筑工程有限公司</v>
          </cell>
          <cell r="F118">
            <v>22594696</v>
          </cell>
          <cell r="G118">
            <v>22594696</v>
          </cell>
          <cell r="H118">
            <v>5505504</v>
          </cell>
          <cell r="I118">
            <v>22594696</v>
          </cell>
          <cell r="J118">
            <v>0</v>
          </cell>
          <cell r="K118">
            <v>5505504</v>
          </cell>
        </row>
        <row r="119">
          <cell r="A119" t="str">
            <v>JXA-111</v>
          </cell>
          <cell r="B119" t="str">
            <v>2015.4.28</v>
          </cell>
          <cell r="C119" t="str">
            <v>建主</v>
          </cell>
          <cell r="D119" t="str">
            <v>联排样板间中央空调安装合同</v>
          </cell>
          <cell r="E119" t="str">
            <v>天津荣润世纪科技有限公司</v>
          </cell>
          <cell r="F119">
            <v>79584</v>
          </cell>
          <cell r="G119">
            <v>79584</v>
          </cell>
          <cell r="H119">
            <v>31834</v>
          </cell>
          <cell r="I119">
            <v>79584</v>
          </cell>
          <cell r="J119">
            <v>0</v>
          </cell>
          <cell r="K119">
            <v>31834</v>
          </cell>
        </row>
        <row r="120">
          <cell r="A120" t="str">
            <v>JXA-112W</v>
          </cell>
          <cell r="B120" t="str">
            <v>2015.4.17</v>
          </cell>
          <cell r="C120" t="str">
            <v>基排工</v>
          </cell>
          <cell r="D120" t="str">
            <v>一期排水配套工程</v>
          </cell>
          <cell r="E120" t="str">
            <v>天津市蓟县节约用水事务管理中心</v>
          </cell>
          <cell r="F120">
            <v>3139730</v>
          </cell>
          <cell r="G120">
            <v>3139730</v>
          </cell>
          <cell r="H120">
            <v>2039730</v>
          </cell>
          <cell r="I120">
            <v>3139730</v>
          </cell>
          <cell r="J120">
            <v>0</v>
          </cell>
          <cell r="K120">
            <v>2039730</v>
          </cell>
        </row>
        <row r="121">
          <cell r="A121" t="str">
            <v>JXA-113</v>
          </cell>
          <cell r="B121" t="str">
            <v>2015.4.28</v>
          </cell>
          <cell r="C121" t="str">
            <v>前设审</v>
          </cell>
          <cell r="D121" t="str">
            <v>二、三期图审合同</v>
          </cell>
          <cell r="E121" t="str">
            <v>天津华苑建筑工程咨询有限公司</v>
          </cell>
          <cell r="F121">
            <v>124163</v>
          </cell>
          <cell r="G121">
            <v>124163</v>
          </cell>
          <cell r="H121">
            <v>124163</v>
          </cell>
          <cell r="I121">
            <v>124163</v>
          </cell>
          <cell r="J121">
            <v>0</v>
          </cell>
          <cell r="K121">
            <v>124163</v>
          </cell>
        </row>
        <row r="122">
          <cell r="A122" t="str">
            <v>JXA-114</v>
          </cell>
          <cell r="B122" t="str">
            <v>2015.5.6</v>
          </cell>
          <cell r="C122" t="str">
            <v>基排工</v>
          </cell>
          <cell r="D122" t="str">
            <v>一期排水配套工程挖土方</v>
          </cell>
          <cell r="E122" t="str">
            <v>天津聚宝龙投资有限公司</v>
          </cell>
          <cell r="F122">
            <v>170000</v>
          </cell>
          <cell r="G122">
            <v>170000</v>
          </cell>
          <cell r="H122">
            <v>70000</v>
          </cell>
          <cell r="I122">
            <v>170000</v>
          </cell>
          <cell r="J122">
            <v>0</v>
          </cell>
          <cell r="K122">
            <v>70000</v>
          </cell>
        </row>
        <row r="123">
          <cell r="A123" t="str">
            <v>JXA-115</v>
          </cell>
          <cell r="B123" t="str">
            <v>2015.4.28</v>
          </cell>
          <cell r="C123" t="str">
            <v>基视</v>
          </cell>
          <cell r="D123" t="str">
            <v>弱电综合管网工程</v>
          </cell>
          <cell r="E123" t="str">
            <v>天津市玉宇建筑工程有限公司</v>
          </cell>
          <cell r="F123">
            <v>549900</v>
          </cell>
          <cell r="G123">
            <v>549900</v>
          </cell>
          <cell r="H123">
            <v>100000</v>
          </cell>
          <cell r="I123">
            <v>549900</v>
          </cell>
          <cell r="J123">
            <v>0</v>
          </cell>
          <cell r="K123">
            <v>100000</v>
          </cell>
        </row>
        <row r="124">
          <cell r="A124" t="str">
            <v>JXA-116</v>
          </cell>
          <cell r="B124"/>
          <cell r="C124"/>
          <cell r="D124" t="str">
            <v>外檐石材一体板及保温（一期）</v>
          </cell>
          <cell r="E124" t="str">
            <v>山东华德隆建设有限公司</v>
          </cell>
          <cell r="F124">
            <v>11284542</v>
          </cell>
          <cell r="G124">
            <v>11284542</v>
          </cell>
          <cell r="H124">
            <v>3600000</v>
          </cell>
          <cell r="I124">
            <v>11284542</v>
          </cell>
          <cell r="J124">
            <v>0</v>
          </cell>
          <cell r="K124">
            <v>3600000</v>
          </cell>
        </row>
        <row r="125">
          <cell r="A125" t="str">
            <v>JXA-117W</v>
          </cell>
          <cell r="B125" t="str">
            <v>2015.5.10</v>
          </cell>
          <cell r="C125" t="str">
            <v>前面</v>
          </cell>
          <cell r="D125" t="str">
            <v>前置测量购买本册费（一期）</v>
          </cell>
          <cell r="E125" t="str">
            <v>天津市国土资源测绘和房屋测量中心</v>
          </cell>
          <cell r="F125">
            <v>1000</v>
          </cell>
          <cell r="G125">
            <v>1000</v>
          </cell>
          <cell r="H125">
            <v>1000</v>
          </cell>
          <cell r="I125">
            <v>1000</v>
          </cell>
          <cell r="J125">
            <v>0</v>
          </cell>
          <cell r="K125">
            <v>1000</v>
          </cell>
        </row>
        <row r="126">
          <cell r="A126" t="str">
            <v>JXA-118</v>
          </cell>
          <cell r="B126" t="str">
            <v>2015.5.22</v>
          </cell>
          <cell r="C126" t="str">
            <v>建主</v>
          </cell>
          <cell r="D126" t="str">
            <v>售楼处样板间精装修工程</v>
          </cell>
          <cell r="E126" t="str">
            <v>天津磊德建筑装饰工程有限公司</v>
          </cell>
          <cell r="F126">
            <v>3760794</v>
          </cell>
          <cell r="G126">
            <v>3760794</v>
          </cell>
          <cell r="H126">
            <v>2130397</v>
          </cell>
          <cell r="I126">
            <v>3760794</v>
          </cell>
          <cell r="J126">
            <v>0</v>
          </cell>
          <cell r="K126">
            <v>2130397</v>
          </cell>
        </row>
        <row r="127">
          <cell r="A127" t="str">
            <v>JXA-119</v>
          </cell>
          <cell r="B127" t="str">
            <v>2015.5.6</v>
          </cell>
          <cell r="C127" t="str">
            <v>基热内</v>
          </cell>
          <cell r="D127" t="str">
            <v>一期供热二次网工程土方挖填</v>
          </cell>
          <cell r="E127" t="str">
            <v>天津聚宝龙投资有限公司</v>
          </cell>
          <cell r="F127">
            <v>200000</v>
          </cell>
          <cell r="G127">
            <v>200000</v>
          </cell>
          <cell r="H127">
            <v>200000</v>
          </cell>
          <cell r="I127">
            <v>200000</v>
          </cell>
          <cell r="J127">
            <v>0</v>
          </cell>
          <cell r="K127">
            <v>200000</v>
          </cell>
        </row>
        <row r="128">
          <cell r="A128" t="str">
            <v>JXA-120</v>
          </cell>
          <cell r="B128" t="str">
            <v>2015.5.29</v>
          </cell>
          <cell r="C128" t="str">
            <v>建主</v>
          </cell>
          <cell r="D128" t="str">
            <v>示范区智能化工程</v>
          </cell>
          <cell r="E128" t="str">
            <v>天津荣润世纪科技有限公司</v>
          </cell>
          <cell r="F128">
            <v>513000</v>
          </cell>
          <cell r="G128">
            <v>513000</v>
          </cell>
          <cell r="H128">
            <v>150000</v>
          </cell>
          <cell r="I128">
            <v>513000</v>
          </cell>
          <cell r="J128">
            <v>0</v>
          </cell>
          <cell r="K128">
            <v>150000</v>
          </cell>
        </row>
        <row r="129">
          <cell r="A129" t="str">
            <v>JXA-121</v>
          </cell>
          <cell r="B129" t="str">
            <v>2015.5.11</v>
          </cell>
          <cell r="C129" t="str">
            <v>建主</v>
          </cell>
          <cell r="D129" t="str">
            <v>售楼处、样板间钢结构工程</v>
          </cell>
          <cell r="E129" t="str">
            <v>天津博斯特膜装饰工程有限公司</v>
          </cell>
          <cell r="F129">
            <v>349680</v>
          </cell>
          <cell r="G129">
            <v>349680</v>
          </cell>
          <cell r="H129">
            <v>250000</v>
          </cell>
          <cell r="I129">
            <v>349680</v>
          </cell>
          <cell r="J129">
            <v>0</v>
          </cell>
          <cell r="K129">
            <v>250000</v>
          </cell>
        </row>
        <row r="130">
          <cell r="A130" t="str">
            <v>JXA-122</v>
          </cell>
          <cell r="B130" t="str">
            <v>2015.6.18</v>
          </cell>
          <cell r="C130" t="str">
            <v>建环</v>
          </cell>
          <cell r="D130" t="str">
            <v>示范区围墙（示范区部分大区及小院围墙）</v>
          </cell>
          <cell r="E130" t="str">
            <v>天津兰苑园林绿化工程有限公司</v>
          </cell>
          <cell r="F130">
            <v>1131638</v>
          </cell>
          <cell r="G130">
            <v>1131638</v>
          </cell>
          <cell r="H130">
            <v>0</v>
          </cell>
          <cell r="I130">
            <v>1131638</v>
          </cell>
          <cell r="J130">
            <v>0</v>
          </cell>
          <cell r="K130">
            <v>0</v>
          </cell>
        </row>
        <row r="131">
          <cell r="A131" t="str">
            <v>JXA-123</v>
          </cell>
          <cell r="B131" t="str">
            <v>2015.6.24</v>
          </cell>
          <cell r="C131" t="str">
            <v>建定测</v>
          </cell>
          <cell r="D131" t="str">
            <v>三期放、验线报告</v>
          </cell>
          <cell r="E131" t="str">
            <v>天津市蓟县测绘队</v>
          </cell>
          <cell r="F131">
            <v>237811</v>
          </cell>
          <cell r="G131">
            <v>237811</v>
          </cell>
          <cell r="H131">
            <v>237811</v>
          </cell>
          <cell r="I131">
            <v>237811</v>
          </cell>
          <cell r="J131">
            <v>0</v>
          </cell>
          <cell r="K131">
            <v>237811</v>
          </cell>
        </row>
        <row r="132">
          <cell r="A132" t="str">
            <v>JXA-124</v>
          </cell>
          <cell r="B132" t="str">
            <v>2015.6.24</v>
          </cell>
          <cell r="C132" t="str">
            <v>建主</v>
          </cell>
          <cell r="D132" t="str">
            <v>一期入户门采购安装合同</v>
          </cell>
          <cell r="E132" t="str">
            <v>黑龙江龙业木业有限责任公司</v>
          </cell>
          <cell r="F132">
            <v>1774697</v>
          </cell>
          <cell r="G132">
            <v>1774697</v>
          </cell>
          <cell r="H132">
            <v>80225</v>
          </cell>
          <cell r="I132">
            <v>1774697</v>
          </cell>
          <cell r="J132">
            <v>0</v>
          </cell>
          <cell r="K132">
            <v>80225</v>
          </cell>
        </row>
        <row r="133">
          <cell r="A133" t="str">
            <v>JXA-125W</v>
          </cell>
          <cell r="B133" t="str">
            <v>2015.6.30</v>
          </cell>
          <cell r="C133" t="str">
            <v>前销</v>
          </cell>
          <cell r="D133" t="str">
            <v>商品房预售登记费（一期143套）</v>
          </cell>
          <cell r="E133" t="str">
            <v>天津市财政局</v>
          </cell>
          <cell r="F133">
            <v>11440</v>
          </cell>
          <cell r="G133">
            <v>11440</v>
          </cell>
          <cell r="H133">
            <v>11440</v>
          </cell>
          <cell r="I133">
            <v>11440</v>
          </cell>
          <cell r="J133">
            <v>0</v>
          </cell>
          <cell r="K133">
            <v>11440</v>
          </cell>
        </row>
        <row r="134">
          <cell r="A134" t="str">
            <v>JXA-126W</v>
          </cell>
          <cell r="B134" t="str">
            <v>2015.6.30</v>
          </cell>
          <cell r="C134" t="str">
            <v>前销</v>
          </cell>
          <cell r="D134" t="str">
            <v>销许公告费（一期22个楼的）</v>
          </cell>
          <cell r="E134" t="str">
            <v>天津蓝狮广告传播有限公司</v>
          </cell>
          <cell r="F134">
            <v>6000</v>
          </cell>
          <cell r="G134">
            <v>6000</v>
          </cell>
          <cell r="H134">
            <v>6000</v>
          </cell>
          <cell r="I134">
            <v>6000</v>
          </cell>
          <cell r="J134">
            <v>0</v>
          </cell>
          <cell r="K134">
            <v>6000</v>
          </cell>
        </row>
        <row r="135">
          <cell r="A135" t="str">
            <v>JXA-127W</v>
          </cell>
          <cell r="B135" t="str">
            <v>2015.6.30</v>
          </cell>
          <cell r="C135" t="str">
            <v>基排工</v>
          </cell>
          <cell r="D135" t="str">
            <v>排水市政接口</v>
          </cell>
          <cell r="E135" t="str">
            <v>天津力恒市政工程有限公司</v>
          </cell>
          <cell r="F135">
            <v>49100</v>
          </cell>
          <cell r="G135">
            <v>49100</v>
          </cell>
          <cell r="H135">
            <v>49100</v>
          </cell>
          <cell r="I135">
            <v>49100</v>
          </cell>
          <cell r="J135">
            <v>0</v>
          </cell>
          <cell r="K135">
            <v>49100</v>
          </cell>
        </row>
        <row r="136">
          <cell r="A136" t="str">
            <v>JXA-128</v>
          </cell>
          <cell r="B136" t="str">
            <v>2015.6.30</v>
          </cell>
          <cell r="C136" t="str">
            <v>建环</v>
          </cell>
          <cell r="D136" t="str">
            <v>示范区夜景照明</v>
          </cell>
          <cell r="E136" t="str">
            <v>天津鑫润达建筑工程有限公司</v>
          </cell>
          <cell r="F136">
            <v>213449</v>
          </cell>
          <cell r="G136">
            <v>213449</v>
          </cell>
          <cell r="H136">
            <v>170759.2</v>
          </cell>
          <cell r="I136">
            <v>213449</v>
          </cell>
          <cell r="J136">
            <v>0</v>
          </cell>
          <cell r="K136">
            <v>170759.2</v>
          </cell>
        </row>
        <row r="137">
          <cell r="A137" t="str">
            <v>JXA-129</v>
          </cell>
          <cell r="B137" t="str">
            <v>2015.6.18</v>
          </cell>
          <cell r="C137" t="str">
            <v>建主</v>
          </cell>
          <cell r="D137" t="str">
            <v>一期入户门感应密码锁采购安装</v>
          </cell>
          <cell r="E137" t="str">
            <v>广东坚朗五金制品股份有限公司</v>
          </cell>
          <cell r="F137">
            <v>250325</v>
          </cell>
          <cell r="G137">
            <v>250325</v>
          </cell>
          <cell r="H137">
            <v>0</v>
          </cell>
          <cell r="I137">
            <v>250325</v>
          </cell>
          <cell r="J137">
            <v>0</v>
          </cell>
          <cell r="K137">
            <v>0</v>
          </cell>
        </row>
        <row r="138">
          <cell r="A138" t="str">
            <v>JXA-130W</v>
          </cell>
          <cell r="B138" t="str">
            <v>2015.6.30</v>
          </cell>
          <cell r="C138" t="str">
            <v>前销</v>
          </cell>
          <cell r="D138" t="str">
            <v>房屋转让手续费（一期22个楼）产权登记</v>
          </cell>
          <cell r="E138" t="str">
            <v>蓟县房地产管理局</v>
          </cell>
          <cell r="F138">
            <v>77563.17</v>
          </cell>
          <cell r="G138">
            <v>77563.17</v>
          </cell>
          <cell r="H138">
            <v>77563.17</v>
          </cell>
          <cell r="I138">
            <v>77563.17</v>
          </cell>
          <cell r="J138">
            <v>0</v>
          </cell>
          <cell r="K138">
            <v>77563.17</v>
          </cell>
        </row>
        <row r="139">
          <cell r="A139" t="str">
            <v>JXA-131</v>
          </cell>
          <cell r="B139" t="str">
            <v>2015.8.17</v>
          </cell>
          <cell r="C139" t="str">
            <v>建主</v>
          </cell>
          <cell r="D139" t="str">
            <v>大门入口外檐装饰</v>
          </cell>
          <cell r="E139" t="str">
            <v>天津万通达建筑工程有限公司</v>
          </cell>
          <cell r="F139">
            <v>559667</v>
          </cell>
          <cell r="G139">
            <v>559667</v>
          </cell>
          <cell r="H139">
            <v>530000</v>
          </cell>
          <cell r="I139">
            <v>559667</v>
          </cell>
          <cell r="J139">
            <v>0</v>
          </cell>
          <cell r="K139">
            <v>530000</v>
          </cell>
        </row>
        <row r="140">
          <cell r="A140" t="str">
            <v>JXA-132</v>
          </cell>
          <cell r="B140" t="str">
            <v>2015.8.7</v>
          </cell>
          <cell r="C140" t="str">
            <v>建主</v>
          </cell>
          <cell r="D140" t="str">
            <v>33#楼公共部位精装修、门卫精装修</v>
          </cell>
          <cell r="E140" t="str">
            <v>天津市三鼎建筑工程有限公司</v>
          </cell>
          <cell r="F140">
            <v>149014</v>
          </cell>
          <cell r="G140">
            <v>149014</v>
          </cell>
          <cell r="H140">
            <v>124507</v>
          </cell>
          <cell r="I140">
            <v>149014</v>
          </cell>
          <cell r="J140">
            <v>0</v>
          </cell>
          <cell r="K140">
            <v>124507</v>
          </cell>
        </row>
        <row r="141">
          <cell r="A141" t="str">
            <v>JXA-133</v>
          </cell>
          <cell r="B141" t="str">
            <v>2015.8.7</v>
          </cell>
          <cell r="C141" t="str">
            <v>基水</v>
          </cell>
          <cell r="D141" t="str">
            <v>一期中水、自来水配套工程（含中水一次网，中水、自来水二次网，中水、自来水水表，室外消火栓、消防防险准备金）</v>
          </cell>
          <cell r="E141" t="str">
            <v>蓟县自来水管理所</v>
          </cell>
          <cell r="F141">
            <v>5700000</v>
          </cell>
          <cell r="G141">
            <v>5700000</v>
          </cell>
          <cell r="H141">
            <v>4200000</v>
          </cell>
          <cell r="I141">
            <v>5700000</v>
          </cell>
          <cell r="J141">
            <v>0</v>
          </cell>
          <cell r="K141">
            <v>4200000</v>
          </cell>
        </row>
        <row r="142">
          <cell r="A142" t="str">
            <v>JXA-134W</v>
          </cell>
          <cell r="B142" t="str">
            <v>2015.8.6</v>
          </cell>
          <cell r="C142" t="str">
            <v>前消档</v>
          </cell>
          <cell r="D142" t="str">
            <v>二期消防缩微费</v>
          </cell>
          <cell r="E142" t="str">
            <v>天津汉龙思琪科技发展有限公司</v>
          </cell>
          <cell r="F142">
            <v>2336</v>
          </cell>
          <cell r="G142">
            <v>2336</v>
          </cell>
          <cell r="H142">
            <v>2336</v>
          </cell>
          <cell r="I142">
            <v>2336</v>
          </cell>
          <cell r="J142">
            <v>0</v>
          </cell>
          <cell r="K142">
            <v>2336</v>
          </cell>
        </row>
        <row r="143">
          <cell r="A143" t="str">
            <v>JXA-135</v>
          </cell>
          <cell r="B143" t="str">
            <v>2015.8.11</v>
          </cell>
          <cell r="C143" t="str">
            <v>建主</v>
          </cell>
          <cell r="D143" t="str">
            <v>33#楼宇门及样板单元首层楼梯间户门采购安装</v>
          </cell>
          <cell r="E143" t="str">
            <v>浙江福日工贸有限公司</v>
          </cell>
          <cell r="F143">
            <v>24560</v>
          </cell>
          <cell r="G143">
            <v>24560</v>
          </cell>
          <cell r="H143">
            <v>23332</v>
          </cell>
          <cell r="I143">
            <v>24560</v>
          </cell>
          <cell r="J143">
            <v>0</v>
          </cell>
          <cell r="K143">
            <v>23332</v>
          </cell>
        </row>
        <row r="144">
          <cell r="A144" t="str">
            <v>JXA-136</v>
          </cell>
          <cell r="B144" t="str">
            <v>2015.8.12</v>
          </cell>
          <cell r="C144" t="str">
            <v>建主</v>
          </cell>
          <cell r="D144" t="str">
            <v>33#楼空调铁艺护栏</v>
          </cell>
          <cell r="E144" t="str">
            <v>天津德须泰钢结构工程有限公司</v>
          </cell>
          <cell r="F144">
            <v>12235</v>
          </cell>
          <cell r="G144">
            <v>12235</v>
          </cell>
          <cell r="H144">
            <v>11623</v>
          </cell>
          <cell r="I144">
            <v>12235</v>
          </cell>
          <cell r="J144">
            <v>0</v>
          </cell>
          <cell r="K144">
            <v>11623</v>
          </cell>
        </row>
        <row r="145">
          <cell r="A145" t="str">
            <v>JXA-137</v>
          </cell>
          <cell r="B145" t="str">
            <v>2015.9.6</v>
          </cell>
          <cell r="C145" t="str">
            <v>前设</v>
          </cell>
          <cell r="D145" t="str">
            <v>施工图优化技术服务合同</v>
          </cell>
          <cell r="E145" t="str">
            <v>天津滨海旺辉工程咨询有限公司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</row>
        <row r="146">
          <cell r="A146" t="str">
            <v>JXA-138W</v>
          </cell>
          <cell r="B146" t="str">
            <v>2015.8.25</v>
          </cell>
          <cell r="C146" t="str">
            <v>前标服</v>
          </cell>
          <cell r="D146" t="str">
            <v>景观（界外地、示范区、小院围墙）招标交易服务费</v>
          </cell>
          <cell r="E146" t="str">
            <v>蓟县建设管理委员会</v>
          </cell>
          <cell r="F146">
            <v>6400</v>
          </cell>
          <cell r="G146">
            <v>6400</v>
          </cell>
          <cell r="H146">
            <v>6400</v>
          </cell>
          <cell r="I146">
            <v>6400</v>
          </cell>
          <cell r="J146">
            <v>0</v>
          </cell>
          <cell r="K146">
            <v>6400</v>
          </cell>
        </row>
        <row r="147">
          <cell r="A147" t="str">
            <v>JXA-139W</v>
          </cell>
          <cell r="B147" t="str">
            <v>2015.10.8</v>
          </cell>
          <cell r="C147" t="str">
            <v>前销</v>
          </cell>
          <cell r="D147" t="str">
            <v>销许公告费（一期6个楼的）</v>
          </cell>
          <cell r="E147" t="str">
            <v>天津蓝狮广告传播有限公司</v>
          </cell>
          <cell r="F147">
            <v>6000</v>
          </cell>
          <cell r="G147">
            <v>6000</v>
          </cell>
          <cell r="H147">
            <v>0</v>
          </cell>
          <cell r="I147">
            <v>6000</v>
          </cell>
          <cell r="J147">
            <v>0</v>
          </cell>
          <cell r="K147">
            <v>0</v>
          </cell>
        </row>
        <row r="148">
          <cell r="A148" t="str">
            <v>JXA-140W</v>
          </cell>
          <cell r="B148" t="str">
            <v>2015.10.12</v>
          </cell>
          <cell r="C148" t="str">
            <v>前销</v>
          </cell>
          <cell r="D148" t="str">
            <v>预售登记费(一期72套）</v>
          </cell>
          <cell r="E148" t="str">
            <v>天津市财政局</v>
          </cell>
          <cell r="F148">
            <v>5760</v>
          </cell>
          <cell r="G148">
            <v>5760</v>
          </cell>
          <cell r="H148">
            <v>5760</v>
          </cell>
          <cell r="I148">
            <v>5760</v>
          </cell>
          <cell r="J148">
            <v>0</v>
          </cell>
          <cell r="K148">
            <v>5760</v>
          </cell>
        </row>
        <row r="149">
          <cell r="A149" t="str">
            <v>JXA-141W</v>
          </cell>
          <cell r="B149" t="str">
            <v>2015.11.17</v>
          </cell>
          <cell r="C149" t="str">
            <v>前墙</v>
          </cell>
          <cell r="D149" t="str">
            <v>二、三期墙改费</v>
          </cell>
          <cell r="E149" t="str">
            <v>天津市蓟县墙体材料改革领导小组办公室</v>
          </cell>
          <cell r="F149">
            <v>140899.60999999999</v>
          </cell>
          <cell r="G149">
            <v>140899.60999999999</v>
          </cell>
          <cell r="H149">
            <v>0</v>
          </cell>
          <cell r="I149">
            <v>140899.60999999999</v>
          </cell>
          <cell r="J149">
            <v>0</v>
          </cell>
          <cell r="K149">
            <v>0</v>
          </cell>
        </row>
        <row r="150">
          <cell r="A150" t="str">
            <v>JXA-142</v>
          </cell>
          <cell r="B150" t="str">
            <v>2015.11.24</v>
          </cell>
          <cell r="C150" t="str">
            <v>前标代</v>
          </cell>
          <cell r="D150" t="str">
            <v>招标代理费（界外地、示范区园林）</v>
          </cell>
          <cell r="E150" t="str">
            <v>天津建安建设项目管理有限公司</v>
          </cell>
          <cell r="F150">
            <v>18000</v>
          </cell>
          <cell r="G150">
            <v>18000</v>
          </cell>
          <cell r="H150">
            <v>18000</v>
          </cell>
          <cell r="I150">
            <v>18000</v>
          </cell>
          <cell r="J150">
            <v>0</v>
          </cell>
          <cell r="K150">
            <v>18000</v>
          </cell>
        </row>
        <row r="151">
          <cell r="A151" t="str">
            <v>JXA-143</v>
          </cell>
          <cell r="B151" t="str">
            <v>2015.11.14</v>
          </cell>
          <cell r="C151" t="str">
            <v>不可预见</v>
          </cell>
          <cell r="D151" t="str">
            <v>现场监控设备采购安装</v>
          </cell>
          <cell r="E151" t="str">
            <v>天津森炎电子产品有限公司</v>
          </cell>
          <cell r="F151">
            <v>29000</v>
          </cell>
          <cell r="G151">
            <v>29000</v>
          </cell>
          <cell r="H151">
            <v>0</v>
          </cell>
          <cell r="I151">
            <v>29000</v>
          </cell>
          <cell r="J151">
            <v>0</v>
          </cell>
          <cell r="K151">
            <v>0</v>
          </cell>
        </row>
        <row r="152">
          <cell r="A152" t="str">
            <v>JXA-144</v>
          </cell>
          <cell r="B152" t="str">
            <v>2015.12.31</v>
          </cell>
          <cell r="C152" t="str">
            <v>建桩</v>
          </cell>
          <cell r="D152" t="str">
            <v>三期桩基工程</v>
          </cell>
          <cell r="E152" t="str">
            <v>天津亿鑫市政建设有限公司</v>
          </cell>
          <cell r="F152">
            <v>5764660</v>
          </cell>
          <cell r="G152">
            <v>5764660</v>
          </cell>
          <cell r="H152">
            <v>0</v>
          </cell>
          <cell r="I152">
            <v>5764660</v>
          </cell>
          <cell r="J152">
            <v>0</v>
          </cell>
          <cell r="K152">
            <v>0</v>
          </cell>
        </row>
        <row r="153">
          <cell r="A153" t="str">
            <v>JXA-145</v>
          </cell>
          <cell r="B153" t="str">
            <v>2016.2.3</v>
          </cell>
          <cell r="C153" t="str">
            <v>建环</v>
          </cell>
          <cell r="D153" t="str">
            <v>东侧挡土墙</v>
          </cell>
          <cell r="E153" t="str">
            <v>天津市蓟县宏拓建筑有限公司</v>
          </cell>
          <cell r="F153">
            <v>4700000</v>
          </cell>
          <cell r="G153">
            <v>4700000</v>
          </cell>
          <cell r="H153">
            <v>0</v>
          </cell>
          <cell r="I153">
            <v>4700000</v>
          </cell>
          <cell r="J153">
            <v>0</v>
          </cell>
          <cell r="K153">
            <v>0</v>
          </cell>
        </row>
        <row r="154">
          <cell r="A154" t="str">
            <v>JXA-146-01</v>
          </cell>
          <cell r="B154" t="str">
            <v>2016.3.23</v>
          </cell>
          <cell r="C154" t="str">
            <v>建主</v>
          </cell>
          <cell r="D154" t="str">
            <v>二期总包工程</v>
          </cell>
          <cell r="E154" t="str">
            <v>江苏南通三建集团有限公司</v>
          </cell>
          <cell r="F154">
            <v>46454897</v>
          </cell>
          <cell r="G154">
            <v>46454897</v>
          </cell>
          <cell r="H154">
            <v>0</v>
          </cell>
          <cell r="I154">
            <v>46454897</v>
          </cell>
          <cell r="J154">
            <v>0</v>
          </cell>
          <cell r="K154">
            <v>0</v>
          </cell>
        </row>
        <row r="155">
          <cell r="A155" t="str">
            <v>JXA-146-02</v>
          </cell>
          <cell r="B155" t="str">
            <v>2016.3.23</v>
          </cell>
          <cell r="C155" t="str">
            <v>建主</v>
          </cell>
          <cell r="D155" t="str">
            <v>三期总包工程</v>
          </cell>
          <cell r="E155" t="str">
            <v>江苏南通三建集团有限公司</v>
          </cell>
          <cell r="F155">
            <v>78445103</v>
          </cell>
          <cell r="G155">
            <v>78445103</v>
          </cell>
          <cell r="H155">
            <v>0</v>
          </cell>
          <cell r="I155">
            <v>78445103</v>
          </cell>
          <cell r="J155">
            <v>0</v>
          </cell>
          <cell r="K155">
            <v>0</v>
          </cell>
        </row>
        <row r="156">
          <cell r="A156" t="str">
            <v>JXA-147</v>
          </cell>
          <cell r="B156" t="str">
            <v>2015.12.3</v>
          </cell>
          <cell r="C156" t="str">
            <v>不可预见</v>
          </cell>
          <cell r="D156" t="str">
            <v>现场扬尘监测设备</v>
          </cell>
          <cell r="E156" t="str">
            <v>天津同阳科技发展有限公司</v>
          </cell>
          <cell r="F156">
            <v>40000</v>
          </cell>
          <cell r="G156">
            <v>40000</v>
          </cell>
          <cell r="H156">
            <v>40000</v>
          </cell>
          <cell r="I156">
            <v>40000</v>
          </cell>
          <cell r="J156">
            <v>0</v>
          </cell>
          <cell r="K156">
            <v>40000</v>
          </cell>
        </row>
        <row r="157">
          <cell r="A157" t="str">
            <v>JXA-148</v>
          </cell>
          <cell r="B157" t="str">
            <v>2015.12.14</v>
          </cell>
          <cell r="C157" t="str">
            <v>不可预见</v>
          </cell>
          <cell r="D157" t="str">
            <v>现场监控组网服务</v>
          </cell>
          <cell r="E157" t="str">
            <v>中国联合网络通信有限公司天津分公司</v>
          </cell>
          <cell r="F157">
            <v>17000</v>
          </cell>
          <cell r="G157">
            <v>17000</v>
          </cell>
          <cell r="H157">
            <v>0</v>
          </cell>
          <cell r="I157">
            <v>17000</v>
          </cell>
          <cell r="J157">
            <v>0</v>
          </cell>
          <cell r="K157">
            <v>0</v>
          </cell>
        </row>
        <row r="158">
          <cell r="A158" t="str">
            <v>JXA-149</v>
          </cell>
          <cell r="B158" t="str">
            <v>2015.12.17</v>
          </cell>
          <cell r="C158" t="str">
            <v>前标咨</v>
          </cell>
          <cell r="D158" t="str">
            <v>（二期）造价咨询合同</v>
          </cell>
          <cell r="E158" t="str">
            <v>天津建工工程管理有限公司</v>
          </cell>
          <cell r="F158">
            <v>209694.3</v>
          </cell>
          <cell r="G158">
            <v>209694.3</v>
          </cell>
          <cell r="H158"/>
          <cell r="I158">
            <v>209694.3</v>
          </cell>
          <cell r="J158">
            <v>0</v>
          </cell>
          <cell r="K158">
            <v>50000</v>
          </cell>
        </row>
        <row r="159">
          <cell r="A159" t="str">
            <v>JXA-150W</v>
          </cell>
          <cell r="B159"/>
          <cell r="C159" t="str">
            <v>前销</v>
          </cell>
          <cell r="D159" t="str">
            <v>房屋转让手续费（一期6个楼）产权登记</v>
          </cell>
          <cell r="E159" t="str">
            <v>蓟县房地产管理局</v>
          </cell>
          <cell r="F159">
            <v>20569.8</v>
          </cell>
          <cell r="G159">
            <v>20569.8</v>
          </cell>
          <cell r="H159">
            <v>0</v>
          </cell>
          <cell r="I159">
            <v>20569.8</v>
          </cell>
          <cell r="J159">
            <v>0</v>
          </cell>
          <cell r="K159">
            <v>0</v>
          </cell>
        </row>
        <row r="160">
          <cell r="A160" t="str">
            <v>JXA-151W</v>
          </cell>
          <cell r="B160" t="str">
            <v>2015.12.31</v>
          </cell>
          <cell r="C160" t="str">
            <v>前销</v>
          </cell>
          <cell r="D160" t="str">
            <v>销许公告费（一期2个证、10个楼）</v>
          </cell>
          <cell r="E160" t="str">
            <v>天津蓝狮广告传播有限公司</v>
          </cell>
          <cell r="F160">
            <v>12000</v>
          </cell>
          <cell r="G160">
            <v>12000</v>
          </cell>
          <cell r="H160">
            <v>0</v>
          </cell>
          <cell r="I160">
            <v>12000</v>
          </cell>
          <cell r="J160">
            <v>0</v>
          </cell>
          <cell r="K160">
            <v>0</v>
          </cell>
        </row>
        <row r="161">
          <cell r="A161" t="str">
            <v>JXA-152W</v>
          </cell>
          <cell r="B161"/>
          <cell r="C161" t="str">
            <v>前销</v>
          </cell>
          <cell r="D161" t="str">
            <v>商品房预售登记费（一期106套）</v>
          </cell>
          <cell r="E161" t="str">
            <v>天津市财政局</v>
          </cell>
          <cell r="F161">
            <v>8480</v>
          </cell>
          <cell r="G161">
            <v>8480</v>
          </cell>
          <cell r="H161">
            <v>0</v>
          </cell>
          <cell r="I161">
            <v>8480</v>
          </cell>
          <cell r="J161">
            <v>0</v>
          </cell>
          <cell r="K161">
            <v>0</v>
          </cell>
        </row>
        <row r="162">
          <cell r="A162" t="str">
            <v>JXA-153W</v>
          </cell>
          <cell r="B162" t="str">
            <v>2015.12.31</v>
          </cell>
          <cell r="C162" t="str">
            <v>前销</v>
          </cell>
          <cell r="D162" t="str">
            <v>地形图测绘费（一期）</v>
          </cell>
          <cell r="E162" t="str">
            <v>天津市国土资源测绘和房屋测量中心</v>
          </cell>
          <cell r="F162">
            <v>4073.59</v>
          </cell>
          <cell r="G162">
            <v>4073.59</v>
          </cell>
          <cell r="H162">
            <v>4073.59</v>
          </cell>
          <cell r="I162">
            <v>4073.59</v>
          </cell>
          <cell r="J162">
            <v>0</v>
          </cell>
          <cell r="K162">
            <v>4073.59</v>
          </cell>
        </row>
        <row r="163">
          <cell r="A163" t="str">
            <v>JXA-154</v>
          </cell>
          <cell r="B163" t="str">
            <v>2015.12.31</v>
          </cell>
          <cell r="C163" t="str">
            <v>建桩检</v>
          </cell>
          <cell r="D163" t="str">
            <v>三期桩基检测</v>
          </cell>
          <cell r="E163" t="str">
            <v>天津市津海岩土工程有限责任公司</v>
          </cell>
          <cell r="F163">
            <v>184940</v>
          </cell>
          <cell r="G163">
            <v>184940</v>
          </cell>
          <cell r="H163">
            <v>0</v>
          </cell>
          <cell r="I163">
            <v>184940</v>
          </cell>
          <cell r="J163">
            <v>0</v>
          </cell>
          <cell r="K163">
            <v>0</v>
          </cell>
        </row>
        <row r="164">
          <cell r="A164" t="str">
            <v>JXA-155</v>
          </cell>
          <cell r="B164" t="str">
            <v>以上为截止2015年底合同</v>
          </cell>
          <cell r="C164" t="str">
            <v>建基</v>
          </cell>
          <cell r="D164" t="str">
            <v>二期强夯检测</v>
          </cell>
          <cell r="E164" t="str">
            <v>天津市津海岩土工程有限责任公司</v>
          </cell>
          <cell r="F164">
            <v>50080</v>
          </cell>
          <cell r="G164">
            <v>50080</v>
          </cell>
          <cell r="H164">
            <v>0</v>
          </cell>
          <cell r="I164">
            <v>50080</v>
          </cell>
          <cell r="J164">
            <v>0</v>
          </cell>
          <cell r="K164">
            <v>0</v>
          </cell>
        </row>
        <row r="165">
          <cell r="A165" t="str">
            <v>JXA-156W</v>
          </cell>
          <cell r="B165" t="str">
            <v>2016.1.18</v>
          </cell>
          <cell r="C165" t="str">
            <v>前勘绘</v>
          </cell>
          <cell r="D165" t="str">
            <v>三期桩基测绘费</v>
          </cell>
          <cell r="E165" t="str">
            <v>天津市蓟县测绘队</v>
          </cell>
          <cell r="F165">
            <v>5600</v>
          </cell>
          <cell r="G165">
            <v>5600</v>
          </cell>
          <cell r="H165">
            <v>0</v>
          </cell>
          <cell r="I165">
            <v>5600</v>
          </cell>
          <cell r="J165">
            <v>0</v>
          </cell>
          <cell r="K165">
            <v>0</v>
          </cell>
        </row>
        <row r="166">
          <cell r="A166" t="str">
            <v>JXA-157W</v>
          </cell>
          <cell r="B166" t="str">
            <v>2016.1.18</v>
          </cell>
          <cell r="C166" t="str">
            <v>前销</v>
          </cell>
          <cell r="D166" t="str">
            <v>房屋转让手续费（一期10个楼）</v>
          </cell>
          <cell r="E166" t="str">
            <v>蓟县房地产管理局</v>
          </cell>
          <cell r="F166">
            <v>30969.58</v>
          </cell>
          <cell r="G166">
            <v>30969.58</v>
          </cell>
          <cell r="H166">
            <v>0</v>
          </cell>
          <cell r="I166">
            <v>30969.58</v>
          </cell>
          <cell r="J166">
            <v>0</v>
          </cell>
          <cell r="K166">
            <v>0</v>
          </cell>
        </row>
        <row r="167">
          <cell r="A167" t="str">
            <v>JXA-158W</v>
          </cell>
          <cell r="B167" t="str">
            <v>2016.2.26</v>
          </cell>
          <cell r="C167" t="str">
            <v>公配小</v>
          </cell>
          <cell r="D167" t="str">
            <v>（三期）小配套费</v>
          </cell>
          <cell r="E167" t="str">
            <v>蓟县建设管理委员会</v>
          </cell>
          <cell r="F167">
            <v>2574714.6800000002</v>
          </cell>
          <cell r="G167">
            <v>2574714.6800000002</v>
          </cell>
          <cell r="H167">
            <v>2574714.6800000002</v>
          </cell>
          <cell r="I167">
            <v>2574714.6800000002</v>
          </cell>
          <cell r="J167">
            <v>0</v>
          </cell>
          <cell r="K167">
            <v>2574714.6800000002</v>
          </cell>
        </row>
        <row r="168">
          <cell r="A168" t="str">
            <v>JXA-159W</v>
          </cell>
          <cell r="B168" t="str">
            <v>2016.2.26</v>
          </cell>
          <cell r="C168" t="str">
            <v>前标服</v>
          </cell>
          <cell r="D168" t="str">
            <v>（三期）招标交易服务费</v>
          </cell>
          <cell r="E168" t="str">
            <v>蓟县建设管理委员会</v>
          </cell>
          <cell r="F168">
            <v>46000</v>
          </cell>
          <cell r="G168">
            <v>46000</v>
          </cell>
          <cell r="H168">
            <v>46000</v>
          </cell>
          <cell r="I168">
            <v>46000</v>
          </cell>
          <cell r="J168">
            <v>0</v>
          </cell>
          <cell r="K168">
            <v>46000</v>
          </cell>
        </row>
        <row r="169">
          <cell r="A169" t="str">
            <v>JXA-160W</v>
          </cell>
          <cell r="B169" t="str">
            <v>2016.2.26</v>
          </cell>
          <cell r="C169" t="str">
            <v>前标服</v>
          </cell>
          <cell r="D169" t="str">
            <v>（二期）招标交易服务费</v>
          </cell>
          <cell r="E169" t="str">
            <v>蓟县建设管理委员会</v>
          </cell>
          <cell r="F169">
            <v>30400</v>
          </cell>
          <cell r="G169">
            <v>30400</v>
          </cell>
          <cell r="H169">
            <v>30400</v>
          </cell>
          <cell r="I169">
            <v>30400</v>
          </cell>
          <cell r="J169">
            <v>0</v>
          </cell>
          <cell r="K169">
            <v>30400</v>
          </cell>
        </row>
        <row r="170">
          <cell r="A170" t="str">
            <v>JXA-161W</v>
          </cell>
          <cell r="B170" t="str">
            <v>2016.2.26</v>
          </cell>
          <cell r="C170" t="str">
            <v>前泥</v>
          </cell>
          <cell r="D170" t="str">
            <v>（二、三期）水泥专项基金</v>
          </cell>
          <cell r="E170" t="str">
            <v>蓟县建设管理委员会</v>
          </cell>
          <cell r="F170">
            <v>52120.35</v>
          </cell>
          <cell r="G170">
            <v>52120.35</v>
          </cell>
          <cell r="H170">
            <v>52120.35</v>
          </cell>
          <cell r="I170">
            <v>52120.35</v>
          </cell>
          <cell r="J170">
            <v>0</v>
          </cell>
          <cell r="K170">
            <v>52120.35</v>
          </cell>
        </row>
        <row r="171">
          <cell r="A171" t="str">
            <v>JXA-162W</v>
          </cell>
          <cell r="B171" t="str">
            <v>2016.2.26</v>
          </cell>
          <cell r="C171" t="str">
            <v>基气源</v>
          </cell>
          <cell r="D171" t="str">
            <v>（三期）气源发展费</v>
          </cell>
          <cell r="E171" t="str">
            <v>蓟县建设管理委员会</v>
          </cell>
          <cell r="F171">
            <v>743063.4</v>
          </cell>
          <cell r="G171">
            <v>743063.4</v>
          </cell>
          <cell r="H171">
            <v>743063.4</v>
          </cell>
          <cell r="I171">
            <v>743063.4</v>
          </cell>
          <cell r="J171">
            <v>0</v>
          </cell>
          <cell r="K171">
            <v>743063.4</v>
          </cell>
        </row>
        <row r="172">
          <cell r="A172" t="str">
            <v>JXA-163W</v>
          </cell>
          <cell r="B172" t="str">
            <v>2016.2.26</v>
          </cell>
          <cell r="C172"/>
          <cell r="D172"/>
          <cell r="E172" t="str">
            <v>蓟县建设管理委员会</v>
          </cell>
          <cell r="F172"/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</row>
        <row r="173">
          <cell r="A173" t="str">
            <v>JXA-164W</v>
          </cell>
          <cell r="B173" t="str">
            <v>2016.2.26</v>
          </cell>
          <cell r="C173" t="str">
            <v>土配</v>
          </cell>
          <cell r="D173" t="str">
            <v>（二、三期）大配套费</v>
          </cell>
          <cell r="E173" t="str">
            <v>蓟县建设管理委员会</v>
          </cell>
          <cell r="F173">
            <v>11876897</v>
          </cell>
          <cell r="G173">
            <v>11876897</v>
          </cell>
          <cell r="H173">
            <v>11876897</v>
          </cell>
          <cell r="I173">
            <v>11876897</v>
          </cell>
          <cell r="J173">
            <v>0</v>
          </cell>
          <cell r="K173">
            <v>11876897</v>
          </cell>
        </row>
        <row r="174">
          <cell r="A174" t="str">
            <v>JXA-165</v>
          </cell>
          <cell r="B174" t="str">
            <v>2016.3.8</v>
          </cell>
          <cell r="C174" t="str">
            <v>建安</v>
          </cell>
          <cell r="D174" t="str">
            <v>外墙内保温工程合同</v>
          </cell>
          <cell r="E174" t="str">
            <v>天津市博文通建筑安装工程有限公司</v>
          </cell>
          <cell r="F174">
            <v>1202823</v>
          </cell>
          <cell r="G174">
            <v>1202823</v>
          </cell>
          <cell r="H174">
            <v>0</v>
          </cell>
          <cell r="I174">
            <v>1202823</v>
          </cell>
          <cell r="J174">
            <v>0</v>
          </cell>
          <cell r="K174">
            <v>0</v>
          </cell>
        </row>
        <row r="175">
          <cell r="A175" t="str">
            <v>JXA-166</v>
          </cell>
          <cell r="B175" t="str">
            <v>2016.2.2</v>
          </cell>
          <cell r="C175" t="str">
            <v>基电箱</v>
          </cell>
          <cell r="D175" t="str">
            <v>土建站、CF箱基础、箱式站基础、环网柜基础</v>
          </cell>
          <cell r="E175" t="str">
            <v>天津英博建筑工程有限公司</v>
          </cell>
          <cell r="F175">
            <v>325800</v>
          </cell>
          <cell r="G175">
            <v>325800</v>
          </cell>
          <cell r="H175">
            <v>0</v>
          </cell>
          <cell r="I175">
            <v>325800</v>
          </cell>
          <cell r="J175">
            <v>0</v>
          </cell>
          <cell r="K175">
            <v>0</v>
          </cell>
        </row>
        <row r="176">
          <cell r="A176" t="str">
            <v>JXA-167</v>
          </cell>
          <cell r="B176" t="str">
            <v>2016.1.27</v>
          </cell>
          <cell r="C176" t="str">
            <v>前标担</v>
          </cell>
          <cell r="D176" t="str">
            <v>支付委托保证合同（二期）</v>
          </cell>
          <cell r="E176" t="str">
            <v>天津融诚挚信投资担保有限公司</v>
          </cell>
          <cell r="F176">
            <v>17710</v>
          </cell>
          <cell r="G176">
            <v>17710</v>
          </cell>
          <cell r="H176">
            <v>17710</v>
          </cell>
          <cell r="I176">
            <v>17710</v>
          </cell>
          <cell r="J176">
            <v>0</v>
          </cell>
          <cell r="K176">
            <v>17710</v>
          </cell>
        </row>
        <row r="177">
          <cell r="A177" t="str">
            <v>JXA-168</v>
          </cell>
          <cell r="B177" t="str">
            <v>2016.1.27</v>
          </cell>
          <cell r="C177" t="str">
            <v>前标担</v>
          </cell>
          <cell r="D177" t="str">
            <v>支付委托保证合同（三期）</v>
          </cell>
          <cell r="E177" t="str">
            <v>天津融诚挚信投资担保有限公司</v>
          </cell>
          <cell r="F177">
            <v>34500</v>
          </cell>
          <cell r="G177">
            <v>34500</v>
          </cell>
          <cell r="H177">
            <v>34500</v>
          </cell>
          <cell r="I177">
            <v>34500</v>
          </cell>
          <cell r="J177">
            <v>0</v>
          </cell>
          <cell r="K177">
            <v>34500</v>
          </cell>
        </row>
        <row r="178">
          <cell r="A178" t="str">
            <v>JXA-169</v>
          </cell>
          <cell r="B178" t="str">
            <v>2016.1.29</v>
          </cell>
          <cell r="C178" t="str">
            <v>建主</v>
          </cell>
          <cell r="D178" t="str">
            <v>示范区现场垃圾清运（结签证）</v>
          </cell>
          <cell r="E178" t="str">
            <v>天津市蓟县宏拓建筑有限公司</v>
          </cell>
          <cell r="F178">
            <v>164082</v>
          </cell>
          <cell r="G178">
            <v>164082</v>
          </cell>
          <cell r="H178">
            <v>164082</v>
          </cell>
          <cell r="I178">
            <v>164082</v>
          </cell>
          <cell r="J178">
            <v>0</v>
          </cell>
          <cell r="K178">
            <v>164082</v>
          </cell>
        </row>
        <row r="179">
          <cell r="A179" t="str">
            <v>JXA-170</v>
          </cell>
          <cell r="B179" t="str">
            <v>2016.3.8</v>
          </cell>
          <cell r="C179" t="str">
            <v>基水</v>
          </cell>
          <cell r="D179" t="str">
            <v>二次供水泵房精装修合同</v>
          </cell>
          <cell r="E179" t="str">
            <v>天津市岳鹏科技有限公司</v>
          </cell>
          <cell r="F179">
            <v>128000</v>
          </cell>
          <cell r="G179">
            <v>128000</v>
          </cell>
          <cell r="H179">
            <v>0</v>
          </cell>
          <cell r="I179">
            <v>128000</v>
          </cell>
          <cell r="J179">
            <v>0</v>
          </cell>
          <cell r="K179">
            <v>0</v>
          </cell>
        </row>
        <row r="180">
          <cell r="A180" t="str">
            <v>JXA-171</v>
          </cell>
          <cell r="B180" t="str">
            <v>合同在乙方盖章</v>
          </cell>
          <cell r="C180" t="str">
            <v>基燃表</v>
          </cell>
          <cell r="D180" t="str">
            <v>一期燃气表购销合同</v>
          </cell>
          <cell r="E180" t="str">
            <v>天津市罡世燃气科工贸发展有限公司</v>
          </cell>
          <cell r="F180">
            <v>182500</v>
          </cell>
          <cell r="G180">
            <v>182500</v>
          </cell>
          <cell r="H180">
            <v>0</v>
          </cell>
          <cell r="I180">
            <v>182500</v>
          </cell>
          <cell r="J180">
            <v>0</v>
          </cell>
          <cell r="K180">
            <v>0</v>
          </cell>
        </row>
        <row r="181">
          <cell r="A181" t="str">
            <v>JXA-172</v>
          </cell>
          <cell r="B181"/>
          <cell r="C181"/>
          <cell r="D181" t="str">
            <v>一期空调铁艺栏杆合同（除33#楼）</v>
          </cell>
          <cell r="E181"/>
          <cell r="F181"/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</row>
        <row r="182">
          <cell r="A182" t="str">
            <v>JXA-173</v>
          </cell>
          <cell r="B182" t="str">
            <v>2016.3.23</v>
          </cell>
          <cell r="C182" t="str">
            <v>基视讯</v>
          </cell>
          <cell r="D182" t="str">
            <v>通信线路工程设计合同</v>
          </cell>
          <cell r="E182" t="str">
            <v>天津市邮电设计院有限责任公司</v>
          </cell>
          <cell r="F182">
            <v>55000</v>
          </cell>
          <cell r="G182">
            <v>55000</v>
          </cell>
          <cell r="H182">
            <v>0</v>
          </cell>
          <cell r="I182">
            <v>55000</v>
          </cell>
          <cell r="J182">
            <v>0</v>
          </cell>
          <cell r="K182">
            <v>0</v>
          </cell>
        </row>
        <row r="183">
          <cell r="A183" t="str">
            <v>JXA-174</v>
          </cell>
          <cell r="B183" t="str">
            <v>合同在乙方盖章</v>
          </cell>
          <cell r="C183"/>
          <cell r="D183" t="str">
            <v>人防监理合同</v>
          </cell>
          <cell r="E183"/>
          <cell r="F183">
            <v>176805</v>
          </cell>
          <cell r="G183">
            <v>176805</v>
          </cell>
          <cell r="H183">
            <v>0</v>
          </cell>
          <cell r="I183">
            <v>176805</v>
          </cell>
          <cell r="J183">
            <v>0</v>
          </cell>
          <cell r="K183">
            <v>0</v>
          </cell>
        </row>
        <row r="184">
          <cell r="A184" t="str">
            <v>JXA-175</v>
          </cell>
          <cell r="B184" t="str">
            <v>2016.3.23</v>
          </cell>
          <cell r="C184" t="str">
            <v>基水</v>
          </cell>
          <cell r="D184" t="str">
            <v>给水、中水变频供水设备采购安装合同</v>
          </cell>
          <cell r="E184" t="str">
            <v>天津晨天自动化设备工程有限公司</v>
          </cell>
          <cell r="F184">
            <v>1050000</v>
          </cell>
          <cell r="G184">
            <v>1050000</v>
          </cell>
          <cell r="H184">
            <v>0</v>
          </cell>
          <cell r="I184">
            <v>1050000</v>
          </cell>
          <cell r="J184">
            <v>0</v>
          </cell>
          <cell r="K184">
            <v>0</v>
          </cell>
        </row>
        <row r="185">
          <cell r="A185" t="str">
            <v>JXA-176</v>
          </cell>
          <cell r="B185"/>
          <cell r="C185"/>
          <cell r="D185" t="str">
            <v>三期挡土墙施工</v>
          </cell>
          <cell r="E185"/>
          <cell r="F185"/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</row>
        <row r="186">
          <cell r="A186" t="str">
            <v>JXA-177</v>
          </cell>
          <cell r="B186" t="str">
            <v>2016.3.23</v>
          </cell>
          <cell r="C186" t="str">
            <v>建主</v>
          </cell>
          <cell r="D186" t="str">
            <v>一期（复式）钢质防盗门采购安装（不含33#楼6樘门）</v>
          </cell>
          <cell r="E186" t="str">
            <v>浙江福日工贸有限公司</v>
          </cell>
          <cell r="F186">
            <v>644860</v>
          </cell>
          <cell r="G186">
            <v>644860</v>
          </cell>
          <cell r="H186">
            <v>0</v>
          </cell>
          <cell r="I186">
            <v>644860</v>
          </cell>
          <cell r="J186">
            <v>0</v>
          </cell>
          <cell r="K186">
            <v>0</v>
          </cell>
        </row>
        <row r="187">
          <cell r="A187" t="str">
            <v>JXA-178W</v>
          </cell>
          <cell r="B187"/>
          <cell r="C187" t="str">
            <v>前勘绘</v>
          </cell>
          <cell r="D187" t="str">
            <v>二期测绘费</v>
          </cell>
          <cell r="E187"/>
          <cell r="F187">
            <v>5600</v>
          </cell>
          <cell r="G187">
            <v>5600</v>
          </cell>
          <cell r="H187">
            <v>0</v>
          </cell>
          <cell r="I187">
            <v>5600</v>
          </cell>
          <cell r="J187">
            <v>0</v>
          </cell>
          <cell r="K187">
            <v>0</v>
          </cell>
        </row>
        <row r="188">
          <cell r="A188" t="str">
            <v>JXA-179W</v>
          </cell>
          <cell r="B188"/>
          <cell r="C188" t="str">
            <v>前面</v>
          </cell>
          <cell r="D188" t="str">
            <v>二、三期前置面积测量费</v>
          </cell>
          <cell r="E188"/>
          <cell r="F188">
            <v>94393.59</v>
          </cell>
          <cell r="G188">
            <v>94393.59</v>
          </cell>
          <cell r="H188">
            <v>0</v>
          </cell>
          <cell r="I188">
            <v>94393.59</v>
          </cell>
          <cell r="J188">
            <v>0</v>
          </cell>
          <cell r="K188">
            <v>0</v>
          </cell>
        </row>
        <row r="189">
          <cell r="A189"/>
          <cell r="B189"/>
          <cell r="C189"/>
          <cell r="D189"/>
          <cell r="E189"/>
          <cell r="F189"/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</row>
        <row r="190">
          <cell r="A190"/>
          <cell r="B190"/>
          <cell r="C190"/>
          <cell r="D190"/>
          <cell r="E190"/>
          <cell r="F190"/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</row>
        <row r="191">
          <cell r="A191"/>
          <cell r="B191"/>
          <cell r="C191"/>
          <cell r="D191"/>
          <cell r="E191"/>
          <cell r="F191"/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</row>
        <row r="192">
          <cell r="A192"/>
          <cell r="B192"/>
          <cell r="C192"/>
          <cell r="D192"/>
          <cell r="E192"/>
          <cell r="F192"/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</row>
        <row r="193">
          <cell r="A193"/>
          <cell r="B193"/>
          <cell r="C193"/>
          <cell r="D193"/>
          <cell r="E193"/>
          <cell r="F193"/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</row>
        <row r="194">
          <cell r="A194"/>
          <cell r="B194"/>
          <cell r="C194"/>
          <cell r="D194"/>
          <cell r="E194"/>
          <cell r="F194"/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</row>
        <row r="195">
          <cell r="A195"/>
          <cell r="B195" t="str">
            <v>总计</v>
          </cell>
          <cell r="C195"/>
          <cell r="D195"/>
          <cell r="E195"/>
          <cell r="F195">
            <v>827556548.72000003</v>
          </cell>
          <cell r="G195">
            <v>825769107.72000003</v>
          </cell>
          <cell r="H195">
            <v>538762008.25999999</v>
          </cell>
          <cell r="I195">
            <v>825769107.72000003</v>
          </cell>
          <cell r="J195">
            <v>-1787441</v>
          </cell>
          <cell r="K195">
            <v>538812008.25999999</v>
          </cell>
        </row>
        <row r="196">
          <cell r="A196"/>
          <cell r="F196"/>
          <cell r="H196"/>
        </row>
        <row r="197">
          <cell r="A197"/>
          <cell r="E197"/>
          <cell r="F197">
            <v>38658256.090000004</v>
          </cell>
          <cell r="G197"/>
          <cell r="H197"/>
          <cell r="I197">
            <v>495527295.15999997</v>
          </cell>
          <cell r="J197">
            <v>-1824781</v>
          </cell>
          <cell r="K197">
            <v>423931042.59000003</v>
          </cell>
        </row>
        <row r="198">
          <cell r="A198"/>
          <cell r="F198"/>
          <cell r="H198"/>
        </row>
        <row r="199">
          <cell r="A199"/>
          <cell r="D199" t="str">
            <v xml:space="preserve"> </v>
          </cell>
          <cell r="E199"/>
          <cell r="H199"/>
        </row>
        <row r="200">
          <cell r="A200"/>
          <cell r="B200" t="str">
            <v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H200"/>
        </row>
        <row r="201">
          <cell r="A201"/>
          <cell r="K201"/>
        </row>
        <row r="202">
          <cell r="A202"/>
          <cell r="D202"/>
          <cell r="E202" t="str">
            <v>土地费</v>
          </cell>
          <cell r="F202">
            <v>395284264.17000002</v>
          </cell>
          <cell r="G202"/>
          <cell r="H202" t="str">
            <v>土</v>
          </cell>
        </row>
        <row r="203">
          <cell r="A203"/>
          <cell r="D203"/>
          <cell r="E203" t="str">
            <v>前期费</v>
          </cell>
          <cell r="F203">
            <v>11354020.17</v>
          </cell>
          <cell r="G203"/>
          <cell r="H203" t="str">
            <v>前</v>
          </cell>
          <cell r="K203"/>
        </row>
        <row r="204">
          <cell r="A204"/>
          <cell r="D204"/>
          <cell r="E204" t="str">
            <v>基础设施费</v>
          </cell>
          <cell r="F204">
            <v>0</v>
          </cell>
          <cell r="G204"/>
          <cell r="H204" t="str">
            <v>基</v>
          </cell>
        </row>
        <row r="205">
          <cell r="A205"/>
          <cell r="D205"/>
          <cell r="E205" t="str">
            <v>建安费</v>
          </cell>
          <cell r="F205">
            <v>3312076.7999999998</v>
          </cell>
          <cell r="G205"/>
          <cell r="H205" t="str">
            <v>建</v>
          </cell>
        </row>
        <row r="206">
          <cell r="A206"/>
          <cell r="D206"/>
          <cell r="E206" t="str">
            <v>市政配套费</v>
          </cell>
          <cell r="F206">
            <v>0</v>
          </cell>
          <cell r="G206"/>
          <cell r="H206" t="str">
            <v>公</v>
          </cell>
        </row>
        <row r="207">
          <cell r="A207"/>
          <cell r="D207"/>
          <cell r="E207" t="str">
            <v>销售费用</v>
          </cell>
          <cell r="F207">
            <v>0</v>
          </cell>
          <cell r="G207"/>
          <cell r="H207" t="str">
            <v>销</v>
          </cell>
        </row>
        <row r="208">
          <cell r="A208"/>
          <cell r="D208"/>
          <cell r="F208" t="e">
            <v>#REF!</v>
          </cell>
        </row>
        <row r="209">
          <cell r="A209"/>
          <cell r="D209"/>
          <cell r="E209" t="str">
            <v>本月范围</v>
          </cell>
          <cell r="F209">
            <v>1</v>
          </cell>
          <cell r="G209"/>
        </row>
        <row r="210">
          <cell r="A210"/>
          <cell r="D210"/>
          <cell r="E210" t="str">
            <v>总条数</v>
          </cell>
          <cell r="F210">
            <v>3000</v>
          </cell>
          <cell r="G210"/>
        </row>
        <row r="211">
          <cell r="A211"/>
          <cell r="D211" t="str">
            <v>合同（本月）</v>
          </cell>
          <cell r="F211"/>
        </row>
        <row r="212">
          <cell r="A212"/>
          <cell r="D212"/>
          <cell r="E212" t="str">
            <v>月份</v>
          </cell>
          <cell r="F212" t="str">
            <v>本月</v>
          </cell>
          <cell r="G212" t="str">
            <v>总数</v>
          </cell>
        </row>
        <row r="213">
          <cell r="A213"/>
          <cell r="D213"/>
          <cell r="E213">
            <v>1</v>
          </cell>
          <cell r="F213">
            <v>4</v>
          </cell>
          <cell r="G213">
            <v>20</v>
          </cell>
          <cell r="K213" t="str">
            <v>拨款台帐!A1:A3000</v>
          </cell>
        </row>
        <row r="214">
          <cell r="A214"/>
          <cell r="D214"/>
          <cell r="E214">
            <v>2</v>
          </cell>
          <cell r="F214">
            <v>21</v>
          </cell>
          <cell r="G214">
            <v>24</v>
          </cell>
          <cell r="K214" t="str">
            <v>拨款台帐!C1:C3000</v>
          </cell>
        </row>
        <row r="215">
          <cell r="A215"/>
          <cell r="D215"/>
          <cell r="E215">
            <v>3</v>
          </cell>
          <cell r="F215">
            <v>25</v>
          </cell>
          <cell r="G215">
            <v>33</v>
          </cell>
          <cell r="K215" t="str">
            <v>拨款台帐!F1:F3000</v>
          </cell>
        </row>
        <row r="216">
          <cell r="A216"/>
          <cell r="D216"/>
          <cell r="E216">
            <v>4</v>
          </cell>
          <cell r="F216">
            <v>34</v>
          </cell>
          <cell r="G216">
            <v>41</v>
          </cell>
          <cell r="K216" t="str">
            <v>拨款台帐!A2:A3000</v>
          </cell>
        </row>
        <row r="217">
          <cell r="A217"/>
          <cell r="D217"/>
          <cell r="E217">
            <v>5</v>
          </cell>
          <cell r="F217">
            <v>42</v>
          </cell>
          <cell r="G217">
            <v>56</v>
          </cell>
          <cell r="H217"/>
          <cell r="K217" t="str">
            <v>拨款台帐!C2:C3000</v>
          </cell>
        </row>
        <row r="218">
          <cell r="A218"/>
          <cell r="D218"/>
          <cell r="E218">
            <v>6</v>
          </cell>
          <cell r="F218">
            <v>57</v>
          </cell>
          <cell r="G218">
            <v>65</v>
          </cell>
          <cell r="K218" t="str">
            <v>拨款台帐!F2:F3000</v>
          </cell>
        </row>
        <row r="219">
          <cell r="A219"/>
          <cell r="D219"/>
          <cell r="E219">
            <v>7</v>
          </cell>
          <cell r="F219">
            <v>66</v>
          </cell>
          <cell r="G219">
            <v>73</v>
          </cell>
        </row>
        <row r="220">
          <cell r="A220"/>
          <cell r="D220"/>
          <cell r="E220">
            <v>8</v>
          </cell>
          <cell r="F220">
            <v>74</v>
          </cell>
          <cell r="G220">
            <v>80</v>
          </cell>
        </row>
        <row r="221">
          <cell r="A221"/>
          <cell r="D221"/>
          <cell r="E221">
            <v>9</v>
          </cell>
          <cell r="F221">
            <v>81</v>
          </cell>
          <cell r="G221">
            <v>87</v>
          </cell>
        </row>
        <row r="222">
          <cell r="A222"/>
          <cell r="D222"/>
          <cell r="E222">
            <v>10</v>
          </cell>
          <cell r="F222">
            <v>88</v>
          </cell>
          <cell r="G222">
            <v>91</v>
          </cell>
        </row>
        <row r="223">
          <cell r="A223"/>
          <cell r="D223"/>
          <cell r="E223">
            <v>11</v>
          </cell>
          <cell r="F223">
            <v>92</v>
          </cell>
          <cell r="G223">
            <v>95</v>
          </cell>
        </row>
        <row r="224">
          <cell r="A224"/>
          <cell r="D224"/>
          <cell r="E224">
            <v>12</v>
          </cell>
          <cell r="F224">
            <v>96</v>
          </cell>
          <cell r="G224"/>
        </row>
        <row r="225">
          <cell r="A225"/>
          <cell r="D225"/>
          <cell r="E225"/>
          <cell r="F225"/>
          <cell r="G225"/>
        </row>
        <row r="226">
          <cell r="A226"/>
          <cell r="D226"/>
          <cell r="E226"/>
          <cell r="F226"/>
          <cell r="G226"/>
        </row>
        <row r="227">
          <cell r="A227"/>
        </row>
        <row r="228">
          <cell r="A228"/>
          <cell r="E228" t="str">
            <v>销售累计付款额</v>
          </cell>
          <cell r="F228" t="e">
            <v>#REF!</v>
          </cell>
          <cell r="G228"/>
        </row>
        <row r="229">
          <cell r="A229"/>
          <cell r="E229" t="str">
            <v>销售累计结算合同额</v>
          </cell>
          <cell r="F229">
            <v>2341209</v>
          </cell>
          <cell r="G229"/>
        </row>
        <row r="230">
          <cell r="A230"/>
          <cell r="E230" t="str">
            <v>本月销售合同额</v>
          </cell>
          <cell r="F230">
            <v>380940</v>
          </cell>
          <cell r="G230"/>
        </row>
      </sheetData>
      <sheetData sheetId="6"/>
      <sheetData sheetId="7"/>
      <sheetData sheetId="8"/>
      <sheetData sheetId="9"/>
      <sheetData sheetId="10">
        <row r="486">
          <cell r="E486">
            <v>648.05309999999997</v>
          </cell>
          <cell r="F486">
            <v>6481753.0500000007</v>
          </cell>
        </row>
        <row r="491">
          <cell r="E491">
            <v>62.356999999999999</v>
          </cell>
          <cell r="F491">
            <v>0</v>
          </cell>
        </row>
        <row r="494">
          <cell r="E494">
            <v>62.356999999999999</v>
          </cell>
          <cell r="F494">
            <v>0</v>
          </cell>
        </row>
        <row r="497">
          <cell r="E497">
            <v>10.392799999999999</v>
          </cell>
          <cell r="F497">
            <v>0</v>
          </cell>
        </row>
        <row r="500">
          <cell r="E500">
            <v>10.392799999999999</v>
          </cell>
          <cell r="F500">
            <v>0</v>
          </cell>
        </row>
        <row r="503">
          <cell r="E503">
            <v>0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55"/>
  <sheetViews>
    <sheetView workbookViewId="0"/>
  </sheetViews>
  <sheetFormatPr defaultColWidth="8.875" defaultRowHeight="12" x14ac:dyDescent="0.15"/>
  <cols>
    <col min="1" max="3" width="8.875" style="270"/>
    <col min="4" max="4" width="8.875" style="346"/>
    <col min="5" max="17" width="8.875" style="270"/>
    <col min="18" max="18" width="8.875" style="368"/>
    <col min="19" max="16384" width="8.875" style="270"/>
  </cols>
  <sheetData>
    <row r="1" spans="1:149" x14ac:dyDescent="0.15">
      <c r="A1" s="266"/>
      <c r="B1" s="267"/>
      <c r="C1" s="267"/>
      <c r="D1" s="268"/>
      <c r="E1" s="402" t="s">
        <v>1369</v>
      </c>
      <c r="F1" s="402"/>
      <c r="G1" s="402"/>
      <c r="H1" s="402"/>
      <c r="I1" s="402"/>
      <c r="J1" s="403" t="s">
        <v>1370</v>
      </c>
      <c r="K1" s="403"/>
      <c r="L1" s="403"/>
      <c r="M1" s="403"/>
      <c r="N1" s="403"/>
      <c r="O1" s="403"/>
      <c r="P1" s="403"/>
      <c r="Q1" s="403"/>
      <c r="R1" s="403"/>
      <c r="S1" s="403"/>
      <c r="T1" s="403"/>
      <c r="U1" s="403"/>
      <c r="V1" s="403"/>
      <c r="W1" s="403" t="s">
        <v>1371</v>
      </c>
      <c r="X1" s="403"/>
      <c r="Y1" s="403"/>
      <c r="Z1" s="403"/>
      <c r="AA1" s="403"/>
      <c r="AB1" s="403"/>
      <c r="AC1" s="403"/>
      <c r="AD1" s="403"/>
      <c r="AE1" s="403"/>
      <c r="AF1" s="403"/>
      <c r="AG1" s="403"/>
      <c r="AH1" s="403"/>
      <c r="AI1" s="403"/>
      <c r="AJ1" s="403" t="s">
        <v>1372</v>
      </c>
      <c r="AK1" s="403"/>
      <c r="AL1" s="403"/>
      <c r="AM1" s="403"/>
      <c r="AN1" s="403"/>
      <c r="AO1" s="403"/>
      <c r="AP1" s="403"/>
      <c r="AQ1" s="403"/>
      <c r="AR1" s="403"/>
      <c r="AS1" s="403"/>
      <c r="AT1" s="403"/>
      <c r="AU1" s="403"/>
      <c r="AV1" s="403"/>
      <c r="AW1" s="403" t="s">
        <v>1373</v>
      </c>
      <c r="AX1" s="403"/>
      <c r="AY1" s="403"/>
      <c r="AZ1" s="403"/>
      <c r="BA1" s="403"/>
      <c r="BB1" s="403"/>
      <c r="BC1" s="403"/>
      <c r="BD1" s="403"/>
      <c r="BE1" s="403"/>
      <c r="BF1" s="403"/>
      <c r="BG1" s="403"/>
      <c r="BH1" s="403"/>
      <c r="BI1" s="403"/>
      <c r="BJ1" s="404" t="s">
        <v>1374</v>
      </c>
      <c r="BK1" s="405"/>
      <c r="BL1" s="405"/>
      <c r="BM1" s="405"/>
      <c r="BN1" s="405"/>
      <c r="BO1" s="406"/>
      <c r="BP1" s="269" t="s">
        <v>1375</v>
      </c>
    </row>
    <row r="2" spans="1:149" s="281" customFormat="1" ht="24.75" x14ac:dyDescent="0.15">
      <c r="A2" s="271"/>
      <c r="B2" s="272"/>
      <c r="C2" s="273"/>
      <c r="D2" s="274" t="s">
        <v>1376</v>
      </c>
      <c r="E2" s="275" t="s">
        <v>1377</v>
      </c>
      <c r="F2" s="275" t="s">
        <v>1378</v>
      </c>
      <c r="G2" s="275" t="s">
        <v>1379</v>
      </c>
      <c r="H2" s="275" t="s">
        <v>1380</v>
      </c>
      <c r="I2" s="276" t="s">
        <v>1381</v>
      </c>
      <c r="J2" s="277" t="s">
        <v>1382</v>
      </c>
      <c r="K2" s="277" t="s">
        <v>1383</v>
      </c>
      <c r="L2" s="277" t="s">
        <v>1384</v>
      </c>
      <c r="M2" s="277" t="s">
        <v>1385</v>
      </c>
      <c r="N2" s="277" t="s">
        <v>1386</v>
      </c>
      <c r="O2" s="277" t="s">
        <v>1387</v>
      </c>
      <c r="P2" s="278">
        <v>42210</v>
      </c>
      <c r="Q2" s="277" t="s">
        <v>1388</v>
      </c>
      <c r="R2" s="277" t="s">
        <v>1389</v>
      </c>
      <c r="S2" s="277" t="s">
        <v>1378</v>
      </c>
      <c r="T2" s="277" t="s">
        <v>1379</v>
      </c>
      <c r="U2" s="277" t="s">
        <v>1380</v>
      </c>
      <c r="V2" s="276" t="s">
        <v>1390</v>
      </c>
      <c r="W2" s="277" t="s">
        <v>1382</v>
      </c>
      <c r="X2" s="277" t="s">
        <v>1383</v>
      </c>
      <c r="Y2" s="277" t="s">
        <v>1384</v>
      </c>
      <c r="Z2" s="277" t="s">
        <v>1385</v>
      </c>
      <c r="AA2" s="277" t="s">
        <v>1391</v>
      </c>
      <c r="AB2" s="277" t="s">
        <v>1387</v>
      </c>
      <c r="AC2" s="277" t="s">
        <v>1392</v>
      </c>
      <c r="AD2" s="277" t="s">
        <v>1388</v>
      </c>
      <c r="AE2" s="277" t="s">
        <v>1377</v>
      </c>
      <c r="AF2" s="277" t="s">
        <v>1393</v>
      </c>
      <c r="AG2" s="277" t="s">
        <v>1394</v>
      </c>
      <c r="AH2" s="277" t="s">
        <v>1395</v>
      </c>
      <c r="AI2" s="276" t="s">
        <v>1396</v>
      </c>
      <c r="AJ2" s="277" t="s">
        <v>1382</v>
      </c>
      <c r="AK2" s="277" t="s">
        <v>1383</v>
      </c>
      <c r="AL2" s="277" t="s">
        <v>1384</v>
      </c>
      <c r="AM2" s="277" t="s">
        <v>1385</v>
      </c>
      <c r="AN2" s="277" t="s">
        <v>1386</v>
      </c>
      <c r="AO2" s="277" t="s">
        <v>1387</v>
      </c>
      <c r="AP2" s="277" t="s">
        <v>1392</v>
      </c>
      <c r="AQ2" s="277" t="s">
        <v>1388</v>
      </c>
      <c r="AR2" s="277" t="s">
        <v>1389</v>
      </c>
      <c r="AS2" s="277" t="s">
        <v>1378</v>
      </c>
      <c r="AT2" s="277" t="s">
        <v>1379</v>
      </c>
      <c r="AU2" s="277" t="s">
        <v>1380</v>
      </c>
      <c r="AV2" s="276" t="s">
        <v>1397</v>
      </c>
      <c r="AW2" s="277" t="s">
        <v>1382</v>
      </c>
      <c r="AX2" s="277" t="s">
        <v>1383</v>
      </c>
      <c r="AY2" s="277" t="s">
        <v>1384</v>
      </c>
      <c r="AZ2" s="277" t="s">
        <v>1385</v>
      </c>
      <c r="BA2" s="277" t="s">
        <v>1386</v>
      </c>
      <c r="BB2" s="277" t="s">
        <v>1387</v>
      </c>
      <c r="BC2" s="277" t="s">
        <v>1392</v>
      </c>
      <c r="BD2" s="277" t="s">
        <v>1388</v>
      </c>
      <c r="BE2" s="277" t="s">
        <v>1389</v>
      </c>
      <c r="BF2" s="277" t="s">
        <v>1378</v>
      </c>
      <c r="BG2" s="277" t="s">
        <v>1379</v>
      </c>
      <c r="BH2" s="277" t="s">
        <v>1380</v>
      </c>
      <c r="BI2" s="276" t="s">
        <v>1398</v>
      </c>
      <c r="BJ2" s="279" t="s">
        <v>1399</v>
      </c>
      <c r="BK2" s="279" t="s">
        <v>1400</v>
      </c>
      <c r="BL2" s="279" t="s">
        <v>1401</v>
      </c>
      <c r="BM2" s="279" t="s">
        <v>1402</v>
      </c>
      <c r="BN2" s="279" t="s">
        <v>1403</v>
      </c>
      <c r="BO2" s="279" t="s">
        <v>1404</v>
      </c>
      <c r="BP2" s="280" t="s">
        <v>1405</v>
      </c>
    </row>
    <row r="3" spans="1:149" s="281" customFormat="1" ht="48" x14ac:dyDescent="0.15">
      <c r="A3" s="398" t="s">
        <v>1406</v>
      </c>
      <c r="B3" s="399"/>
      <c r="C3" s="399"/>
      <c r="D3" s="399"/>
      <c r="E3" s="282"/>
      <c r="F3" s="282"/>
      <c r="H3" s="282"/>
      <c r="I3" s="283"/>
      <c r="J3" s="282"/>
      <c r="K3" s="282"/>
      <c r="L3" s="282"/>
      <c r="O3" s="284" t="s">
        <v>1407</v>
      </c>
      <c r="P3" s="285" t="s">
        <v>1408</v>
      </c>
      <c r="Q3" s="282"/>
      <c r="S3" s="285" t="s">
        <v>1409</v>
      </c>
      <c r="U3" s="286"/>
      <c r="V3" s="287"/>
      <c r="W3" s="285" t="s">
        <v>1410</v>
      </c>
      <c r="X3" s="282"/>
      <c r="Y3" s="286"/>
      <c r="Z3" s="286"/>
      <c r="AA3" s="285" t="s">
        <v>1411</v>
      </c>
      <c r="AB3" s="286"/>
      <c r="AC3" s="286"/>
      <c r="AD3" s="286" t="s">
        <v>1412</v>
      </c>
      <c r="AE3" s="285" t="s">
        <v>1413</v>
      </c>
      <c r="AG3" s="282"/>
      <c r="AH3" s="282"/>
      <c r="AI3" s="287"/>
      <c r="AJ3" s="282"/>
      <c r="AK3" s="282"/>
      <c r="AL3" s="288"/>
      <c r="AM3" s="285" t="s">
        <v>1409</v>
      </c>
      <c r="AN3" s="282"/>
      <c r="AO3" s="282"/>
      <c r="AP3" s="282"/>
      <c r="AQ3" s="282"/>
      <c r="AR3" s="285" t="s">
        <v>1409</v>
      </c>
      <c r="AS3" s="288"/>
      <c r="AT3" s="282"/>
      <c r="AU3" s="282"/>
      <c r="AV3" s="289"/>
      <c r="AW3" s="282"/>
      <c r="AX3" s="282"/>
      <c r="AY3" s="288"/>
      <c r="AZ3" s="288"/>
      <c r="BA3" s="288"/>
      <c r="BB3" s="288"/>
      <c r="BC3" s="288"/>
      <c r="BD3" s="288"/>
      <c r="BE3" s="288"/>
      <c r="BF3" s="288"/>
      <c r="BG3" s="288"/>
      <c r="BH3" s="288"/>
      <c r="BI3" s="290"/>
      <c r="BJ3" s="291"/>
      <c r="BK3" s="291"/>
      <c r="BL3" s="291"/>
      <c r="BM3" s="291"/>
      <c r="BN3" s="291"/>
      <c r="BO3" s="291"/>
      <c r="BP3" s="292"/>
    </row>
    <row r="4" spans="1:149" x14ac:dyDescent="0.15">
      <c r="A4" s="371" t="s">
        <v>1414</v>
      </c>
      <c r="B4" s="371" t="s">
        <v>1415</v>
      </c>
      <c r="C4" s="293" t="s">
        <v>1416</v>
      </c>
      <c r="D4" s="294">
        <v>192</v>
      </c>
      <c r="E4" s="295">
        <v>0</v>
      </c>
      <c r="F4" s="295">
        <v>0</v>
      </c>
      <c r="G4" s="295">
        <v>0</v>
      </c>
      <c r="H4" s="295">
        <v>0</v>
      </c>
      <c r="I4" s="296">
        <f t="shared" ref="I4:I9" si="0">SUM(E4:H4)</f>
        <v>0</v>
      </c>
      <c r="J4" s="295">
        <v>0</v>
      </c>
      <c r="K4" s="295">
        <v>0</v>
      </c>
      <c r="L4" s="295">
        <v>0</v>
      </c>
      <c r="M4" s="295">
        <v>0</v>
      </c>
      <c r="N4" s="295"/>
      <c r="O4" s="295"/>
      <c r="P4" s="295">
        <v>17</v>
      </c>
      <c r="Q4" s="295">
        <v>9</v>
      </c>
      <c r="R4" s="295">
        <v>9</v>
      </c>
      <c r="S4" s="295">
        <v>19</v>
      </c>
      <c r="T4" s="295">
        <v>2</v>
      </c>
      <c r="U4" s="295">
        <v>4</v>
      </c>
      <c r="V4" s="296">
        <f t="shared" ref="V4:V9" si="1">SUM(J4:U4)</f>
        <v>60</v>
      </c>
      <c r="W4" s="295">
        <v>8</v>
      </c>
      <c r="X4" s="295">
        <v>4</v>
      </c>
      <c r="Y4" s="295">
        <v>5</v>
      </c>
      <c r="Z4" s="295">
        <v>5</v>
      </c>
      <c r="AA4" s="295">
        <v>5</v>
      </c>
      <c r="AB4" s="295">
        <v>6</v>
      </c>
      <c r="AC4" s="295">
        <v>5</v>
      </c>
      <c r="AD4" s="295">
        <v>5</v>
      </c>
      <c r="AE4" s="295">
        <v>7</v>
      </c>
      <c r="AF4" s="295">
        <v>5</v>
      </c>
      <c r="AG4" s="295">
        <v>5</v>
      </c>
      <c r="AH4" s="295">
        <v>5</v>
      </c>
      <c r="AI4" s="296">
        <f t="shared" ref="AI4:AI9" si="2">SUM(W4:AH4)</f>
        <v>65</v>
      </c>
      <c r="AJ4" s="295">
        <v>5</v>
      </c>
      <c r="AK4" s="295">
        <v>4</v>
      </c>
      <c r="AL4" s="295">
        <v>5</v>
      </c>
      <c r="AM4" s="295">
        <v>7</v>
      </c>
      <c r="AN4" s="295">
        <v>5</v>
      </c>
      <c r="AO4" s="295">
        <v>5</v>
      </c>
      <c r="AP4" s="295">
        <v>5</v>
      </c>
      <c r="AQ4" s="295">
        <v>4</v>
      </c>
      <c r="AR4" s="295">
        <v>7</v>
      </c>
      <c r="AS4" s="295">
        <v>5</v>
      </c>
      <c r="AT4" s="295">
        <v>4</v>
      </c>
      <c r="AU4" s="295">
        <v>5</v>
      </c>
      <c r="AV4" s="296">
        <f t="shared" ref="AV4:AV9" si="3">SUM(AJ4:AU4)</f>
        <v>61</v>
      </c>
      <c r="AW4" s="295">
        <v>5</v>
      </c>
      <c r="AX4" s="295">
        <v>1</v>
      </c>
      <c r="AY4" s="295">
        <v>0</v>
      </c>
      <c r="AZ4" s="295">
        <v>0</v>
      </c>
      <c r="BA4" s="295">
        <v>0</v>
      </c>
      <c r="BB4" s="295">
        <v>0</v>
      </c>
      <c r="BC4" s="295">
        <v>0</v>
      </c>
      <c r="BD4" s="295">
        <v>0</v>
      </c>
      <c r="BE4" s="295">
        <v>0</v>
      </c>
      <c r="BF4" s="295">
        <v>0</v>
      </c>
      <c r="BG4" s="295"/>
      <c r="BH4" s="295"/>
      <c r="BI4" s="296">
        <f t="shared" ref="BI4:BI9" si="4">SUM(AW4:BH4)</f>
        <v>6</v>
      </c>
      <c r="BJ4" s="297"/>
      <c r="BK4" s="297"/>
      <c r="BL4" s="297"/>
      <c r="BM4" s="297"/>
      <c r="BN4" s="297"/>
      <c r="BO4" s="297"/>
      <c r="BP4" s="298">
        <f t="shared" ref="BP4:BP9" si="5">I4+V4+AI4+AV4+BI4</f>
        <v>192</v>
      </c>
      <c r="BQ4" s="299">
        <f>BP4-D4</f>
        <v>0</v>
      </c>
      <c r="BR4" s="299"/>
      <c r="BS4" s="299"/>
      <c r="BT4" s="299"/>
      <c r="BU4" s="299"/>
      <c r="BV4" s="299"/>
      <c r="BW4" s="299"/>
      <c r="BX4" s="299"/>
      <c r="BY4" s="299"/>
      <c r="BZ4" s="299"/>
      <c r="CA4" s="299"/>
      <c r="CB4" s="299"/>
      <c r="CC4" s="299"/>
      <c r="CD4" s="299"/>
      <c r="CE4" s="299"/>
      <c r="CF4" s="299"/>
      <c r="CG4" s="299"/>
      <c r="CH4" s="299"/>
      <c r="CI4" s="299"/>
      <c r="CJ4" s="299"/>
      <c r="CK4" s="299"/>
      <c r="CL4" s="299"/>
      <c r="CM4" s="299"/>
      <c r="CN4" s="299"/>
      <c r="CO4" s="299"/>
      <c r="CP4" s="299"/>
      <c r="CQ4" s="299"/>
      <c r="CR4" s="299"/>
      <c r="CS4" s="299"/>
      <c r="CT4" s="299"/>
      <c r="CU4" s="299"/>
      <c r="CV4" s="299"/>
      <c r="CW4" s="299"/>
      <c r="CX4" s="299"/>
      <c r="CY4" s="299"/>
      <c r="CZ4" s="299"/>
      <c r="DA4" s="299"/>
      <c r="DB4" s="299"/>
      <c r="DC4" s="299"/>
      <c r="DD4" s="299"/>
      <c r="DE4" s="299"/>
      <c r="DF4" s="299"/>
      <c r="DG4" s="299"/>
      <c r="DH4" s="299"/>
      <c r="DI4" s="299"/>
      <c r="DJ4" s="299"/>
      <c r="DK4" s="299"/>
      <c r="DL4" s="299"/>
      <c r="DM4" s="299"/>
      <c r="DN4" s="299"/>
      <c r="DO4" s="299"/>
      <c r="DP4" s="299"/>
      <c r="DQ4" s="299"/>
      <c r="DR4" s="299"/>
      <c r="DS4" s="299"/>
      <c r="DT4" s="299"/>
      <c r="DU4" s="299"/>
      <c r="DV4" s="299"/>
      <c r="DW4" s="299"/>
      <c r="DX4" s="299"/>
      <c r="DY4" s="299"/>
      <c r="DZ4" s="299"/>
      <c r="EA4" s="299"/>
      <c r="EB4" s="299"/>
      <c r="EC4" s="299"/>
      <c r="ED4" s="299"/>
      <c r="EE4" s="299"/>
      <c r="EF4" s="299"/>
      <c r="EG4" s="299"/>
      <c r="EH4" s="299"/>
      <c r="EI4" s="299"/>
      <c r="EJ4" s="299"/>
      <c r="EK4" s="299"/>
      <c r="EL4" s="299"/>
      <c r="EM4" s="299"/>
      <c r="EN4" s="299"/>
      <c r="EO4" s="299"/>
      <c r="EP4" s="299"/>
      <c r="EQ4" s="299"/>
      <c r="ER4" s="299"/>
      <c r="ES4" s="299"/>
    </row>
    <row r="5" spans="1:149" x14ac:dyDescent="0.15">
      <c r="A5" s="371"/>
      <c r="B5" s="371"/>
      <c r="C5" s="293" t="s">
        <v>1417</v>
      </c>
      <c r="D5" s="294">
        <v>143</v>
      </c>
      <c r="E5" s="295">
        <f>E4*D5</f>
        <v>0</v>
      </c>
      <c r="F5" s="295">
        <f>F4*D5</f>
        <v>0</v>
      </c>
      <c r="G5" s="295">
        <f>G4*D5</f>
        <v>0</v>
      </c>
      <c r="H5" s="295">
        <f>H4*D5</f>
        <v>0</v>
      </c>
      <c r="I5" s="296">
        <f t="shared" si="0"/>
        <v>0</v>
      </c>
      <c r="J5" s="295">
        <f>J4*D5</f>
        <v>0</v>
      </c>
      <c r="K5" s="295">
        <f>K4*D5</f>
        <v>0</v>
      </c>
      <c r="L5" s="295">
        <f>L4*D5</f>
        <v>0</v>
      </c>
      <c r="M5" s="295">
        <f>M4*D5</f>
        <v>0</v>
      </c>
      <c r="N5" s="295">
        <f>N4*D5</f>
        <v>0</v>
      </c>
      <c r="O5" s="295">
        <f>O4*D5</f>
        <v>0</v>
      </c>
      <c r="P5" s="295">
        <f>P4*D5</f>
        <v>2431</v>
      </c>
      <c r="Q5" s="295">
        <f>Q4*D5</f>
        <v>1287</v>
      </c>
      <c r="R5" s="295">
        <f>R4*D5</f>
        <v>1287</v>
      </c>
      <c r="S5" s="295">
        <f>S4*D5</f>
        <v>2717</v>
      </c>
      <c r="T5" s="295">
        <f>T4*D5</f>
        <v>286</v>
      </c>
      <c r="U5" s="295">
        <f>U4*D5</f>
        <v>572</v>
      </c>
      <c r="V5" s="296">
        <f t="shared" si="1"/>
        <v>8580</v>
      </c>
      <c r="W5" s="295">
        <f>W4*D5</f>
        <v>1144</v>
      </c>
      <c r="X5" s="295">
        <f>X4*D5</f>
        <v>572</v>
      </c>
      <c r="Y5" s="295">
        <f>Y4*D5</f>
        <v>715</v>
      </c>
      <c r="Z5" s="295">
        <f>Z4*D5</f>
        <v>715</v>
      </c>
      <c r="AA5" s="295">
        <f>AA4*D5</f>
        <v>715</v>
      </c>
      <c r="AB5" s="295">
        <f>AB4*D5</f>
        <v>858</v>
      </c>
      <c r="AC5" s="295">
        <f>AC4*D5</f>
        <v>715</v>
      </c>
      <c r="AD5" s="295">
        <f>AD4*D5</f>
        <v>715</v>
      </c>
      <c r="AE5" s="295">
        <f>AE4*D5</f>
        <v>1001</v>
      </c>
      <c r="AF5" s="295">
        <f>AF4*D5</f>
        <v>715</v>
      </c>
      <c r="AG5" s="295">
        <f>AG4*D5</f>
        <v>715</v>
      </c>
      <c r="AH5" s="295">
        <f>AH4*D5</f>
        <v>715</v>
      </c>
      <c r="AI5" s="296">
        <f t="shared" si="2"/>
        <v>9295</v>
      </c>
      <c r="AJ5" s="295">
        <f>AJ4*D5</f>
        <v>715</v>
      </c>
      <c r="AK5" s="295">
        <f>AK4*D5</f>
        <v>572</v>
      </c>
      <c r="AL5" s="295">
        <f>AL4*D5</f>
        <v>715</v>
      </c>
      <c r="AM5" s="295">
        <f>AM4*D5</f>
        <v>1001</v>
      </c>
      <c r="AN5" s="295">
        <f>AN4*D5</f>
        <v>715</v>
      </c>
      <c r="AO5" s="295">
        <f>AO4*D5</f>
        <v>715</v>
      </c>
      <c r="AP5" s="295">
        <f>AP4*D5</f>
        <v>715</v>
      </c>
      <c r="AQ5" s="295">
        <f>AQ4*D5</f>
        <v>572</v>
      </c>
      <c r="AR5" s="295">
        <f>AR4*D5</f>
        <v>1001</v>
      </c>
      <c r="AS5" s="295">
        <f>AS4*D5</f>
        <v>715</v>
      </c>
      <c r="AT5" s="295">
        <f>AT4*D5</f>
        <v>572</v>
      </c>
      <c r="AU5" s="295">
        <f>AU4*D5</f>
        <v>715</v>
      </c>
      <c r="AV5" s="296">
        <f t="shared" si="3"/>
        <v>8723</v>
      </c>
      <c r="AW5" s="295">
        <f>AW4*D5</f>
        <v>715</v>
      </c>
      <c r="AX5" s="295">
        <f>AX4*D5</f>
        <v>143</v>
      </c>
      <c r="AY5" s="295">
        <f>AY4*D5</f>
        <v>0</v>
      </c>
      <c r="AZ5" s="295">
        <f>AZ4*D5</f>
        <v>0</v>
      </c>
      <c r="BA5" s="295">
        <f>BA4*D5</f>
        <v>0</v>
      </c>
      <c r="BB5" s="295">
        <f>BB4*D5</f>
        <v>0</v>
      </c>
      <c r="BC5" s="295">
        <f>BC4*D5</f>
        <v>0</v>
      </c>
      <c r="BD5" s="295">
        <f>BD4*D5</f>
        <v>0</v>
      </c>
      <c r="BE5" s="295">
        <f>BE4*D5</f>
        <v>0</v>
      </c>
      <c r="BF5" s="295">
        <f>BF4*D5</f>
        <v>0</v>
      </c>
      <c r="BG5" s="295">
        <f>BG4*D5</f>
        <v>0</v>
      </c>
      <c r="BH5" s="295">
        <f>BH4*D5</f>
        <v>0</v>
      </c>
      <c r="BI5" s="296">
        <f t="shared" si="4"/>
        <v>858</v>
      </c>
      <c r="BJ5" s="300"/>
      <c r="BK5" s="300"/>
      <c r="BL5" s="300"/>
      <c r="BM5" s="300"/>
      <c r="BN5" s="300"/>
      <c r="BO5" s="300"/>
      <c r="BP5" s="301">
        <f t="shared" si="5"/>
        <v>27456</v>
      </c>
      <c r="BQ5" s="299"/>
      <c r="BR5" s="299"/>
      <c r="BS5" s="299"/>
      <c r="BT5" s="299"/>
      <c r="BU5" s="299"/>
      <c r="BV5" s="299"/>
      <c r="BW5" s="299"/>
      <c r="BX5" s="299"/>
      <c r="BY5" s="299"/>
      <c r="BZ5" s="299"/>
      <c r="CA5" s="299"/>
      <c r="CB5" s="299"/>
      <c r="CC5" s="299"/>
      <c r="CD5" s="299"/>
      <c r="CE5" s="299"/>
      <c r="CF5" s="299"/>
      <c r="CG5" s="299"/>
      <c r="CH5" s="299"/>
      <c r="CI5" s="299"/>
      <c r="CJ5" s="299"/>
      <c r="CK5" s="299"/>
      <c r="CL5" s="299"/>
      <c r="CM5" s="299"/>
      <c r="CN5" s="299"/>
      <c r="CO5" s="299"/>
      <c r="CP5" s="299"/>
      <c r="CQ5" s="299"/>
      <c r="CR5" s="299"/>
      <c r="CS5" s="299"/>
      <c r="CT5" s="299"/>
      <c r="CU5" s="299"/>
      <c r="CV5" s="299"/>
      <c r="CW5" s="299"/>
      <c r="CX5" s="299"/>
      <c r="CY5" s="299"/>
      <c r="CZ5" s="299"/>
      <c r="DA5" s="299"/>
      <c r="DB5" s="299"/>
      <c r="DC5" s="299"/>
      <c r="DD5" s="299"/>
      <c r="DE5" s="299"/>
      <c r="DF5" s="299"/>
      <c r="DG5" s="299"/>
      <c r="DH5" s="299"/>
      <c r="DI5" s="299"/>
      <c r="DJ5" s="299"/>
      <c r="DK5" s="299"/>
      <c r="DL5" s="299"/>
      <c r="DM5" s="299"/>
      <c r="DN5" s="299"/>
      <c r="DO5" s="299"/>
      <c r="DP5" s="299"/>
      <c r="DQ5" s="299"/>
      <c r="DR5" s="299"/>
      <c r="DS5" s="299"/>
      <c r="DT5" s="299"/>
      <c r="DU5" s="299"/>
      <c r="DV5" s="299"/>
      <c r="DW5" s="299"/>
      <c r="DX5" s="299"/>
      <c r="DY5" s="299"/>
      <c r="DZ5" s="299"/>
      <c r="EA5" s="299"/>
      <c r="EB5" s="299"/>
      <c r="EC5" s="299"/>
      <c r="ED5" s="299"/>
      <c r="EE5" s="299"/>
      <c r="EF5" s="299"/>
      <c r="EG5" s="299"/>
      <c r="EH5" s="299"/>
      <c r="EI5" s="299"/>
      <c r="EJ5" s="299"/>
      <c r="EK5" s="299"/>
      <c r="EL5" s="299"/>
      <c r="EM5" s="299"/>
      <c r="EN5" s="299"/>
      <c r="EO5" s="299"/>
      <c r="EP5" s="299"/>
      <c r="EQ5" s="299"/>
      <c r="ER5" s="299"/>
      <c r="ES5" s="299"/>
    </row>
    <row r="6" spans="1:149" x14ac:dyDescent="0.15">
      <c r="A6" s="371"/>
      <c r="B6" s="371"/>
      <c r="C6" s="372" t="s">
        <v>1418</v>
      </c>
      <c r="D6" s="373"/>
      <c r="E6" s="296">
        <v>0</v>
      </c>
      <c r="F6" s="295">
        <v>0</v>
      </c>
      <c r="G6" s="295">
        <v>0</v>
      </c>
      <c r="H6" s="295">
        <v>0</v>
      </c>
      <c r="I6" s="302" t="e">
        <f>I7/I5*10000</f>
        <v>#DIV/0!</v>
      </c>
      <c r="J6" s="295">
        <v>0</v>
      </c>
      <c r="K6" s="295">
        <v>0</v>
      </c>
      <c r="L6" s="295">
        <v>0</v>
      </c>
      <c r="M6" s="295"/>
      <c r="N6" s="295"/>
      <c r="O6" s="295"/>
      <c r="P6" s="295">
        <v>11333</v>
      </c>
      <c r="Q6" s="295">
        <v>10800</v>
      </c>
      <c r="R6" s="295">
        <v>10925</v>
      </c>
      <c r="S6" s="295">
        <v>11940</v>
      </c>
      <c r="T6" s="295">
        <v>11760</v>
      </c>
      <c r="U6" s="295">
        <f t="shared" ref="U6:Z6" si="6">T6</f>
        <v>11760</v>
      </c>
      <c r="V6" s="302">
        <f>V7/V5*10000</f>
        <v>11426.766666666668</v>
      </c>
      <c r="W6" s="295">
        <f>U6+400</f>
        <v>12160</v>
      </c>
      <c r="X6" s="295">
        <f t="shared" si="6"/>
        <v>12160</v>
      </c>
      <c r="Y6" s="295">
        <f t="shared" si="6"/>
        <v>12160</v>
      </c>
      <c r="Z6" s="295">
        <f t="shared" si="6"/>
        <v>12160</v>
      </c>
      <c r="AA6" s="295">
        <f>Z6+200</f>
        <v>12360</v>
      </c>
      <c r="AB6" s="295">
        <f t="shared" ref="AB6:AD6" si="7">AA6</f>
        <v>12360</v>
      </c>
      <c r="AC6" s="295">
        <f t="shared" si="7"/>
        <v>12360</v>
      </c>
      <c r="AD6" s="295">
        <f t="shared" si="7"/>
        <v>12360</v>
      </c>
      <c r="AE6" s="295">
        <f>AD6+200</f>
        <v>12560</v>
      </c>
      <c r="AF6" s="295">
        <f t="shared" ref="AF6:AH6" si="8">AE6</f>
        <v>12560</v>
      </c>
      <c r="AG6" s="295">
        <f t="shared" si="8"/>
        <v>12560</v>
      </c>
      <c r="AH6" s="295">
        <f t="shared" si="8"/>
        <v>12560</v>
      </c>
      <c r="AI6" s="302">
        <f>AI7/AI5*10000</f>
        <v>12360.000000000002</v>
      </c>
      <c r="AJ6" s="295">
        <f>AH6</f>
        <v>12560</v>
      </c>
      <c r="AK6" s="295">
        <f t="shared" ref="AK6:AQ6" si="9">AJ6</f>
        <v>12560</v>
      </c>
      <c r="AL6" s="295">
        <f t="shared" si="9"/>
        <v>12560</v>
      </c>
      <c r="AM6" s="295">
        <f>AL6+200</f>
        <v>12760</v>
      </c>
      <c r="AN6" s="295">
        <f t="shared" si="9"/>
        <v>12760</v>
      </c>
      <c r="AO6" s="295">
        <f t="shared" si="9"/>
        <v>12760</v>
      </c>
      <c r="AP6" s="295">
        <f t="shared" si="9"/>
        <v>12760</v>
      </c>
      <c r="AQ6" s="295">
        <f t="shared" si="9"/>
        <v>12760</v>
      </c>
      <c r="AR6" s="295">
        <f>AQ6+200</f>
        <v>12960</v>
      </c>
      <c r="AS6" s="295">
        <f t="shared" ref="AS6:AU6" si="10">AR6</f>
        <v>12960</v>
      </c>
      <c r="AT6" s="295">
        <f t="shared" si="10"/>
        <v>12960</v>
      </c>
      <c r="AU6" s="295">
        <f t="shared" si="10"/>
        <v>12960</v>
      </c>
      <c r="AV6" s="302">
        <f>AV7/AV5*10000</f>
        <v>12782.950819672129</v>
      </c>
      <c r="AW6" s="295">
        <f>AU6+200</f>
        <v>13160</v>
      </c>
      <c r="AX6" s="295">
        <f t="shared" ref="AX6:BH6" si="11">AW6</f>
        <v>13160</v>
      </c>
      <c r="AY6" s="295">
        <f t="shared" si="11"/>
        <v>13160</v>
      </c>
      <c r="AZ6" s="295">
        <f t="shared" si="11"/>
        <v>13160</v>
      </c>
      <c r="BA6" s="295">
        <f t="shared" si="11"/>
        <v>13160</v>
      </c>
      <c r="BB6" s="295">
        <f t="shared" si="11"/>
        <v>13160</v>
      </c>
      <c r="BC6" s="295">
        <f t="shared" si="11"/>
        <v>13160</v>
      </c>
      <c r="BD6" s="295">
        <f t="shared" si="11"/>
        <v>13160</v>
      </c>
      <c r="BE6" s="295">
        <f t="shared" si="11"/>
        <v>13160</v>
      </c>
      <c r="BF6" s="295">
        <f t="shared" si="11"/>
        <v>13160</v>
      </c>
      <c r="BG6" s="295">
        <f t="shared" si="11"/>
        <v>13160</v>
      </c>
      <c r="BH6" s="295">
        <f t="shared" si="11"/>
        <v>13160</v>
      </c>
      <c r="BI6" s="302">
        <f>BI7/BI5*10000</f>
        <v>13160.000000000004</v>
      </c>
      <c r="BJ6" s="303"/>
      <c r="BK6" s="303"/>
      <c r="BL6" s="303"/>
      <c r="BM6" s="303"/>
      <c r="BN6" s="303"/>
      <c r="BO6" s="303"/>
      <c r="BP6" s="304">
        <f>BP7/BP5*10000</f>
        <v>12227.739583333334</v>
      </c>
      <c r="BQ6" s="299"/>
      <c r="BR6" s="299"/>
      <c r="BS6" s="299"/>
      <c r="BT6" s="299"/>
      <c r="BU6" s="299"/>
      <c r="BV6" s="299"/>
      <c r="BW6" s="299"/>
      <c r="BX6" s="299"/>
      <c r="BY6" s="299"/>
      <c r="BZ6" s="299"/>
      <c r="CA6" s="299"/>
      <c r="CB6" s="299"/>
      <c r="CC6" s="299"/>
      <c r="CD6" s="299"/>
      <c r="CE6" s="299"/>
      <c r="CF6" s="299"/>
      <c r="CG6" s="299"/>
      <c r="CH6" s="299"/>
      <c r="CI6" s="299"/>
      <c r="CJ6" s="299"/>
      <c r="CK6" s="299"/>
      <c r="CL6" s="299"/>
      <c r="CM6" s="299"/>
      <c r="CN6" s="299"/>
      <c r="CO6" s="299"/>
      <c r="CP6" s="299"/>
      <c r="CQ6" s="299"/>
      <c r="CR6" s="299"/>
      <c r="CS6" s="299"/>
      <c r="CT6" s="299"/>
      <c r="CU6" s="299"/>
      <c r="CV6" s="299"/>
      <c r="CW6" s="299"/>
      <c r="CX6" s="299"/>
      <c r="CY6" s="299"/>
      <c r="CZ6" s="299"/>
      <c r="DA6" s="299"/>
      <c r="DB6" s="299"/>
      <c r="DC6" s="299"/>
      <c r="DD6" s="299"/>
      <c r="DE6" s="299"/>
      <c r="DF6" s="299"/>
      <c r="DG6" s="299"/>
      <c r="DH6" s="299"/>
      <c r="DI6" s="299"/>
      <c r="DJ6" s="299"/>
      <c r="DK6" s="299"/>
      <c r="DL6" s="299"/>
      <c r="DM6" s="299"/>
      <c r="DN6" s="299"/>
      <c r="DO6" s="299"/>
      <c r="DP6" s="299"/>
      <c r="DQ6" s="299"/>
      <c r="DR6" s="299"/>
      <c r="DS6" s="299"/>
      <c r="DT6" s="299"/>
      <c r="DU6" s="299"/>
      <c r="DV6" s="299"/>
      <c r="DW6" s="299"/>
      <c r="DX6" s="299"/>
      <c r="DY6" s="299"/>
      <c r="DZ6" s="299"/>
      <c r="EA6" s="299"/>
      <c r="EB6" s="299"/>
      <c r="EC6" s="299"/>
      <c r="ED6" s="299"/>
      <c r="EE6" s="299"/>
      <c r="EF6" s="299"/>
      <c r="EG6" s="299"/>
      <c r="EH6" s="299"/>
      <c r="EI6" s="299"/>
      <c r="EJ6" s="299"/>
      <c r="EK6" s="299"/>
      <c r="EL6" s="299"/>
      <c r="EM6" s="299"/>
      <c r="EN6" s="299"/>
      <c r="EO6" s="299"/>
      <c r="EP6" s="299"/>
      <c r="EQ6" s="299"/>
      <c r="ER6" s="299"/>
      <c r="ES6" s="299"/>
    </row>
    <row r="7" spans="1:149" x14ac:dyDescent="0.15">
      <c r="A7" s="371"/>
      <c r="B7" s="371"/>
      <c r="C7" s="371" t="s">
        <v>1419</v>
      </c>
      <c r="D7" s="371"/>
      <c r="E7" s="293">
        <f t="shared" ref="E7:H7" si="12">E5*E6/10000</f>
        <v>0</v>
      </c>
      <c r="F7" s="293">
        <f t="shared" si="12"/>
        <v>0</v>
      </c>
      <c r="G7" s="293">
        <f t="shared" si="12"/>
        <v>0</v>
      </c>
      <c r="H7" s="293">
        <f t="shared" si="12"/>
        <v>0</v>
      </c>
      <c r="I7" s="296">
        <f t="shared" si="0"/>
        <v>0</v>
      </c>
      <c r="J7" s="295">
        <f t="shared" ref="J7:U7" si="13">J5*J6/10000</f>
        <v>0</v>
      </c>
      <c r="K7" s="295">
        <f t="shared" si="13"/>
        <v>0</v>
      </c>
      <c r="L7" s="295">
        <f t="shared" si="13"/>
        <v>0</v>
      </c>
      <c r="M7" s="295">
        <f t="shared" si="13"/>
        <v>0</v>
      </c>
      <c r="N7" s="295">
        <f t="shared" si="13"/>
        <v>0</v>
      </c>
      <c r="O7" s="295">
        <f t="shared" si="13"/>
        <v>0</v>
      </c>
      <c r="P7" s="295">
        <f t="shared" si="13"/>
        <v>2755.0522999999998</v>
      </c>
      <c r="Q7" s="295">
        <f t="shared" si="13"/>
        <v>1389.96</v>
      </c>
      <c r="R7" s="295">
        <f t="shared" si="13"/>
        <v>1406.0474999999999</v>
      </c>
      <c r="S7" s="295">
        <f t="shared" si="13"/>
        <v>3244.098</v>
      </c>
      <c r="T7" s="295">
        <f t="shared" si="13"/>
        <v>336.33600000000001</v>
      </c>
      <c r="U7" s="295">
        <f t="shared" si="13"/>
        <v>672.67200000000003</v>
      </c>
      <c r="V7" s="296">
        <f t="shared" si="1"/>
        <v>9804.1658000000007</v>
      </c>
      <c r="W7" s="295">
        <f t="shared" ref="W7:AH7" si="14">W5*W6/10000</f>
        <v>1391.104</v>
      </c>
      <c r="X7" s="295">
        <f t="shared" si="14"/>
        <v>695.55200000000002</v>
      </c>
      <c r="Y7" s="295">
        <f t="shared" si="14"/>
        <v>869.44</v>
      </c>
      <c r="Z7" s="295">
        <f t="shared" si="14"/>
        <v>869.44</v>
      </c>
      <c r="AA7" s="295">
        <f t="shared" si="14"/>
        <v>883.74</v>
      </c>
      <c r="AB7" s="295">
        <f t="shared" si="14"/>
        <v>1060.4880000000001</v>
      </c>
      <c r="AC7" s="295">
        <f t="shared" si="14"/>
        <v>883.74</v>
      </c>
      <c r="AD7" s="295">
        <f t="shared" si="14"/>
        <v>883.74</v>
      </c>
      <c r="AE7" s="295">
        <f t="shared" si="14"/>
        <v>1257.2560000000001</v>
      </c>
      <c r="AF7" s="295">
        <f t="shared" si="14"/>
        <v>898.04</v>
      </c>
      <c r="AG7" s="295">
        <f t="shared" si="14"/>
        <v>898.04</v>
      </c>
      <c r="AH7" s="295">
        <f t="shared" si="14"/>
        <v>898.04</v>
      </c>
      <c r="AI7" s="305">
        <f t="shared" si="2"/>
        <v>11488.620000000003</v>
      </c>
      <c r="AJ7" s="295">
        <f>AJ5*AJ6/10000</f>
        <v>898.04</v>
      </c>
      <c r="AK7" s="295">
        <f t="shared" ref="AK7:AU7" si="15">AK5*AK6/10000</f>
        <v>718.43200000000002</v>
      </c>
      <c r="AL7" s="295">
        <f t="shared" si="15"/>
        <v>898.04</v>
      </c>
      <c r="AM7" s="295">
        <f t="shared" si="15"/>
        <v>1277.2760000000001</v>
      </c>
      <c r="AN7" s="295">
        <f t="shared" si="15"/>
        <v>912.34</v>
      </c>
      <c r="AO7" s="295">
        <f t="shared" si="15"/>
        <v>912.34</v>
      </c>
      <c r="AP7" s="295">
        <f t="shared" si="15"/>
        <v>912.34</v>
      </c>
      <c r="AQ7" s="295">
        <f t="shared" si="15"/>
        <v>729.87199999999996</v>
      </c>
      <c r="AR7" s="295">
        <f t="shared" si="15"/>
        <v>1297.296</v>
      </c>
      <c r="AS7" s="295">
        <f t="shared" si="15"/>
        <v>926.64</v>
      </c>
      <c r="AT7" s="295">
        <f t="shared" si="15"/>
        <v>741.31200000000001</v>
      </c>
      <c r="AU7" s="295">
        <f t="shared" si="15"/>
        <v>926.64</v>
      </c>
      <c r="AV7" s="305">
        <f t="shared" si="3"/>
        <v>11150.567999999999</v>
      </c>
      <c r="AW7" s="295">
        <f>AW5*AW6/10000</f>
        <v>940.94</v>
      </c>
      <c r="AX7" s="295">
        <f t="shared" ref="AX7:BH7" si="16">AX5*AX6/10000</f>
        <v>188.18799999999999</v>
      </c>
      <c r="AY7" s="295">
        <f t="shared" si="16"/>
        <v>0</v>
      </c>
      <c r="AZ7" s="295">
        <f t="shared" si="16"/>
        <v>0</v>
      </c>
      <c r="BA7" s="295">
        <f t="shared" si="16"/>
        <v>0</v>
      </c>
      <c r="BB7" s="295">
        <f t="shared" si="16"/>
        <v>0</v>
      </c>
      <c r="BC7" s="295">
        <f t="shared" si="16"/>
        <v>0</v>
      </c>
      <c r="BD7" s="295">
        <f t="shared" si="16"/>
        <v>0</v>
      </c>
      <c r="BE7" s="295">
        <f t="shared" si="16"/>
        <v>0</v>
      </c>
      <c r="BF7" s="295">
        <f t="shared" si="16"/>
        <v>0</v>
      </c>
      <c r="BG7" s="295">
        <f t="shared" si="16"/>
        <v>0</v>
      </c>
      <c r="BH7" s="295">
        <f t="shared" si="16"/>
        <v>0</v>
      </c>
      <c r="BI7" s="296">
        <f t="shared" si="4"/>
        <v>1129.1280000000002</v>
      </c>
      <c r="BJ7" s="300"/>
      <c r="BK7" s="300"/>
      <c r="BL7" s="300"/>
      <c r="BM7" s="300"/>
      <c r="BN7" s="300"/>
      <c r="BO7" s="300"/>
      <c r="BP7" s="301">
        <f t="shared" si="5"/>
        <v>33572.481800000001</v>
      </c>
      <c r="BQ7" s="299"/>
      <c r="BR7" s="299"/>
      <c r="BS7" s="299"/>
      <c r="BT7" s="299"/>
      <c r="BU7" s="299"/>
      <c r="BV7" s="299"/>
      <c r="BW7" s="299"/>
      <c r="BX7" s="299"/>
      <c r="BY7" s="299"/>
      <c r="BZ7" s="299"/>
      <c r="CA7" s="299"/>
      <c r="CB7" s="299"/>
      <c r="CC7" s="299"/>
      <c r="CD7" s="299"/>
      <c r="CE7" s="299"/>
      <c r="CF7" s="299"/>
      <c r="CG7" s="299"/>
      <c r="CH7" s="299"/>
      <c r="CI7" s="299"/>
      <c r="CJ7" s="299"/>
      <c r="CK7" s="299"/>
      <c r="CL7" s="299"/>
      <c r="CM7" s="299"/>
      <c r="CN7" s="299"/>
      <c r="CO7" s="299"/>
      <c r="CP7" s="299"/>
      <c r="CQ7" s="299"/>
      <c r="CR7" s="299"/>
      <c r="CS7" s="299"/>
      <c r="CT7" s="299"/>
      <c r="CU7" s="299"/>
      <c r="CV7" s="299"/>
      <c r="CW7" s="299"/>
      <c r="CX7" s="299"/>
      <c r="CY7" s="299"/>
      <c r="CZ7" s="299"/>
      <c r="DA7" s="299"/>
      <c r="DB7" s="299"/>
      <c r="DC7" s="299"/>
      <c r="DD7" s="299"/>
      <c r="DE7" s="299"/>
      <c r="DF7" s="299"/>
      <c r="DG7" s="299"/>
      <c r="DH7" s="299"/>
      <c r="DI7" s="299"/>
      <c r="DJ7" s="299"/>
      <c r="DK7" s="299"/>
      <c r="DL7" s="299"/>
      <c r="DM7" s="299"/>
      <c r="DN7" s="299"/>
      <c r="DO7" s="299"/>
      <c r="DP7" s="299"/>
      <c r="DQ7" s="299"/>
      <c r="DR7" s="299"/>
      <c r="DS7" s="299"/>
      <c r="DT7" s="299"/>
      <c r="DU7" s="299"/>
      <c r="DV7" s="299"/>
      <c r="DW7" s="299"/>
      <c r="DX7" s="299"/>
      <c r="DY7" s="299"/>
      <c r="DZ7" s="299"/>
      <c r="EA7" s="299"/>
      <c r="EB7" s="299"/>
      <c r="EC7" s="299"/>
      <c r="ED7" s="299"/>
      <c r="EE7" s="299"/>
      <c r="EF7" s="299"/>
      <c r="EG7" s="299"/>
      <c r="EH7" s="299"/>
      <c r="EI7" s="299"/>
      <c r="EJ7" s="299"/>
      <c r="EK7" s="299"/>
      <c r="EL7" s="299"/>
      <c r="EM7" s="299"/>
      <c r="EN7" s="299"/>
      <c r="EO7" s="299"/>
      <c r="EP7" s="299"/>
      <c r="EQ7" s="299"/>
      <c r="ER7" s="299"/>
      <c r="ES7" s="299"/>
    </row>
    <row r="8" spans="1:149" x14ac:dyDescent="0.15">
      <c r="A8" s="371"/>
      <c r="B8" s="371" t="s">
        <v>1420</v>
      </c>
      <c r="C8" s="293" t="s">
        <v>1416</v>
      </c>
      <c r="D8" s="294">
        <v>192</v>
      </c>
      <c r="E8" s="295">
        <v>0</v>
      </c>
      <c r="F8" s="295">
        <v>0</v>
      </c>
      <c r="G8" s="295">
        <v>0</v>
      </c>
      <c r="H8" s="295">
        <v>0</v>
      </c>
      <c r="I8" s="296">
        <f t="shared" si="0"/>
        <v>0</v>
      </c>
      <c r="J8" s="295">
        <v>0</v>
      </c>
      <c r="K8" s="295">
        <v>0</v>
      </c>
      <c r="L8" s="295">
        <v>0</v>
      </c>
      <c r="M8" s="295">
        <v>0</v>
      </c>
      <c r="N8" s="295"/>
      <c r="O8" s="295"/>
      <c r="P8" s="295">
        <v>10</v>
      </c>
      <c r="Q8" s="295">
        <v>5</v>
      </c>
      <c r="R8" s="295">
        <v>8</v>
      </c>
      <c r="S8" s="295">
        <v>10</v>
      </c>
      <c r="T8" s="295">
        <v>9</v>
      </c>
      <c r="U8" s="295">
        <v>3</v>
      </c>
      <c r="V8" s="296">
        <f t="shared" si="1"/>
        <v>45</v>
      </c>
      <c r="W8" s="295">
        <v>3</v>
      </c>
      <c r="X8" s="295">
        <v>4</v>
      </c>
      <c r="Y8" s="295">
        <v>5</v>
      </c>
      <c r="Z8" s="295">
        <v>5</v>
      </c>
      <c r="AA8" s="295">
        <v>4</v>
      </c>
      <c r="AB8" s="295">
        <v>4</v>
      </c>
      <c r="AC8" s="295">
        <v>4</v>
      </c>
      <c r="AD8" s="295">
        <v>4</v>
      </c>
      <c r="AE8" s="295">
        <v>5</v>
      </c>
      <c r="AF8" s="295">
        <v>5</v>
      </c>
      <c r="AG8" s="295">
        <v>4</v>
      </c>
      <c r="AH8" s="295">
        <v>5</v>
      </c>
      <c r="AI8" s="296">
        <f t="shared" si="2"/>
        <v>52</v>
      </c>
      <c r="AJ8" s="295">
        <v>4</v>
      </c>
      <c r="AK8" s="295">
        <v>4</v>
      </c>
      <c r="AL8" s="295">
        <v>4</v>
      </c>
      <c r="AM8" s="295">
        <v>3</v>
      </c>
      <c r="AN8" s="295">
        <v>5</v>
      </c>
      <c r="AO8" s="295">
        <v>5</v>
      </c>
      <c r="AP8" s="295">
        <v>5</v>
      </c>
      <c r="AQ8" s="295">
        <v>5</v>
      </c>
      <c r="AR8" s="295">
        <v>5</v>
      </c>
      <c r="AS8" s="295">
        <v>5</v>
      </c>
      <c r="AT8" s="295">
        <v>5</v>
      </c>
      <c r="AU8" s="295">
        <v>5</v>
      </c>
      <c r="AV8" s="296">
        <f t="shared" si="3"/>
        <v>55</v>
      </c>
      <c r="AW8" s="295">
        <v>5</v>
      </c>
      <c r="AX8" s="295">
        <v>5</v>
      </c>
      <c r="AY8" s="295">
        <v>5</v>
      </c>
      <c r="AZ8" s="295">
        <v>5</v>
      </c>
      <c r="BA8" s="295">
        <v>5</v>
      </c>
      <c r="BB8" s="295">
        <v>5</v>
      </c>
      <c r="BC8" s="295">
        <v>5</v>
      </c>
      <c r="BD8" s="295">
        <v>5</v>
      </c>
      <c r="BE8" s="295">
        <v>0</v>
      </c>
      <c r="BF8" s="295">
        <v>0</v>
      </c>
      <c r="BG8" s="295"/>
      <c r="BH8" s="295"/>
      <c r="BI8" s="296">
        <f t="shared" si="4"/>
        <v>40</v>
      </c>
      <c r="BJ8" s="297"/>
      <c r="BK8" s="297"/>
      <c r="BL8" s="297"/>
      <c r="BM8" s="297"/>
      <c r="BN8" s="297"/>
      <c r="BO8" s="297"/>
      <c r="BP8" s="298">
        <f t="shared" si="5"/>
        <v>192</v>
      </c>
      <c r="BQ8" s="299">
        <f>BP8-D8</f>
        <v>0</v>
      </c>
      <c r="BR8" s="299"/>
      <c r="BS8" s="299"/>
      <c r="BT8" s="299"/>
      <c r="BU8" s="299"/>
      <c r="BV8" s="299"/>
      <c r="BW8" s="299"/>
      <c r="BX8" s="299"/>
      <c r="BY8" s="299"/>
      <c r="BZ8" s="299"/>
      <c r="CA8" s="299"/>
      <c r="CB8" s="299"/>
      <c r="CC8" s="299"/>
      <c r="CD8" s="299"/>
      <c r="CE8" s="299"/>
      <c r="CF8" s="299"/>
      <c r="CG8" s="299"/>
      <c r="CH8" s="299"/>
      <c r="CI8" s="299"/>
      <c r="CJ8" s="299"/>
      <c r="CK8" s="299"/>
      <c r="CL8" s="299"/>
      <c r="CM8" s="299"/>
      <c r="CN8" s="299"/>
      <c r="CO8" s="299"/>
      <c r="CP8" s="299"/>
      <c r="CQ8" s="299"/>
      <c r="CR8" s="299"/>
      <c r="CS8" s="299"/>
      <c r="CT8" s="299"/>
      <c r="CU8" s="299"/>
      <c r="CV8" s="299"/>
      <c r="CW8" s="299"/>
      <c r="CX8" s="299"/>
      <c r="CY8" s="299"/>
      <c r="CZ8" s="299"/>
      <c r="DA8" s="299"/>
      <c r="DB8" s="299"/>
      <c r="DC8" s="299"/>
      <c r="DD8" s="299"/>
      <c r="DE8" s="299"/>
      <c r="DF8" s="299"/>
      <c r="DG8" s="299"/>
      <c r="DH8" s="299"/>
      <c r="DI8" s="299"/>
      <c r="DJ8" s="299"/>
      <c r="DK8" s="299"/>
      <c r="DL8" s="299"/>
      <c r="DM8" s="299"/>
      <c r="DN8" s="299"/>
      <c r="DO8" s="299"/>
      <c r="DP8" s="299"/>
      <c r="DQ8" s="299"/>
      <c r="DR8" s="299"/>
      <c r="DS8" s="299"/>
      <c r="DT8" s="299"/>
      <c r="DU8" s="299"/>
      <c r="DV8" s="299"/>
      <c r="DW8" s="299"/>
      <c r="DX8" s="299"/>
      <c r="DY8" s="299"/>
      <c r="DZ8" s="299"/>
      <c r="EA8" s="299"/>
      <c r="EB8" s="299"/>
      <c r="EC8" s="299"/>
      <c r="ED8" s="299"/>
      <c r="EE8" s="299"/>
      <c r="EF8" s="299"/>
      <c r="EG8" s="299"/>
      <c r="EH8" s="299"/>
      <c r="EI8" s="299"/>
      <c r="EJ8" s="299"/>
      <c r="EK8" s="299"/>
      <c r="EL8" s="299"/>
      <c r="EM8" s="299"/>
      <c r="EN8" s="299"/>
      <c r="EO8" s="299"/>
      <c r="EP8" s="299"/>
      <c r="EQ8" s="299"/>
      <c r="ER8" s="299"/>
      <c r="ES8" s="299"/>
    </row>
    <row r="9" spans="1:149" x14ac:dyDescent="0.15">
      <c r="A9" s="371"/>
      <c r="B9" s="371"/>
      <c r="C9" s="293" t="s">
        <v>1417</v>
      </c>
      <c r="D9" s="294">
        <v>138.59</v>
      </c>
      <c r="E9" s="295">
        <f>E8*D9</f>
        <v>0</v>
      </c>
      <c r="F9" s="295">
        <f>F8*D9</f>
        <v>0</v>
      </c>
      <c r="G9" s="295">
        <f>G8*D9</f>
        <v>0</v>
      </c>
      <c r="H9" s="295">
        <f>H8*D9</f>
        <v>0</v>
      </c>
      <c r="I9" s="296">
        <f t="shared" si="0"/>
        <v>0</v>
      </c>
      <c r="J9" s="295">
        <f>J8*D9</f>
        <v>0</v>
      </c>
      <c r="K9" s="295">
        <f>K8*D9</f>
        <v>0</v>
      </c>
      <c r="L9" s="295">
        <f>L8*D9</f>
        <v>0</v>
      </c>
      <c r="M9" s="295">
        <f>M8*D9</f>
        <v>0</v>
      </c>
      <c r="N9" s="295">
        <f>N8*D9</f>
        <v>0</v>
      </c>
      <c r="O9" s="295">
        <f>O8*D9</f>
        <v>0</v>
      </c>
      <c r="P9" s="295">
        <f>P8*D9</f>
        <v>1385.9</v>
      </c>
      <c r="Q9" s="295">
        <f>Q8*D9</f>
        <v>692.95</v>
      </c>
      <c r="R9" s="295">
        <f>R8*D9</f>
        <v>1108.72</v>
      </c>
      <c r="S9" s="295">
        <f>S8*D9</f>
        <v>1385.9</v>
      </c>
      <c r="T9" s="295">
        <f>T8*D9</f>
        <v>1247.31</v>
      </c>
      <c r="U9" s="295">
        <f>U8*D9</f>
        <v>415.77</v>
      </c>
      <c r="V9" s="296">
        <f t="shared" si="1"/>
        <v>6236.5500000000011</v>
      </c>
      <c r="W9" s="295">
        <f>W8*D9</f>
        <v>415.77</v>
      </c>
      <c r="X9" s="295">
        <f>X8*D9</f>
        <v>554.36</v>
      </c>
      <c r="Y9" s="295">
        <f>Y8*D9</f>
        <v>692.95</v>
      </c>
      <c r="Z9" s="295">
        <f>Z8*D9</f>
        <v>692.95</v>
      </c>
      <c r="AA9" s="295">
        <f>AA8*D9</f>
        <v>554.36</v>
      </c>
      <c r="AB9" s="295">
        <f>AB8*D9</f>
        <v>554.36</v>
      </c>
      <c r="AC9" s="295">
        <f>AC8*D9</f>
        <v>554.36</v>
      </c>
      <c r="AD9" s="295">
        <f>AD8*D9</f>
        <v>554.36</v>
      </c>
      <c r="AE9" s="295">
        <f>AE8*D9</f>
        <v>692.95</v>
      </c>
      <c r="AF9" s="295">
        <f>AF8*D9</f>
        <v>692.95</v>
      </c>
      <c r="AG9" s="295">
        <f>AG8*D9</f>
        <v>554.36</v>
      </c>
      <c r="AH9" s="295">
        <f>AH8*D9</f>
        <v>692.95</v>
      </c>
      <c r="AI9" s="296">
        <f t="shared" si="2"/>
        <v>7206.6799999999994</v>
      </c>
      <c r="AJ9" s="295">
        <f>AJ8*D9</f>
        <v>554.36</v>
      </c>
      <c r="AK9" s="295">
        <f>AK8*D9</f>
        <v>554.36</v>
      </c>
      <c r="AL9" s="295">
        <f>AL8*D9</f>
        <v>554.36</v>
      </c>
      <c r="AM9" s="295">
        <f>AM8*D9</f>
        <v>415.77</v>
      </c>
      <c r="AN9" s="295">
        <f>AN8*D9</f>
        <v>692.95</v>
      </c>
      <c r="AO9" s="295">
        <f>AO8*D9</f>
        <v>692.95</v>
      </c>
      <c r="AP9" s="295">
        <f>AP8*D9</f>
        <v>692.95</v>
      </c>
      <c r="AQ9" s="295">
        <f>AQ8*D9</f>
        <v>692.95</v>
      </c>
      <c r="AR9" s="295">
        <f>AR8*D9</f>
        <v>692.95</v>
      </c>
      <c r="AS9" s="295">
        <f>AS8*D9</f>
        <v>692.95</v>
      </c>
      <c r="AT9" s="295">
        <f>AT8*D9</f>
        <v>692.95</v>
      </c>
      <c r="AU9" s="295">
        <f>AU8*D9</f>
        <v>692.95</v>
      </c>
      <c r="AV9" s="296">
        <f t="shared" si="3"/>
        <v>7622.4499999999989</v>
      </c>
      <c r="AW9" s="295">
        <f>AW8*D9</f>
        <v>692.95</v>
      </c>
      <c r="AX9" s="295">
        <f>AX8*D9</f>
        <v>692.95</v>
      </c>
      <c r="AY9" s="295">
        <f>AY8*D9</f>
        <v>692.95</v>
      </c>
      <c r="AZ9" s="295">
        <f>AZ8*D9</f>
        <v>692.95</v>
      </c>
      <c r="BA9" s="295">
        <f>BA8*D9</f>
        <v>692.95</v>
      </c>
      <c r="BB9" s="295">
        <f>BB8*D9</f>
        <v>692.95</v>
      </c>
      <c r="BC9" s="295">
        <f>BC8*D9</f>
        <v>692.95</v>
      </c>
      <c r="BD9" s="295">
        <f>BD8*D9</f>
        <v>692.95</v>
      </c>
      <c r="BE9" s="295">
        <f>BE8*D9</f>
        <v>0</v>
      </c>
      <c r="BF9" s="295">
        <f>BF8*D9</f>
        <v>0</v>
      </c>
      <c r="BG9" s="295">
        <f>BG8*D9</f>
        <v>0</v>
      </c>
      <c r="BH9" s="295">
        <f>BH8*D9</f>
        <v>0</v>
      </c>
      <c r="BI9" s="296">
        <f t="shared" si="4"/>
        <v>5543.5999999999995</v>
      </c>
      <c r="BJ9" s="300"/>
      <c r="BK9" s="300"/>
      <c r="BL9" s="300"/>
      <c r="BM9" s="300"/>
      <c r="BN9" s="300"/>
      <c r="BO9" s="300"/>
      <c r="BP9" s="301">
        <f t="shared" si="5"/>
        <v>26609.279999999999</v>
      </c>
      <c r="BQ9" s="299"/>
      <c r="BR9" s="299"/>
      <c r="BS9" s="299"/>
      <c r="BT9" s="299"/>
      <c r="BU9" s="299"/>
      <c r="BV9" s="299"/>
      <c r="BW9" s="299"/>
      <c r="BX9" s="299"/>
      <c r="BY9" s="299"/>
      <c r="BZ9" s="299"/>
      <c r="CA9" s="299"/>
      <c r="CB9" s="299"/>
      <c r="CC9" s="299"/>
      <c r="CD9" s="299"/>
      <c r="CE9" s="299"/>
      <c r="CF9" s="299"/>
      <c r="CG9" s="299"/>
      <c r="CH9" s="299"/>
      <c r="CI9" s="299"/>
      <c r="CJ9" s="299"/>
      <c r="CK9" s="299"/>
      <c r="CL9" s="299"/>
      <c r="CM9" s="299"/>
      <c r="CN9" s="299"/>
      <c r="CO9" s="299"/>
      <c r="CP9" s="299"/>
      <c r="CQ9" s="299"/>
      <c r="CR9" s="299"/>
      <c r="CS9" s="299"/>
      <c r="CT9" s="299"/>
      <c r="CU9" s="299"/>
      <c r="CV9" s="299"/>
      <c r="CW9" s="299"/>
      <c r="CX9" s="299"/>
      <c r="CY9" s="299"/>
      <c r="CZ9" s="299"/>
      <c r="DA9" s="299"/>
      <c r="DB9" s="299"/>
      <c r="DC9" s="299"/>
      <c r="DD9" s="299"/>
      <c r="DE9" s="299"/>
      <c r="DF9" s="299"/>
      <c r="DG9" s="299"/>
      <c r="DH9" s="299"/>
      <c r="DI9" s="299"/>
      <c r="DJ9" s="299"/>
      <c r="DK9" s="299"/>
      <c r="DL9" s="299"/>
      <c r="DM9" s="299"/>
      <c r="DN9" s="299"/>
      <c r="DO9" s="299"/>
      <c r="DP9" s="299"/>
      <c r="DQ9" s="299"/>
      <c r="DR9" s="299"/>
      <c r="DS9" s="299"/>
      <c r="DT9" s="299"/>
      <c r="DU9" s="299"/>
      <c r="DV9" s="299"/>
      <c r="DW9" s="299"/>
      <c r="DX9" s="299"/>
      <c r="DY9" s="299"/>
      <c r="DZ9" s="299"/>
      <c r="EA9" s="299"/>
      <c r="EB9" s="299"/>
      <c r="EC9" s="299"/>
      <c r="ED9" s="299"/>
      <c r="EE9" s="299"/>
      <c r="EF9" s="299"/>
      <c r="EG9" s="299"/>
      <c r="EH9" s="299"/>
      <c r="EI9" s="299"/>
      <c r="EJ9" s="299"/>
      <c r="EK9" s="299"/>
      <c r="EL9" s="299"/>
      <c r="EM9" s="299"/>
      <c r="EN9" s="299"/>
      <c r="EO9" s="299"/>
      <c r="EP9" s="299"/>
      <c r="EQ9" s="299"/>
      <c r="ER9" s="299"/>
      <c r="ES9" s="299"/>
    </row>
    <row r="10" spans="1:149" x14ac:dyDescent="0.15">
      <c r="A10" s="371"/>
      <c r="B10" s="371"/>
      <c r="C10" s="372" t="s">
        <v>1418</v>
      </c>
      <c r="D10" s="373"/>
      <c r="E10" s="296">
        <v>0</v>
      </c>
      <c r="F10" s="295">
        <v>0</v>
      </c>
      <c r="G10" s="295">
        <v>0</v>
      </c>
      <c r="H10" s="295">
        <v>0</v>
      </c>
      <c r="I10" s="302" t="e">
        <f>I11/I9*10000</f>
        <v>#DIV/0!</v>
      </c>
      <c r="J10" s="295">
        <f>E10</f>
        <v>0</v>
      </c>
      <c r="K10" s="295">
        <f>J10</f>
        <v>0</v>
      </c>
      <c r="L10" s="295">
        <v>0</v>
      </c>
      <c r="M10" s="295"/>
      <c r="N10" s="295"/>
      <c r="O10" s="295"/>
      <c r="P10" s="295">
        <v>10250</v>
      </c>
      <c r="Q10" s="295">
        <f t="shared" ref="Q10:U10" si="17">P10</f>
        <v>10250</v>
      </c>
      <c r="R10" s="295">
        <f>Q10+200</f>
        <v>10450</v>
      </c>
      <c r="S10" s="295">
        <f t="shared" si="17"/>
        <v>10450</v>
      </c>
      <c r="T10" s="295">
        <f>S10+300</f>
        <v>10750</v>
      </c>
      <c r="U10" s="295">
        <f t="shared" si="17"/>
        <v>10750</v>
      </c>
      <c r="V10" s="302">
        <f>V11/V9*10000</f>
        <v>10463.333333333334</v>
      </c>
      <c r="W10" s="295">
        <f>U10+500</f>
        <v>11250</v>
      </c>
      <c r="X10" s="295">
        <f t="shared" ref="X10:Z10" si="18">W10</f>
        <v>11250</v>
      </c>
      <c r="Y10" s="295">
        <f t="shared" si="18"/>
        <v>11250</v>
      </c>
      <c r="Z10" s="295">
        <f t="shared" si="18"/>
        <v>11250</v>
      </c>
      <c r="AA10" s="295">
        <f>Z10+200</f>
        <v>11450</v>
      </c>
      <c r="AB10" s="295">
        <f t="shared" ref="AB10:AD10" si="19">AA10</f>
        <v>11450</v>
      </c>
      <c r="AC10" s="295">
        <f t="shared" si="19"/>
        <v>11450</v>
      </c>
      <c r="AD10" s="295">
        <f t="shared" si="19"/>
        <v>11450</v>
      </c>
      <c r="AE10" s="295">
        <f>AD10+200</f>
        <v>11650</v>
      </c>
      <c r="AF10" s="295">
        <f t="shared" ref="AF10:AH10" si="20">AE10</f>
        <v>11650</v>
      </c>
      <c r="AG10" s="295">
        <f t="shared" si="20"/>
        <v>11650</v>
      </c>
      <c r="AH10" s="295">
        <f t="shared" si="20"/>
        <v>11650</v>
      </c>
      <c r="AI10" s="302">
        <f>AI11/AI9*10000</f>
        <v>11457.692307692309</v>
      </c>
      <c r="AJ10" s="295">
        <f>AH10</f>
        <v>11650</v>
      </c>
      <c r="AK10" s="295">
        <f t="shared" ref="AK10:AQ10" si="21">AJ10</f>
        <v>11650</v>
      </c>
      <c r="AL10" s="295">
        <f t="shared" si="21"/>
        <v>11650</v>
      </c>
      <c r="AM10" s="295">
        <f>AL10+200</f>
        <v>11850</v>
      </c>
      <c r="AN10" s="295">
        <f t="shared" si="21"/>
        <v>11850</v>
      </c>
      <c r="AO10" s="295">
        <f t="shared" si="21"/>
        <v>11850</v>
      </c>
      <c r="AP10" s="295">
        <f t="shared" si="21"/>
        <v>11850</v>
      </c>
      <c r="AQ10" s="295">
        <f t="shared" si="21"/>
        <v>11850</v>
      </c>
      <c r="AR10" s="295">
        <f>AQ10+200</f>
        <v>12050</v>
      </c>
      <c r="AS10" s="295">
        <f t="shared" ref="AS10:AU10" si="22">AR10</f>
        <v>12050</v>
      </c>
      <c r="AT10" s="295">
        <f t="shared" si="22"/>
        <v>12050</v>
      </c>
      <c r="AU10" s="295">
        <f t="shared" si="22"/>
        <v>12050</v>
      </c>
      <c r="AV10" s="302">
        <f>AV11/AV9*10000</f>
        <v>11879.09090909091</v>
      </c>
      <c r="AW10" s="295">
        <f>AU10+200</f>
        <v>12250</v>
      </c>
      <c r="AX10" s="295">
        <f t="shared" ref="AX10:BH10" si="23">AW10</f>
        <v>12250</v>
      </c>
      <c r="AY10" s="295">
        <f t="shared" si="23"/>
        <v>12250</v>
      </c>
      <c r="AZ10" s="295">
        <f t="shared" si="23"/>
        <v>12250</v>
      </c>
      <c r="BA10" s="295">
        <f t="shared" si="23"/>
        <v>12250</v>
      </c>
      <c r="BB10" s="295">
        <f t="shared" si="23"/>
        <v>12250</v>
      </c>
      <c r="BC10" s="295">
        <f t="shared" si="23"/>
        <v>12250</v>
      </c>
      <c r="BD10" s="295">
        <f t="shared" si="23"/>
        <v>12250</v>
      </c>
      <c r="BE10" s="295">
        <f t="shared" si="23"/>
        <v>12250</v>
      </c>
      <c r="BF10" s="295">
        <f t="shared" si="23"/>
        <v>12250</v>
      </c>
      <c r="BG10" s="295">
        <f t="shared" si="23"/>
        <v>12250</v>
      </c>
      <c r="BH10" s="295">
        <f t="shared" si="23"/>
        <v>12250</v>
      </c>
      <c r="BI10" s="302">
        <f>BI11/BI9*10000</f>
        <v>12250.000000000005</v>
      </c>
      <c r="BJ10" s="303"/>
      <c r="BK10" s="303"/>
      <c r="BL10" s="303"/>
      <c r="BM10" s="303"/>
      <c r="BN10" s="303"/>
      <c r="BO10" s="303"/>
      <c r="BP10" s="304">
        <f>BP11/BP9*10000</f>
        <v>11510.416666666668</v>
      </c>
      <c r="BQ10" s="299"/>
      <c r="BR10" s="299"/>
      <c r="BS10" s="299"/>
      <c r="BT10" s="299"/>
      <c r="BU10" s="299"/>
      <c r="BV10" s="299"/>
      <c r="BW10" s="299"/>
      <c r="BX10" s="299"/>
      <c r="BY10" s="299"/>
      <c r="BZ10" s="299"/>
      <c r="CA10" s="299"/>
      <c r="CB10" s="299"/>
      <c r="CC10" s="299"/>
      <c r="CD10" s="299"/>
      <c r="CE10" s="299"/>
      <c r="CF10" s="299"/>
      <c r="CG10" s="299"/>
      <c r="CH10" s="299"/>
      <c r="CI10" s="299"/>
      <c r="CJ10" s="299"/>
      <c r="CK10" s="299"/>
      <c r="CL10" s="299"/>
      <c r="CM10" s="299"/>
      <c r="CN10" s="299"/>
      <c r="CO10" s="299"/>
      <c r="CP10" s="299"/>
      <c r="CQ10" s="299"/>
      <c r="CR10" s="299"/>
      <c r="CS10" s="299"/>
      <c r="CT10" s="299"/>
      <c r="CU10" s="299"/>
      <c r="CV10" s="299"/>
      <c r="CW10" s="299"/>
      <c r="CX10" s="299"/>
      <c r="CY10" s="299"/>
      <c r="CZ10" s="299"/>
      <c r="DA10" s="299"/>
      <c r="DB10" s="299"/>
      <c r="DC10" s="299"/>
      <c r="DD10" s="299"/>
      <c r="DE10" s="299"/>
      <c r="DF10" s="299"/>
      <c r="DG10" s="299"/>
      <c r="DH10" s="299"/>
      <c r="DI10" s="299"/>
      <c r="DJ10" s="299"/>
      <c r="DK10" s="299"/>
      <c r="DL10" s="299"/>
      <c r="DM10" s="299"/>
      <c r="DN10" s="299"/>
      <c r="DO10" s="299"/>
      <c r="DP10" s="299"/>
      <c r="DQ10" s="299"/>
      <c r="DR10" s="299"/>
      <c r="DS10" s="299"/>
      <c r="DT10" s="299"/>
      <c r="DU10" s="299"/>
      <c r="DV10" s="299"/>
      <c r="DW10" s="299"/>
      <c r="DX10" s="299"/>
      <c r="DY10" s="299"/>
      <c r="DZ10" s="299"/>
      <c r="EA10" s="299"/>
      <c r="EB10" s="299"/>
      <c r="EC10" s="299"/>
      <c r="ED10" s="299"/>
      <c r="EE10" s="299"/>
      <c r="EF10" s="299"/>
      <c r="EG10" s="299"/>
      <c r="EH10" s="299"/>
      <c r="EI10" s="299"/>
      <c r="EJ10" s="299"/>
      <c r="EK10" s="299"/>
      <c r="EL10" s="299"/>
      <c r="EM10" s="299"/>
      <c r="EN10" s="299"/>
      <c r="EO10" s="299"/>
      <c r="EP10" s="299"/>
      <c r="EQ10" s="299"/>
      <c r="ER10" s="299"/>
      <c r="ES10" s="299"/>
    </row>
    <row r="11" spans="1:149" x14ac:dyDescent="0.15">
      <c r="A11" s="371"/>
      <c r="B11" s="371"/>
      <c r="C11" s="371" t="s">
        <v>1419</v>
      </c>
      <c r="D11" s="371"/>
      <c r="E11" s="293">
        <f t="shared" ref="E11:H11" si="24">E9*E10/10000</f>
        <v>0</v>
      </c>
      <c r="F11" s="293">
        <f t="shared" si="24"/>
        <v>0</v>
      </c>
      <c r="G11" s="293">
        <f t="shared" si="24"/>
        <v>0</v>
      </c>
      <c r="H11" s="293">
        <f t="shared" si="24"/>
        <v>0</v>
      </c>
      <c r="I11" s="296">
        <f>SUM(E11:H11)</f>
        <v>0</v>
      </c>
      <c r="J11" s="295">
        <f>J9*J10/10000</f>
        <v>0</v>
      </c>
      <c r="K11" s="295">
        <f t="shared" ref="K11:U11" si="25">K9*K10/10000</f>
        <v>0</v>
      </c>
      <c r="L11" s="295">
        <f t="shared" si="25"/>
        <v>0</v>
      </c>
      <c r="M11" s="295">
        <f t="shared" si="25"/>
        <v>0</v>
      </c>
      <c r="N11" s="295">
        <f t="shared" si="25"/>
        <v>0</v>
      </c>
      <c r="O11" s="295">
        <f t="shared" si="25"/>
        <v>0</v>
      </c>
      <c r="P11" s="295">
        <f t="shared" si="25"/>
        <v>1420.5475000000001</v>
      </c>
      <c r="Q11" s="295">
        <f t="shared" si="25"/>
        <v>710.27375000000006</v>
      </c>
      <c r="R11" s="295">
        <f t="shared" si="25"/>
        <v>1158.6124</v>
      </c>
      <c r="S11" s="295">
        <f t="shared" si="25"/>
        <v>1448.2655000000002</v>
      </c>
      <c r="T11" s="295">
        <f t="shared" si="25"/>
        <v>1340.85825</v>
      </c>
      <c r="U11" s="295">
        <f t="shared" si="25"/>
        <v>446.95274999999998</v>
      </c>
      <c r="V11" s="296">
        <f>SUM(J11:U11)</f>
        <v>6525.510150000001</v>
      </c>
      <c r="W11" s="295">
        <f>W9*W10/10000</f>
        <v>467.74124999999998</v>
      </c>
      <c r="X11" s="295">
        <f>X9*X10/10000</f>
        <v>623.65499999999997</v>
      </c>
      <c r="Y11" s="295">
        <f t="shared" ref="Y11:AH11" si="26">Y9*Y10/10000</f>
        <v>779.56875000000014</v>
      </c>
      <c r="Z11" s="295">
        <f t="shared" si="26"/>
        <v>779.56875000000014</v>
      </c>
      <c r="AA11" s="295">
        <f t="shared" si="26"/>
        <v>634.74220000000003</v>
      </c>
      <c r="AB11" s="295">
        <f t="shared" si="26"/>
        <v>634.74220000000003</v>
      </c>
      <c r="AC11" s="295">
        <f t="shared" si="26"/>
        <v>634.74220000000003</v>
      </c>
      <c r="AD11" s="295">
        <f t="shared" si="26"/>
        <v>634.74220000000003</v>
      </c>
      <c r="AE11" s="295">
        <f t="shared" si="26"/>
        <v>807.2867500000001</v>
      </c>
      <c r="AF11" s="295">
        <f t="shared" si="26"/>
        <v>807.2867500000001</v>
      </c>
      <c r="AG11" s="295">
        <f t="shared" si="26"/>
        <v>645.82939999999996</v>
      </c>
      <c r="AH11" s="295">
        <f t="shared" si="26"/>
        <v>807.2867500000001</v>
      </c>
      <c r="AI11" s="305">
        <f>SUM(W11:AH11)</f>
        <v>8257.1921999999995</v>
      </c>
      <c r="AJ11" s="295">
        <f>AJ9*AJ10/10000</f>
        <v>645.82939999999996</v>
      </c>
      <c r="AK11" s="295">
        <f t="shared" ref="AK11:AU11" si="27">AK9*AK10/10000</f>
        <v>645.82939999999996</v>
      </c>
      <c r="AL11" s="295">
        <f t="shared" si="27"/>
        <v>645.82939999999996</v>
      </c>
      <c r="AM11" s="295">
        <f t="shared" si="27"/>
        <v>492.68745000000001</v>
      </c>
      <c r="AN11" s="295">
        <f t="shared" si="27"/>
        <v>821.14575000000013</v>
      </c>
      <c r="AO11" s="295">
        <f t="shared" si="27"/>
        <v>821.14575000000013</v>
      </c>
      <c r="AP11" s="295">
        <f t="shared" si="27"/>
        <v>821.14575000000013</v>
      </c>
      <c r="AQ11" s="295">
        <f t="shared" si="27"/>
        <v>821.14575000000013</v>
      </c>
      <c r="AR11" s="295">
        <f t="shared" si="27"/>
        <v>835.00475000000006</v>
      </c>
      <c r="AS11" s="295">
        <f t="shared" si="27"/>
        <v>835.00475000000006</v>
      </c>
      <c r="AT11" s="295">
        <f t="shared" si="27"/>
        <v>835.00475000000006</v>
      </c>
      <c r="AU11" s="295">
        <f t="shared" si="27"/>
        <v>835.00475000000006</v>
      </c>
      <c r="AV11" s="305">
        <f>SUM(AJ11:AU11)</f>
        <v>9054.77765</v>
      </c>
      <c r="AW11" s="295">
        <f>AW9*AW10/10000</f>
        <v>848.86374999999998</v>
      </c>
      <c r="AX11" s="295">
        <f t="shared" ref="AX11:BH11" si="28">AX9*AX10/10000</f>
        <v>848.86374999999998</v>
      </c>
      <c r="AY11" s="295">
        <f t="shared" si="28"/>
        <v>848.86374999999998</v>
      </c>
      <c r="AZ11" s="295">
        <f t="shared" si="28"/>
        <v>848.86374999999998</v>
      </c>
      <c r="BA11" s="295">
        <f t="shared" si="28"/>
        <v>848.86374999999998</v>
      </c>
      <c r="BB11" s="295">
        <f t="shared" si="28"/>
        <v>848.86374999999998</v>
      </c>
      <c r="BC11" s="295">
        <f t="shared" si="28"/>
        <v>848.86374999999998</v>
      </c>
      <c r="BD11" s="295">
        <f t="shared" si="28"/>
        <v>848.86374999999998</v>
      </c>
      <c r="BE11" s="295">
        <f t="shared" si="28"/>
        <v>0</v>
      </c>
      <c r="BF11" s="295">
        <f t="shared" si="28"/>
        <v>0</v>
      </c>
      <c r="BG11" s="295">
        <f t="shared" si="28"/>
        <v>0</v>
      </c>
      <c r="BH11" s="295">
        <f t="shared" si="28"/>
        <v>0</v>
      </c>
      <c r="BI11" s="296">
        <f>SUM(AW11:BH11)</f>
        <v>6790.9100000000017</v>
      </c>
      <c r="BJ11" s="300"/>
      <c r="BK11" s="300"/>
      <c r="BL11" s="300"/>
      <c r="BM11" s="300"/>
      <c r="BN11" s="300"/>
      <c r="BO11" s="300"/>
      <c r="BP11" s="301">
        <f t="shared" ref="BP11:BP13" si="29">I11+V11+AI11+AV11+BI11</f>
        <v>30628.39</v>
      </c>
      <c r="BQ11" s="299"/>
      <c r="BR11" s="299"/>
      <c r="BS11" s="299"/>
      <c r="BT11" s="299"/>
      <c r="BU11" s="299"/>
      <c r="BV11" s="299"/>
      <c r="BW11" s="299"/>
      <c r="BX11" s="299"/>
      <c r="BY11" s="299"/>
      <c r="BZ11" s="299"/>
      <c r="CA11" s="299"/>
      <c r="CB11" s="299"/>
      <c r="CC11" s="299"/>
      <c r="CD11" s="299"/>
      <c r="CE11" s="299"/>
      <c r="CF11" s="299"/>
      <c r="CG11" s="299"/>
      <c r="CH11" s="299"/>
      <c r="CI11" s="299"/>
      <c r="CJ11" s="299"/>
      <c r="CK11" s="299"/>
      <c r="CL11" s="299"/>
      <c r="CM11" s="299"/>
      <c r="CN11" s="299"/>
      <c r="CO11" s="299"/>
      <c r="CP11" s="299"/>
      <c r="CQ11" s="299"/>
      <c r="CR11" s="299"/>
      <c r="CS11" s="299"/>
      <c r="CT11" s="299"/>
      <c r="CU11" s="299"/>
      <c r="CV11" s="299"/>
      <c r="CW11" s="299"/>
      <c r="CX11" s="299"/>
      <c r="CY11" s="299"/>
      <c r="CZ11" s="299"/>
      <c r="DA11" s="299"/>
      <c r="DB11" s="299"/>
      <c r="DC11" s="299"/>
      <c r="DD11" s="299"/>
      <c r="DE11" s="299"/>
      <c r="DF11" s="299"/>
      <c r="DG11" s="299"/>
      <c r="DH11" s="299"/>
      <c r="DI11" s="299"/>
      <c r="DJ11" s="299"/>
      <c r="DK11" s="299"/>
      <c r="DL11" s="299"/>
      <c r="DM11" s="299"/>
      <c r="DN11" s="299"/>
      <c r="DO11" s="299"/>
      <c r="DP11" s="299"/>
      <c r="DQ11" s="299"/>
      <c r="DR11" s="299"/>
      <c r="DS11" s="299"/>
      <c r="DT11" s="299"/>
      <c r="DU11" s="299"/>
      <c r="DV11" s="299"/>
      <c r="DW11" s="299"/>
      <c r="DX11" s="299"/>
      <c r="DY11" s="299"/>
      <c r="DZ11" s="299"/>
      <c r="EA11" s="299"/>
      <c r="EB11" s="299"/>
      <c r="EC11" s="299"/>
      <c r="ED11" s="299"/>
      <c r="EE11" s="299"/>
      <c r="EF11" s="299"/>
      <c r="EG11" s="299"/>
      <c r="EH11" s="299"/>
      <c r="EI11" s="299"/>
      <c r="EJ11" s="299"/>
      <c r="EK11" s="299"/>
      <c r="EL11" s="299"/>
      <c r="EM11" s="299"/>
      <c r="EN11" s="299"/>
      <c r="EO11" s="299"/>
      <c r="EP11" s="299"/>
      <c r="EQ11" s="299"/>
      <c r="ER11" s="299"/>
      <c r="ES11" s="299"/>
    </row>
    <row r="12" spans="1:149" x14ac:dyDescent="0.15">
      <c r="A12" s="371"/>
      <c r="B12" s="381" t="s">
        <v>1421</v>
      </c>
      <c r="C12" s="306" t="s">
        <v>1416</v>
      </c>
      <c r="D12" s="307">
        <f t="shared" ref="D12:U13" si="30">D4+D8</f>
        <v>384</v>
      </c>
      <c r="E12" s="308">
        <f t="shared" si="30"/>
        <v>0</v>
      </c>
      <c r="F12" s="308">
        <f t="shared" si="30"/>
        <v>0</v>
      </c>
      <c r="G12" s="308">
        <f t="shared" si="30"/>
        <v>0</v>
      </c>
      <c r="H12" s="308">
        <f t="shared" si="30"/>
        <v>0</v>
      </c>
      <c r="I12" s="308">
        <f t="shared" si="30"/>
        <v>0</v>
      </c>
      <c r="J12" s="308">
        <f t="shared" si="30"/>
        <v>0</v>
      </c>
      <c r="K12" s="308">
        <f t="shared" si="30"/>
        <v>0</v>
      </c>
      <c r="L12" s="308">
        <f t="shared" si="30"/>
        <v>0</v>
      </c>
      <c r="M12" s="308">
        <f t="shared" si="30"/>
        <v>0</v>
      </c>
      <c r="N12" s="308">
        <f t="shared" si="30"/>
        <v>0</v>
      </c>
      <c r="O12" s="308">
        <f t="shared" si="30"/>
        <v>0</v>
      </c>
      <c r="P12" s="308">
        <f>P4+P8</f>
        <v>27</v>
      </c>
      <c r="Q12" s="308">
        <f t="shared" si="30"/>
        <v>14</v>
      </c>
      <c r="R12" s="308">
        <f t="shared" si="30"/>
        <v>17</v>
      </c>
      <c r="S12" s="308">
        <f t="shared" si="30"/>
        <v>29</v>
      </c>
      <c r="T12" s="308">
        <f t="shared" si="30"/>
        <v>11</v>
      </c>
      <c r="U12" s="308">
        <f t="shared" si="30"/>
        <v>7</v>
      </c>
      <c r="V12" s="309">
        <f>V4+V8</f>
        <v>105</v>
      </c>
      <c r="W12" s="308">
        <f>W4+W8</f>
        <v>11</v>
      </c>
      <c r="X12" s="308">
        <f t="shared" ref="X12:AJ13" si="31">X4+X8</f>
        <v>8</v>
      </c>
      <c r="Y12" s="308">
        <f t="shared" si="31"/>
        <v>10</v>
      </c>
      <c r="Z12" s="308">
        <f t="shared" si="31"/>
        <v>10</v>
      </c>
      <c r="AA12" s="308">
        <f t="shared" si="31"/>
        <v>9</v>
      </c>
      <c r="AB12" s="308">
        <f t="shared" si="31"/>
        <v>10</v>
      </c>
      <c r="AC12" s="308">
        <f t="shared" si="31"/>
        <v>9</v>
      </c>
      <c r="AD12" s="308">
        <f t="shared" si="31"/>
        <v>9</v>
      </c>
      <c r="AE12" s="308">
        <f t="shared" si="31"/>
        <v>12</v>
      </c>
      <c r="AF12" s="308">
        <f t="shared" si="31"/>
        <v>10</v>
      </c>
      <c r="AG12" s="308">
        <f t="shared" si="31"/>
        <v>9</v>
      </c>
      <c r="AH12" s="308">
        <f t="shared" si="31"/>
        <v>10</v>
      </c>
      <c r="AI12" s="308">
        <f t="shared" si="31"/>
        <v>117</v>
      </c>
      <c r="AJ12" s="308">
        <f>AJ4+AJ8</f>
        <v>9</v>
      </c>
      <c r="AK12" s="308">
        <f t="shared" ref="AK12:BI13" si="32">AK4+AK8</f>
        <v>8</v>
      </c>
      <c r="AL12" s="308">
        <f t="shared" si="32"/>
        <v>9</v>
      </c>
      <c r="AM12" s="308">
        <f t="shared" si="32"/>
        <v>10</v>
      </c>
      <c r="AN12" s="308">
        <f t="shared" si="32"/>
        <v>10</v>
      </c>
      <c r="AO12" s="308">
        <f t="shared" si="32"/>
        <v>10</v>
      </c>
      <c r="AP12" s="308">
        <f t="shared" si="32"/>
        <v>10</v>
      </c>
      <c r="AQ12" s="308">
        <f t="shared" si="32"/>
        <v>9</v>
      </c>
      <c r="AR12" s="308">
        <f t="shared" si="32"/>
        <v>12</v>
      </c>
      <c r="AS12" s="308">
        <f t="shared" si="32"/>
        <v>10</v>
      </c>
      <c r="AT12" s="308">
        <f t="shared" si="32"/>
        <v>9</v>
      </c>
      <c r="AU12" s="308">
        <f t="shared" si="32"/>
        <v>10</v>
      </c>
      <c r="AV12" s="308">
        <f t="shared" si="32"/>
        <v>116</v>
      </c>
      <c r="AW12" s="308">
        <f t="shared" si="32"/>
        <v>10</v>
      </c>
      <c r="AX12" s="308">
        <f t="shared" si="32"/>
        <v>6</v>
      </c>
      <c r="AY12" s="308">
        <f t="shared" si="32"/>
        <v>5</v>
      </c>
      <c r="AZ12" s="308">
        <f t="shared" si="32"/>
        <v>5</v>
      </c>
      <c r="BA12" s="308">
        <f t="shared" si="32"/>
        <v>5</v>
      </c>
      <c r="BB12" s="308">
        <f t="shared" si="32"/>
        <v>5</v>
      </c>
      <c r="BC12" s="308">
        <f t="shared" si="32"/>
        <v>5</v>
      </c>
      <c r="BD12" s="308">
        <f t="shared" si="32"/>
        <v>5</v>
      </c>
      <c r="BE12" s="308">
        <f t="shared" si="32"/>
        <v>0</v>
      </c>
      <c r="BF12" s="308">
        <f t="shared" si="32"/>
        <v>0</v>
      </c>
      <c r="BG12" s="308">
        <f t="shared" si="32"/>
        <v>0</v>
      </c>
      <c r="BH12" s="308">
        <f t="shared" si="32"/>
        <v>0</v>
      </c>
      <c r="BI12" s="308">
        <f t="shared" si="32"/>
        <v>46</v>
      </c>
      <c r="BJ12" s="310"/>
      <c r="BK12" s="310"/>
      <c r="BL12" s="310"/>
      <c r="BM12" s="310"/>
      <c r="BN12" s="310"/>
      <c r="BO12" s="310"/>
      <c r="BP12" s="298">
        <f t="shared" si="29"/>
        <v>384</v>
      </c>
      <c r="BQ12" s="299">
        <f>BP12-D12</f>
        <v>0</v>
      </c>
      <c r="BR12" s="299"/>
      <c r="BS12" s="299"/>
      <c r="BT12" s="299"/>
      <c r="BU12" s="299"/>
      <c r="BV12" s="299"/>
      <c r="BW12" s="299"/>
      <c r="BX12" s="299"/>
      <c r="BY12" s="299"/>
      <c r="BZ12" s="299"/>
      <c r="CA12" s="299"/>
      <c r="CB12" s="299"/>
      <c r="CC12" s="299"/>
      <c r="CD12" s="299"/>
      <c r="CE12" s="299"/>
      <c r="CF12" s="299"/>
      <c r="CG12" s="299"/>
      <c r="CH12" s="299"/>
      <c r="CI12" s="299"/>
      <c r="CJ12" s="299"/>
      <c r="CK12" s="299"/>
      <c r="CL12" s="299"/>
      <c r="CM12" s="299"/>
      <c r="CN12" s="299"/>
      <c r="CO12" s="299"/>
      <c r="CP12" s="299"/>
      <c r="CQ12" s="299"/>
      <c r="CR12" s="299"/>
      <c r="CS12" s="299"/>
      <c r="CT12" s="299"/>
      <c r="CU12" s="299"/>
      <c r="CV12" s="299"/>
      <c r="CW12" s="299"/>
      <c r="CX12" s="299"/>
      <c r="CY12" s="299"/>
      <c r="CZ12" s="299"/>
      <c r="DA12" s="299"/>
      <c r="DB12" s="299"/>
      <c r="DC12" s="299"/>
      <c r="DD12" s="299"/>
      <c r="DE12" s="299"/>
      <c r="DF12" s="299"/>
      <c r="DG12" s="299"/>
      <c r="DH12" s="299"/>
      <c r="DI12" s="299"/>
      <c r="DJ12" s="299"/>
      <c r="DK12" s="299"/>
      <c r="DL12" s="299"/>
      <c r="DM12" s="299"/>
      <c r="DN12" s="299"/>
      <c r="DO12" s="299"/>
      <c r="DP12" s="299"/>
      <c r="DQ12" s="299"/>
      <c r="DR12" s="299"/>
      <c r="DS12" s="299"/>
      <c r="DT12" s="299"/>
      <c r="DU12" s="299"/>
      <c r="DV12" s="299"/>
      <c r="DW12" s="299"/>
      <c r="DX12" s="299"/>
      <c r="DY12" s="299"/>
      <c r="DZ12" s="299"/>
      <c r="EA12" s="299"/>
      <c r="EB12" s="299"/>
      <c r="EC12" s="299"/>
      <c r="ED12" s="299"/>
      <c r="EE12" s="299"/>
      <c r="EF12" s="299"/>
      <c r="EG12" s="299"/>
      <c r="EH12" s="299"/>
      <c r="EI12" s="299"/>
      <c r="EJ12" s="299"/>
      <c r="EK12" s="299"/>
      <c r="EL12" s="299"/>
      <c r="EM12" s="299"/>
      <c r="EN12" s="299"/>
      <c r="EO12" s="299"/>
      <c r="EP12" s="299"/>
      <c r="EQ12" s="299"/>
      <c r="ER12" s="299"/>
      <c r="ES12" s="299"/>
    </row>
    <row r="13" spans="1:149" x14ac:dyDescent="0.15">
      <c r="A13" s="371"/>
      <c r="B13" s="381"/>
      <c r="C13" s="306" t="s">
        <v>1417</v>
      </c>
      <c r="D13" s="307"/>
      <c r="E13" s="308">
        <f t="shared" si="30"/>
        <v>0</v>
      </c>
      <c r="F13" s="308">
        <f t="shared" si="30"/>
        <v>0</v>
      </c>
      <c r="G13" s="308">
        <f t="shared" si="30"/>
        <v>0</v>
      </c>
      <c r="H13" s="308">
        <f t="shared" si="30"/>
        <v>0</v>
      </c>
      <c r="I13" s="308">
        <f t="shared" si="30"/>
        <v>0</v>
      </c>
      <c r="J13" s="308">
        <f t="shared" si="30"/>
        <v>0</v>
      </c>
      <c r="K13" s="308">
        <f t="shared" si="30"/>
        <v>0</v>
      </c>
      <c r="L13" s="308">
        <f t="shared" si="30"/>
        <v>0</v>
      </c>
      <c r="M13" s="308">
        <f t="shared" si="30"/>
        <v>0</v>
      </c>
      <c r="N13" s="308">
        <f t="shared" si="30"/>
        <v>0</v>
      </c>
      <c r="O13" s="308">
        <f t="shared" si="30"/>
        <v>0</v>
      </c>
      <c r="P13" s="308">
        <f t="shared" si="30"/>
        <v>3816.9</v>
      </c>
      <c r="Q13" s="308">
        <f t="shared" si="30"/>
        <v>1979.95</v>
      </c>
      <c r="R13" s="308">
        <f t="shared" si="30"/>
        <v>2395.7200000000003</v>
      </c>
      <c r="S13" s="308">
        <f t="shared" si="30"/>
        <v>4102.8999999999996</v>
      </c>
      <c r="T13" s="308">
        <f t="shared" si="30"/>
        <v>1533.31</v>
      </c>
      <c r="U13" s="308">
        <f t="shared" si="30"/>
        <v>987.77</v>
      </c>
      <c r="V13" s="308">
        <f>V5+V9</f>
        <v>14816.550000000001</v>
      </c>
      <c r="W13" s="308">
        <f>W5+W9</f>
        <v>1559.77</v>
      </c>
      <c r="X13" s="308">
        <f t="shared" si="31"/>
        <v>1126.3600000000001</v>
      </c>
      <c r="Y13" s="308">
        <f t="shared" si="31"/>
        <v>1407.95</v>
      </c>
      <c r="Z13" s="308">
        <f t="shared" si="31"/>
        <v>1407.95</v>
      </c>
      <c r="AA13" s="308">
        <f t="shared" si="31"/>
        <v>1269.3600000000001</v>
      </c>
      <c r="AB13" s="308">
        <f t="shared" si="31"/>
        <v>1412.3600000000001</v>
      </c>
      <c r="AC13" s="308">
        <f t="shared" si="31"/>
        <v>1269.3600000000001</v>
      </c>
      <c r="AD13" s="308">
        <f t="shared" si="31"/>
        <v>1269.3600000000001</v>
      </c>
      <c r="AE13" s="308">
        <f t="shared" si="31"/>
        <v>1693.95</v>
      </c>
      <c r="AF13" s="308">
        <f t="shared" si="31"/>
        <v>1407.95</v>
      </c>
      <c r="AG13" s="308">
        <f t="shared" si="31"/>
        <v>1269.3600000000001</v>
      </c>
      <c r="AH13" s="308">
        <f t="shared" si="31"/>
        <v>1407.95</v>
      </c>
      <c r="AI13" s="308">
        <f t="shared" si="31"/>
        <v>16501.68</v>
      </c>
      <c r="AJ13" s="308">
        <f t="shared" si="31"/>
        <v>1269.3600000000001</v>
      </c>
      <c r="AK13" s="308">
        <f t="shared" si="32"/>
        <v>1126.3600000000001</v>
      </c>
      <c r="AL13" s="308">
        <f t="shared" si="32"/>
        <v>1269.3600000000001</v>
      </c>
      <c r="AM13" s="308">
        <f t="shared" si="32"/>
        <v>1416.77</v>
      </c>
      <c r="AN13" s="308">
        <f t="shared" si="32"/>
        <v>1407.95</v>
      </c>
      <c r="AO13" s="308">
        <f t="shared" si="32"/>
        <v>1407.95</v>
      </c>
      <c r="AP13" s="308">
        <f t="shared" si="32"/>
        <v>1407.95</v>
      </c>
      <c r="AQ13" s="308">
        <f t="shared" si="32"/>
        <v>1264.95</v>
      </c>
      <c r="AR13" s="308">
        <f t="shared" si="32"/>
        <v>1693.95</v>
      </c>
      <c r="AS13" s="308">
        <f t="shared" si="32"/>
        <v>1407.95</v>
      </c>
      <c r="AT13" s="308">
        <f t="shared" si="32"/>
        <v>1264.95</v>
      </c>
      <c r="AU13" s="308">
        <f t="shared" si="32"/>
        <v>1407.95</v>
      </c>
      <c r="AV13" s="308">
        <f t="shared" si="32"/>
        <v>16345.449999999999</v>
      </c>
      <c r="AW13" s="308">
        <f t="shared" si="32"/>
        <v>1407.95</v>
      </c>
      <c r="AX13" s="308">
        <f t="shared" si="32"/>
        <v>835.95</v>
      </c>
      <c r="AY13" s="308">
        <f t="shared" si="32"/>
        <v>692.95</v>
      </c>
      <c r="AZ13" s="308">
        <f t="shared" si="32"/>
        <v>692.95</v>
      </c>
      <c r="BA13" s="308">
        <f t="shared" si="32"/>
        <v>692.95</v>
      </c>
      <c r="BB13" s="308">
        <f t="shared" si="32"/>
        <v>692.95</v>
      </c>
      <c r="BC13" s="308">
        <f t="shared" si="32"/>
        <v>692.95</v>
      </c>
      <c r="BD13" s="308">
        <f t="shared" si="32"/>
        <v>692.95</v>
      </c>
      <c r="BE13" s="308">
        <f t="shared" si="32"/>
        <v>0</v>
      </c>
      <c r="BF13" s="308">
        <f t="shared" si="32"/>
        <v>0</v>
      </c>
      <c r="BG13" s="308">
        <f t="shared" si="32"/>
        <v>0</v>
      </c>
      <c r="BH13" s="308">
        <f t="shared" si="32"/>
        <v>0</v>
      </c>
      <c r="BI13" s="308">
        <f t="shared" si="32"/>
        <v>6401.5999999999995</v>
      </c>
      <c r="BJ13" s="311"/>
      <c r="BK13" s="311"/>
      <c r="BL13" s="311"/>
      <c r="BM13" s="311"/>
      <c r="BN13" s="311"/>
      <c r="BO13" s="311"/>
      <c r="BP13" s="301">
        <f t="shared" si="29"/>
        <v>54065.279999999999</v>
      </c>
      <c r="BQ13" s="299"/>
      <c r="BR13" s="299"/>
      <c r="BS13" s="299"/>
      <c r="BT13" s="299"/>
      <c r="BU13" s="299"/>
      <c r="BV13" s="299"/>
      <c r="BW13" s="299"/>
      <c r="BX13" s="299"/>
      <c r="BY13" s="299"/>
      <c r="BZ13" s="299"/>
      <c r="CA13" s="299"/>
      <c r="CB13" s="299"/>
      <c r="CC13" s="299"/>
      <c r="CD13" s="299"/>
      <c r="CE13" s="299"/>
      <c r="CF13" s="299"/>
      <c r="CG13" s="299"/>
      <c r="CH13" s="299"/>
      <c r="CI13" s="299"/>
      <c r="CJ13" s="299"/>
      <c r="CK13" s="299"/>
      <c r="CL13" s="299"/>
      <c r="CM13" s="299"/>
      <c r="CN13" s="299"/>
      <c r="CO13" s="299"/>
      <c r="CP13" s="299"/>
      <c r="CQ13" s="299"/>
      <c r="CR13" s="299"/>
      <c r="CS13" s="299"/>
      <c r="CT13" s="299"/>
      <c r="CU13" s="299"/>
      <c r="CV13" s="299"/>
      <c r="CW13" s="299"/>
      <c r="CX13" s="299"/>
      <c r="CY13" s="299"/>
      <c r="CZ13" s="299"/>
      <c r="DA13" s="299"/>
      <c r="DB13" s="299"/>
      <c r="DC13" s="299"/>
      <c r="DD13" s="299"/>
      <c r="DE13" s="299"/>
      <c r="DF13" s="299"/>
      <c r="DG13" s="299"/>
      <c r="DH13" s="299"/>
      <c r="DI13" s="299"/>
      <c r="DJ13" s="299"/>
      <c r="DK13" s="299"/>
      <c r="DL13" s="299"/>
      <c r="DM13" s="299"/>
      <c r="DN13" s="299"/>
      <c r="DO13" s="299"/>
      <c r="DP13" s="299"/>
      <c r="DQ13" s="299"/>
      <c r="DR13" s="299"/>
      <c r="DS13" s="299"/>
      <c r="DT13" s="299"/>
      <c r="DU13" s="299"/>
      <c r="DV13" s="299"/>
      <c r="DW13" s="299"/>
      <c r="DX13" s="299"/>
      <c r="DY13" s="299"/>
      <c r="DZ13" s="299"/>
      <c r="EA13" s="299"/>
      <c r="EB13" s="299"/>
      <c r="EC13" s="299"/>
      <c r="ED13" s="299"/>
      <c r="EE13" s="299"/>
      <c r="EF13" s="299"/>
      <c r="EG13" s="299"/>
      <c r="EH13" s="299"/>
      <c r="EI13" s="299"/>
      <c r="EJ13" s="299"/>
      <c r="EK13" s="299"/>
      <c r="EL13" s="299"/>
      <c r="EM13" s="299"/>
      <c r="EN13" s="299"/>
      <c r="EO13" s="299"/>
      <c r="EP13" s="299"/>
      <c r="EQ13" s="299"/>
      <c r="ER13" s="299"/>
      <c r="ES13" s="299"/>
    </row>
    <row r="14" spans="1:149" x14ac:dyDescent="0.15">
      <c r="A14" s="371"/>
      <c r="B14" s="381"/>
      <c r="C14" s="400" t="s">
        <v>1418</v>
      </c>
      <c r="D14" s="401"/>
      <c r="E14" s="308" t="e">
        <f t="shared" ref="E14:BI14" si="33">E15/E13*10000</f>
        <v>#DIV/0!</v>
      </c>
      <c r="F14" s="308" t="e">
        <f t="shared" si="33"/>
        <v>#DIV/0!</v>
      </c>
      <c r="G14" s="308" t="e">
        <f t="shared" si="33"/>
        <v>#DIV/0!</v>
      </c>
      <c r="H14" s="308" t="e">
        <f t="shared" si="33"/>
        <v>#DIV/0!</v>
      </c>
      <c r="I14" s="308" t="e">
        <f t="shared" si="33"/>
        <v>#DIV/0!</v>
      </c>
      <c r="J14" s="308" t="e">
        <f t="shared" si="33"/>
        <v>#DIV/0!</v>
      </c>
      <c r="K14" s="308" t="e">
        <f t="shared" si="33"/>
        <v>#DIV/0!</v>
      </c>
      <c r="L14" s="308" t="e">
        <f t="shared" si="33"/>
        <v>#DIV/0!</v>
      </c>
      <c r="M14" s="308" t="e">
        <f t="shared" si="33"/>
        <v>#DIV/0!</v>
      </c>
      <c r="N14" s="308" t="e">
        <f t="shared" si="33"/>
        <v>#DIV/0!</v>
      </c>
      <c r="O14" s="308" t="e">
        <f t="shared" si="33"/>
        <v>#DIV/0!</v>
      </c>
      <c r="P14" s="308">
        <f t="shared" si="33"/>
        <v>10939.767350467657</v>
      </c>
      <c r="Q14" s="308">
        <f t="shared" si="33"/>
        <v>10607.509028005759</v>
      </c>
      <c r="R14" s="308">
        <f t="shared" si="33"/>
        <v>10705.173809961096</v>
      </c>
      <c r="S14" s="308">
        <f t="shared" si="33"/>
        <v>11436.699651466039</v>
      </c>
      <c r="T14" s="308">
        <f t="shared" si="33"/>
        <v>10938.389823323398</v>
      </c>
      <c r="U14" s="308">
        <f t="shared" si="33"/>
        <v>11334.872996750257</v>
      </c>
      <c r="V14" s="308">
        <f t="shared" si="33"/>
        <v>11021.240403467742</v>
      </c>
      <c r="W14" s="308">
        <f t="shared" si="33"/>
        <v>11917.431736730416</v>
      </c>
      <c r="X14" s="308">
        <f t="shared" si="33"/>
        <v>11712.12578571682</v>
      </c>
      <c r="Y14" s="308">
        <f t="shared" si="33"/>
        <v>11712.125785716822</v>
      </c>
      <c r="Z14" s="308">
        <f t="shared" si="33"/>
        <v>11712.125785716822</v>
      </c>
      <c r="AA14" s="308">
        <f t="shared" si="33"/>
        <v>11962.58114325329</v>
      </c>
      <c r="AB14" s="308">
        <f t="shared" si="33"/>
        <v>12002.819394488655</v>
      </c>
      <c r="AC14" s="308">
        <f t="shared" si="33"/>
        <v>11962.58114325329</v>
      </c>
      <c r="AD14" s="308">
        <f t="shared" si="33"/>
        <v>11962.58114325329</v>
      </c>
      <c r="AE14" s="308">
        <f t="shared" si="33"/>
        <v>12187.74314472092</v>
      </c>
      <c r="AF14" s="308">
        <f t="shared" si="33"/>
        <v>12112.125785716822</v>
      </c>
      <c r="AG14" s="308">
        <f t="shared" si="33"/>
        <v>12162.581143253292</v>
      </c>
      <c r="AH14" s="308">
        <f t="shared" si="33"/>
        <v>12112.125785716822</v>
      </c>
      <c r="AI14" s="308">
        <f t="shared" si="33"/>
        <v>11965.940558779468</v>
      </c>
      <c r="AJ14" s="308">
        <f t="shared" si="33"/>
        <v>12162.581143253292</v>
      </c>
      <c r="AK14" s="308">
        <f t="shared" si="33"/>
        <v>12112.12578571682</v>
      </c>
      <c r="AL14" s="308">
        <f t="shared" si="33"/>
        <v>12162.581143253292</v>
      </c>
      <c r="AM14" s="308">
        <f t="shared" si="33"/>
        <v>12492.948396705184</v>
      </c>
      <c r="AN14" s="308">
        <f t="shared" si="33"/>
        <v>12312.125785716824</v>
      </c>
      <c r="AO14" s="308">
        <f t="shared" si="33"/>
        <v>12312.125785716824</v>
      </c>
      <c r="AP14" s="308">
        <f t="shared" si="33"/>
        <v>12312.125785716824</v>
      </c>
      <c r="AQ14" s="308">
        <f t="shared" si="33"/>
        <v>12261.494525475315</v>
      </c>
      <c r="AR14" s="308">
        <f t="shared" si="33"/>
        <v>12587.74314472092</v>
      </c>
      <c r="AS14" s="308">
        <f t="shared" si="33"/>
        <v>12512.12578571682</v>
      </c>
      <c r="AT14" s="308">
        <f t="shared" si="33"/>
        <v>12461.494525475315</v>
      </c>
      <c r="AU14" s="308">
        <f t="shared" si="33"/>
        <v>12512.12578571682</v>
      </c>
      <c r="AV14" s="308">
        <f t="shared" si="33"/>
        <v>12361.449608300782</v>
      </c>
      <c r="AW14" s="308">
        <f t="shared" si="33"/>
        <v>12712.125785716822</v>
      </c>
      <c r="AX14" s="308">
        <f t="shared" si="33"/>
        <v>12405.667204976375</v>
      </c>
      <c r="AY14" s="308">
        <f t="shared" si="33"/>
        <v>12249.999999999998</v>
      </c>
      <c r="AZ14" s="308">
        <f t="shared" si="33"/>
        <v>12249.999999999998</v>
      </c>
      <c r="BA14" s="308">
        <f t="shared" si="33"/>
        <v>12249.999999999998</v>
      </c>
      <c r="BB14" s="308">
        <f t="shared" si="33"/>
        <v>12249.999999999998</v>
      </c>
      <c r="BC14" s="308">
        <f t="shared" si="33"/>
        <v>12249.999999999998</v>
      </c>
      <c r="BD14" s="308">
        <f t="shared" si="33"/>
        <v>12249.999999999998</v>
      </c>
      <c r="BE14" s="308" t="e">
        <f t="shared" si="33"/>
        <v>#DIV/0!</v>
      </c>
      <c r="BF14" s="308" t="e">
        <f t="shared" si="33"/>
        <v>#DIV/0!</v>
      </c>
      <c r="BG14" s="308" t="e">
        <f t="shared" si="33"/>
        <v>#DIV/0!</v>
      </c>
      <c r="BH14" s="308" t="e">
        <f t="shared" si="33"/>
        <v>#DIV/0!</v>
      </c>
      <c r="BI14" s="308">
        <f t="shared" si="33"/>
        <v>12371.966383404153</v>
      </c>
      <c r="BJ14" s="310"/>
      <c r="BK14" s="310"/>
      <c r="BL14" s="310"/>
      <c r="BM14" s="310"/>
      <c r="BN14" s="310"/>
      <c r="BO14" s="310"/>
      <c r="BP14" s="312">
        <f>BP15/BP13*10000</f>
        <v>11874.695146312015</v>
      </c>
      <c r="BQ14" s="299"/>
      <c r="BR14" s="299"/>
      <c r="BS14" s="299"/>
      <c r="BT14" s="299"/>
      <c r="BU14" s="299"/>
      <c r="BV14" s="299"/>
      <c r="BW14" s="299"/>
      <c r="BX14" s="299"/>
      <c r="BY14" s="299"/>
      <c r="BZ14" s="299"/>
      <c r="CA14" s="299"/>
      <c r="CB14" s="299"/>
      <c r="CC14" s="299"/>
      <c r="CD14" s="299"/>
      <c r="CE14" s="299"/>
      <c r="CF14" s="299"/>
      <c r="CG14" s="299"/>
      <c r="CH14" s="299"/>
      <c r="CI14" s="299"/>
      <c r="CJ14" s="299"/>
      <c r="CK14" s="299"/>
      <c r="CL14" s="299"/>
      <c r="CM14" s="299"/>
      <c r="CN14" s="299"/>
      <c r="CO14" s="299"/>
      <c r="CP14" s="299"/>
      <c r="CQ14" s="299"/>
      <c r="CR14" s="299"/>
      <c r="CS14" s="299"/>
      <c r="CT14" s="299"/>
      <c r="CU14" s="299"/>
      <c r="CV14" s="299"/>
      <c r="CW14" s="299"/>
      <c r="CX14" s="299"/>
      <c r="CY14" s="299"/>
      <c r="CZ14" s="299"/>
      <c r="DA14" s="299"/>
      <c r="DB14" s="299"/>
      <c r="DC14" s="299"/>
      <c r="DD14" s="299"/>
      <c r="DE14" s="299"/>
      <c r="DF14" s="299"/>
      <c r="DG14" s="299"/>
      <c r="DH14" s="299"/>
      <c r="DI14" s="299"/>
      <c r="DJ14" s="299"/>
      <c r="DK14" s="299"/>
      <c r="DL14" s="299"/>
      <c r="DM14" s="299"/>
      <c r="DN14" s="299"/>
      <c r="DO14" s="299"/>
      <c r="DP14" s="299"/>
      <c r="DQ14" s="299"/>
      <c r="DR14" s="299"/>
      <c r="DS14" s="299"/>
      <c r="DT14" s="299"/>
      <c r="DU14" s="299"/>
      <c r="DV14" s="299"/>
      <c r="DW14" s="299"/>
      <c r="DX14" s="299"/>
      <c r="DY14" s="299"/>
      <c r="DZ14" s="299"/>
      <c r="EA14" s="299"/>
      <c r="EB14" s="299"/>
      <c r="EC14" s="299"/>
      <c r="ED14" s="299"/>
      <c r="EE14" s="299"/>
      <c r="EF14" s="299"/>
      <c r="EG14" s="299"/>
      <c r="EH14" s="299"/>
      <c r="EI14" s="299"/>
      <c r="EJ14" s="299"/>
      <c r="EK14" s="299"/>
      <c r="EL14" s="299"/>
      <c r="EM14" s="299"/>
      <c r="EN14" s="299"/>
      <c r="EO14" s="299"/>
      <c r="EP14" s="299"/>
      <c r="EQ14" s="299"/>
      <c r="ER14" s="299"/>
      <c r="ES14" s="299"/>
    </row>
    <row r="15" spans="1:149" x14ac:dyDescent="0.15">
      <c r="A15" s="371"/>
      <c r="B15" s="381"/>
      <c r="C15" s="381" t="s">
        <v>1419</v>
      </c>
      <c r="D15" s="381"/>
      <c r="E15" s="306">
        <f t="shared" ref="E15:BI15" si="34">E7+E11</f>
        <v>0</v>
      </c>
      <c r="F15" s="306">
        <f t="shared" si="34"/>
        <v>0</v>
      </c>
      <c r="G15" s="306">
        <f t="shared" si="34"/>
        <v>0</v>
      </c>
      <c r="H15" s="306">
        <f t="shared" si="34"/>
        <v>0</v>
      </c>
      <c r="I15" s="308">
        <f t="shared" si="34"/>
        <v>0</v>
      </c>
      <c r="J15" s="308">
        <f t="shared" si="34"/>
        <v>0</v>
      </c>
      <c r="K15" s="308">
        <f t="shared" si="34"/>
        <v>0</v>
      </c>
      <c r="L15" s="308">
        <f t="shared" si="34"/>
        <v>0</v>
      </c>
      <c r="M15" s="308">
        <f t="shared" si="34"/>
        <v>0</v>
      </c>
      <c r="N15" s="308">
        <f t="shared" si="34"/>
        <v>0</v>
      </c>
      <c r="O15" s="308">
        <f t="shared" si="34"/>
        <v>0</v>
      </c>
      <c r="P15" s="308">
        <f t="shared" si="34"/>
        <v>4175.5998</v>
      </c>
      <c r="Q15" s="308">
        <f t="shared" si="34"/>
        <v>2100.2337500000003</v>
      </c>
      <c r="R15" s="308">
        <f t="shared" si="34"/>
        <v>2564.6598999999997</v>
      </c>
      <c r="S15" s="308">
        <f t="shared" si="34"/>
        <v>4692.3635000000004</v>
      </c>
      <c r="T15" s="308">
        <f t="shared" si="34"/>
        <v>1677.19425</v>
      </c>
      <c r="U15" s="308">
        <f t="shared" si="34"/>
        <v>1119.6247499999999</v>
      </c>
      <c r="V15" s="308">
        <f t="shared" si="34"/>
        <v>16329.675950000001</v>
      </c>
      <c r="W15" s="308">
        <f t="shared" si="34"/>
        <v>1858.8452500000001</v>
      </c>
      <c r="X15" s="308">
        <f t="shared" si="34"/>
        <v>1319.2069999999999</v>
      </c>
      <c r="Y15" s="308">
        <f t="shared" si="34"/>
        <v>1649.0087500000002</v>
      </c>
      <c r="Z15" s="308">
        <f t="shared" si="34"/>
        <v>1649.0087500000002</v>
      </c>
      <c r="AA15" s="308">
        <f t="shared" si="34"/>
        <v>1518.4821999999999</v>
      </c>
      <c r="AB15" s="308">
        <f t="shared" si="34"/>
        <v>1695.2302</v>
      </c>
      <c r="AC15" s="308">
        <f t="shared" si="34"/>
        <v>1518.4821999999999</v>
      </c>
      <c r="AD15" s="308">
        <f t="shared" si="34"/>
        <v>1518.4821999999999</v>
      </c>
      <c r="AE15" s="308">
        <f t="shared" si="34"/>
        <v>2064.5427500000001</v>
      </c>
      <c r="AF15" s="308">
        <f t="shared" si="34"/>
        <v>1705.3267500000002</v>
      </c>
      <c r="AG15" s="308">
        <f t="shared" si="34"/>
        <v>1543.8694</v>
      </c>
      <c r="AH15" s="308">
        <f t="shared" si="34"/>
        <v>1705.3267500000002</v>
      </c>
      <c r="AI15" s="308">
        <f t="shared" si="34"/>
        <v>19745.8122</v>
      </c>
      <c r="AJ15" s="308">
        <f t="shared" si="34"/>
        <v>1543.8694</v>
      </c>
      <c r="AK15" s="308">
        <f t="shared" si="34"/>
        <v>1364.2613999999999</v>
      </c>
      <c r="AL15" s="308">
        <f t="shared" si="34"/>
        <v>1543.8694</v>
      </c>
      <c r="AM15" s="308">
        <f t="shared" si="34"/>
        <v>1769.9634500000002</v>
      </c>
      <c r="AN15" s="308">
        <f t="shared" si="34"/>
        <v>1733.4857500000003</v>
      </c>
      <c r="AO15" s="308">
        <f t="shared" si="34"/>
        <v>1733.4857500000003</v>
      </c>
      <c r="AP15" s="308">
        <f t="shared" si="34"/>
        <v>1733.4857500000003</v>
      </c>
      <c r="AQ15" s="308">
        <f t="shared" si="34"/>
        <v>1551.01775</v>
      </c>
      <c r="AR15" s="308">
        <f t="shared" si="34"/>
        <v>2132.3007500000003</v>
      </c>
      <c r="AS15" s="308">
        <f t="shared" si="34"/>
        <v>1761.6447499999999</v>
      </c>
      <c r="AT15" s="308">
        <f t="shared" si="34"/>
        <v>1576.31675</v>
      </c>
      <c r="AU15" s="308">
        <f t="shared" si="34"/>
        <v>1761.6447499999999</v>
      </c>
      <c r="AV15" s="308">
        <f t="shared" si="34"/>
        <v>20205.345649999999</v>
      </c>
      <c r="AW15" s="308">
        <f t="shared" si="34"/>
        <v>1789.80375</v>
      </c>
      <c r="AX15" s="308">
        <f t="shared" si="34"/>
        <v>1037.0517500000001</v>
      </c>
      <c r="AY15" s="308">
        <f t="shared" si="34"/>
        <v>848.86374999999998</v>
      </c>
      <c r="AZ15" s="308">
        <f t="shared" si="34"/>
        <v>848.86374999999998</v>
      </c>
      <c r="BA15" s="308">
        <f t="shared" si="34"/>
        <v>848.86374999999998</v>
      </c>
      <c r="BB15" s="308">
        <f t="shared" si="34"/>
        <v>848.86374999999998</v>
      </c>
      <c r="BC15" s="308">
        <f t="shared" si="34"/>
        <v>848.86374999999998</v>
      </c>
      <c r="BD15" s="308">
        <f t="shared" si="34"/>
        <v>848.86374999999998</v>
      </c>
      <c r="BE15" s="308">
        <f t="shared" si="34"/>
        <v>0</v>
      </c>
      <c r="BF15" s="308">
        <f t="shared" si="34"/>
        <v>0</v>
      </c>
      <c r="BG15" s="308">
        <f t="shared" si="34"/>
        <v>0</v>
      </c>
      <c r="BH15" s="308">
        <f t="shared" si="34"/>
        <v>0</v>
      </c>
      <c r="BI15" s="308">
        <f t="shared" si="34"/>
        <v>7920.0380000000023</v>
      </c>
      <c r="BJ15" s="311"/>
      <c r="BK15" s="311"/>
      <c r="BL15" s="311"/>
      <c r="BM15" s="311"/>
      <c r="BN15" s="311"/>
      <c r="BO15" s="311"/>
      <c r="BP15" s="301">
        <f t="shared" ref="BP15:BP17" si="35">I15+V15+AI15+AV15+BI15</f>
        <v>64200.871800000008</v>
      </c>
      <c r="BQ15" s="299"/>
      <c r="BR15" s="299"/>
      <c r="BS15" s="299"/>
      <c r="BT15" s="299"/>
      <c r="BU15" s="299"/>
      <c r="BV15" s="299"/>
      <c r="BW15" s="299"/>
      <c r="BX15" s="299"/>
      <c r="BY15" s="299"/>
      <c r="BZ15" s="299"/>
      <c r="CA15" s="299"/>
      <c r="CB15" s="299"/>
      <c r="CC15" s="299"/>
      <c r="CD15" s="299"/>
      <c r="CE15" s="299"/>
      <c r="CF15" s="299"/>
      <c r="CG15" s="299"/>
      <c r="CH15" s="299"/>
      <c r="CI15" s="299"/>
      <c r="CJ15" s="299"/>
      <c r="CK15" s="299"/>
      <c r="CL15" s="299"/>
      <c r="CM15" s="299"/>
      <c r="CN15" s="299"/>
      <c r="CO15" s="299"/>
      <c r="CP15" s="299"/>
      <c r="CQ15" s="299"/>
      <c r="CR15" s="299"/>
      <c r="CS15" s="299"/>
      <c r="CT15" s="299"/>
      <c r="CU15" s="299"/>
      <c r="CV15" s="299"/>
      <c r="CW15" s="299"/>
      <c r="CX15" s="299"/>
      <c r="CY15" s="299"/>
      <c r="CZ15" s="299"/>
      <c r="DA15" s="299"/>
      <c r="DB15" s="299"/>
      <c r="DC15" s="299"/>
      <c r="DD15" s="299"/>
      <c r="DE15" s="299"/>
      <c r="DF15" s="299"/>
      <c r="DG15" s="299"/>
      <c r="DH15" s="299"/>
      <c r="DI15" s="299"/>
      <c r="DJ15" s="299"/>
      <c r="DK15" s="299"/>
      <c r="DL15" s="299"/>
      <c r="DM15" s="299"/>
      <c r="DN15" s="299"/>
      <c r="DO15" s="299"/>
      <c r="DP15" s="299"/>
      <c r="DQ15" s="299"/>
      <c r="DR15" s="299"/>
      <c r="DS15" s="299"/>
      <c r="DT15" s="299"/>
      <c r="DU15" s="299"/>
      <c r="DV15" s="299"/>
      <c r="DW15" s="299"/>
      <c r="DX15" s="299"/>
      <c r="DY15" s="299"/>
      <c r="DZ15" s="299"/>
      <c r="EA15" s="299"/>
      <c r="EB15" s="299"/>
      <c r="EC15" s="299"/>
      <c r="ED15" s="299"/>
      <c r="EE15" s="299"/>
      <c r="EF15" s="299"/>
      <c r="EG15" s="299"/>
      <c r="EH15" s="299"/>
      <c r="EI15" s="299"/>
      <c r="EJ15" s="299"/>
      <c r="EK15" s="299"/>
      <c r="EL15" s="299"/>
      <c r="EM15" s="299"/>
      <c r="EN15" s="299"/>
      <c r="EO15" s="299"/>
      <c r="EP15" s="299"/>
      <c r="EQ15" s="299"/>
      <c r="ER15" s="299"/>
      <c r="ES15" s="299"/>
    </row>
    <row r="16" spans="1:149" s="281" customFormat="1" ht="12.75" x14ac:dyDescent="0.15">
      <c r="A16" s="393" t="s">
        <v>1422</v>
      </c>
      <c r="B16" s="388" t="s">
        <v>1423</v>
      </c>
      <c r="C16" s="293" t="s">
        <v>1416</v>
      </c>
      <c r="D16" s="294">
        <v>30</v>
      </c>
      <c r="E16" s="313"/>
      <c r="F16" s="313"/>
      <c r="G16" s="277"/>
      <c r="H16" s="277"/>
      <c r="I16" s="314"/>
      <c r="J16" s="277"/>
      <c r="K16" s="277"/>
      <c r="L16" s="277"/>
      <c r="M16" s="277"/>
      <c r="N16" s="313">
        <v>0</v>
      </c>
      <c r="O16" s="313">
        <v>0</v>
      </c>
      <c r="P16" s="277">
        <v>0</v>
      </c>
      <c r="Q16" s="277">
        <v>0</v>
      </c>
      <c r="R16" s="277">
        <v>0</v>
      </c>
      <c r="S16" s="315">
        <v>0</v>
      </c>
      <c r="T16" s="277">
        <v>0</v>
      </c>
      <c r="U16" s="313">
        <v>0</v>
      </c>
      <c r="V16" s="276">
        <f t="shared" ref="V16:V21" si="36">SUM(J16:U16)</f>
        <v>0</v>
      </c>
      <c r="W16" s="277">
        <v>0</v>
      </c>
      <c r="X16" s="277">
        <v>0</v>
      </c>
      <c r="Y16" s="313">
        <v>0</v>
      </c>
      <c r="Z16" s="313">
        <v>0</v>
      </c>
      <c r="AA16" s="313">
        <v>5</v>
      </c>
      <c r="AB16" s="313">
        <v>3</v>
      </c>
      <c r="AC16" s="313">
        <v>3</v>
      </c>
      <c r="AD16" s="313">
        <v>3</v>
      </c>
      <c r="AE16" s="313">
        <v>3</v>
      </c>
      <c r="AF16" s="313">
        <v>2</v>
      </c>
      <c r="AG16" s="277">
        <v>2</v>
      </c>
      <c r="AH16" s="277">
        <v>2</v>
      </c>
      <c r="AI16" s="276">
        <f t="shared" ref="AI16:AI21" si="37">SUM(W16:AH16)</f>
        <v>23</v>
      </c>
      <c r="AJ16" s="277">
        <v>1</v>
      </c>
      <c r="AK16" s="277">
        <v>1</v>
      </c>
      <c r="AL16" s="315">
        <v>1</v>
      </c>
      <c r="AM16" s="315">
        <v>1</v>
      </c>
      <c r="AN16" s="277">
        <v>1</v>
      </c>
      <c r="AO16" s="277">
        <v>1</v>
      </c>
      <c r="AP16" s="277">
        <v>1</v>
      </c>
      <c r="AQ16" s="277">
        <v>0</v>
      </c>
      <c r="AR16" s="313">
        <v>0</v>
      </c>
      <c r="AS16" s="315">
        <v>0</v>
      </c>
      <c r="AT16" s="277">
        <v>0</v>
      </c>
      <c r="AU16" s="277">
        <v>0</v>
      </c>
      <c r="AV16" s="276">
        <f t="shared" ref="AV16:AV21" si="38">SUM(AJ16:AU16)</f>
        <v>7</v>
      </c>
      <c r="AW16" s="277">
        <v>0</v>
      </c>
      <c r="AX16" s="277">
        <v>0</v>
      </c>
      <c r="AY16" s="315">
        <v>0</v>
      </c>
      <c r="AZ16" s="315">
        <v>0</v>
      </c>
      <c r="BA16" s="315"/>
      <c r="BB16" s="315"/>
      <c r="BC16" s="315"/>
      <c r="BD16" s="315"/>
      <c r="BE16" s="315"/>
      <c r="BF16" s="315"/>
      <c r="BG16" s="315"/>
      <c r="BH16" s="315"/>
      <c r="BI16" s="316">
        <f t="shared" ref="BI16:BI21" si="39">SUM(AW16:BH16)</f>
        <v>0</v>
      </c>
      <c r="BJ16" s="317"/>
      <c r="BK16" s="317"/>
      <c r="BL16" s="317"/>
      <c r="BM16" s="317"/>
      <c r="BN16" s="317"/>
      <c r="BO16" s="317"/>
      <c r="BP16" s="301">
        <f t="shared" si="35"/>
        <v>30</v>
      </c>
      <c r="BQ16" s="318">
        <f>BP16-D16</f>
        <v>0</v>
      </c>
    </row>
    <row r="17" spans="1:69" s="281" customFormat="1" ht="12.75" x14ac:dyDescent="0.15">
      <c r="A17" s="394"/>
      <c r="B17" s="389"/>
      <c r="C17" s="293" t="s">
        <v>1417</v>
      </c>
      <c r="D17" s="294">
        <v>147</v>
      </c>
      <c r="E17" s="295"/>
      <c r="F17" s="295"/>
      <c r="G17" s="295"/>
      <c r="H17" s="295"/>
      <c r="I17" s="314"/>
      <c r="J17" s="277"/>
      <c r="K17" s="313"/>
      <c r="L17" s="313"/>
      <c r="M17" s="313"/>
      <c r="N17" s="295">
        <f>N16*D17</f>
        <v>0</v>
      </c>
      <c r="O17" s="295">
        <f>O16*D17</f>
        <v>0</v>
      </c>
      <c r="P17" s="295">
        <f>P16*D17</f>
        <v>0</v>
      </c>
      <c r="Q17" s="295">
        <f>Q16*D17</f>
        <v>0</v>
      </c>
      <c r="R17" s="313">
        <f>R16*D17</f>
        <v>0</v>
      </c>
      <c r="S17" s="315">
        <f>S16*D17</f>
        <v>0</v>
      </c>
      <c r="T17" s="313">
        <f>T16*D17</f>
        <v>0</v>
      </c>
      <c r="U17" s="313">
        <f>U16*D17</f>
        <v>0</v>
      </c>
      <c r="V17" s="276">
        <f t="shared" si="36"/>
        <v>0</v>
      </c>
      <c r="W17" s="313">
        <f>W16*D17</f>
        <v>0</v>
      </c>
      <c r="X17" s="313">
        <f>X16*D17</f>
        <v>0</v>
      </c>
      <c r="Y17" s="313">
        <f>Y16*D17</f>
        <v>0</v>
      </c>
      <c r="Z17" s="313">
        <f>Z16*D17</f>
        <v>0</v>
      </c>
      <c r="AA17" s="313">
        <f>AA16*D17</f>
        <v>735</v>
      </c>
      <c r="AB17" s="313">
        <f>AB16*D17</f>
        <v>441</v>
      </c>
      <c r="AC17" s="313">
        <f>AC16*D17</f>
        <v>441</v>
      </c>
      <c r="AD17" s="313">
        <f>AD16*D17</f>
        <v>441</v>
      </c>
      <c r="AE17" s="313">
        <f>AE16*D17</f>
        <v>441</v>
      </c>
      <c r="AF17" s="313">
        <f>AF16*D17</f>
        <v>294</v>
      </c>
      <c r="AG17" s="313">
        <f>AG16*D17</f>
        <v>294</v>
      </c>
      <c r="AH17" s="313">
        <f>AH16*D17</f>
        <v>294</v>
      </c>
      <c r="AI17" s="276">
        <f t="shared" si="37"/>
        <v>3381</v>
      </c>
      <c r="AJ17" s="313">
        <f>AJ16*D17</f>
        <v>147</v>
      </c>
      <c r="AK17" s="313">
        <f>AK16*D17</f>
        <v>147</v>
      </c>
      <c r="AL17" s="313">
        <f>AL16*D17</f>
        <v>147</v>
      </c>
      <c r="AM17" s="313">
        <f>AM16*D17</f>
        <v>147</v>
      </c>
      <c r="AN17" s="313">
        <f>AN16*D17</f>
        <v>147</v>
      </c>
      <c r="AO17" s="313">
        <f>AO16*D17</f>
        <v>147</v>
      </c>
      <c r="AP17" s="313">
        <f>AP16*D17</f>
        <v>147</v>
      </c>
      <c r="AQ17" s="313">
        <f>AQ16*D17</f>
        <v>0</v>
      </c>
      <c r="AR17" s="313">
        <f>AR16*D17</f>
        <v>0</v>
      </c>
      <c r="AS17" s="313">
        <f>AS16*D17</f>
        <v>0</v>
      </c>
      <c r="AT17" s="313">
        <f>AT16*D17</f>
        <v>0</v>
      </c>
      <c r="AU17" s="313">
        <f>AU16*D17</f>
        <v>0</v>
      </c>
      <c r="AV17" s="276">
        <f t="shared" si="38"/>
        <v>1029</v>
      </c>
      <c r="AW17" s="277">
        <f>AW16*D17</f>
        <v>0</v>
      </c>
      <c r="AX17" s="277">
        <f>AX16*D17</f>
        <v>0</v>
      </c>
      <c r="AY17" s="277">
        <f>AY16*D17</f>
        <v>0</v>
      </c>
      <c r="AZ17" s="277">
        <f>AZ16*D17</f>
        <v>0</v>
      </c>
      <c r="BA17" s="277">
        <f t="shared" ref="BA17:BH17" si="40">BA16*190</f>
        <v>0</v>
      </c>
      <c r="BB17" s="277">
        <f t="shared" si="40"/>
        <v>0</v>
      </c>
      <c r="BC17" s="277">
        <f t="shared" si="40"/>
        <v>0</v>
      </c>
      <c r="BD17" s="277">
        <f t="shared" si="40"/>
        <v>0</v>
      </c>
      <c r="BE17" s="277">
        <f t="shared" si="40"/>
        <v>0</v>
      </c>
      <c r="BF17" s="277">
        <f t="shared" si="40"/>
        <v>0</v>
      </c>
      <c r="BG17" s="277">
        <f t="shared" si="40"/>
        <v>0</v>
      </c>
      <c r="BH17" s="277">
        <f t="shared" si="40"/>
        <v>0</v>
      </c>
      <c r="BI17" s="316">
        <f t="shared" si="39"/>
        <v>0</v>
      </c>
      <c r="BJ17" s="317"/>
      <c r="BK17" s="317"/>
      <c r="BL17" s="317"/>
      <c r="BM17" s="317"/>
      <c r="BN17" s="317"/>
      <c r="BO17" s="317"/>
      <c r="BP17" s="301">
        <f t="shared" si="35"/>
        <v>4410</v>
      </c>
    </row>
    <row r="18" spans="1:69" s="281" customFormat="1" ht="12.75" x14ac:dyDescent="0.15">
      <c r="A18" s="394"/>
      <c r="B18" s="389"/>
      <c r="C18" s="372" t="s">
        <v>1418</v>
      </c>
      <c r="D18" s="373"/>
      <c r="E18" s="313"/>
      <c r="F18" s="313"/>
      <c r="G18" s="313"/>
      <c r="H18" s="313"/>
      <c r="I18" s="314"/>
      <c r="J18" s="313"/>
      <c r="K18" s="313"/>
      <c r="L18" s="313"/>
      <c r="M18" s="313"/>
      <c r="N18" s="319">
        <v>0</v>
      </c>
      <c r="O18" s="313">
        <f t="shared" ref="O18:Q18" si="41">N18</f>
        <v>0</v>
      </c>
      <c r="P18" s="313">
        <f t="shared" si="41"/>
        <v>0</v>
      </c>
      <c r="Q18" s="313">
        <f t="shared" si="41"/>
        <v>0</v>
      </c>
      <c r="R18" s="313"/>
      <c r="S18" s="313">
        <f t="shared" ref="S18:U18" si="42">R18</f>
        <v>0</v>
      </c>
      <c r="T18" s="313">
        <f t="shared" si="42"/>
        <v>0</v>
      </c>
      <c r="U18" s="313">
        <f t="shared" si="42"/>
        <v>0</v>
      </c>
      <c r="V18" s="320" t="e">
        <f>V19/V17*10000</f>
        <v>#DIV/0!</v>
      </c>
      <c r="W18" s="295">
        <f>U18</f>
        <v>0</v>
      </c>
      <c r="X18" s="295">
        <f t="shared" ref="X18:AD18" si="43">W18</f>
        <v>0</v>
      </c>
      <c r="Y18" s="295">
        <f t="shared" si="43"/>
        <v>0</v>
      </c>
      <c r="Z18" s="295"/>
      <c r="AA18" s="295">
        <v>13500</v>
      </c>
      <c r="AB18" s="295">
        <f t="shared" si="43"/>
        <v>13500</v>
      </c>
      <c r="AC18" s="295">
        <f t="shared" si="43"/>
        <v>13500</v>
      </c>
      <c r="AD18" s="295">
        <f t="shared" si="43"/>
        <v>13500</v>
      </c>
      <c r="AE18" s="295">
        <f>AD18+300</f>
        <v>13800</v>
      </c>
      <c r="AF18" s="295">
        <f t="shared" ref="AF18:AH18" si="44">AE18</f>
        <v>13800</v>
      </c>
      <c r="AG18" s="295">
        <f t="shared" si="44"/>
        <v>13800</v>
      </c>
      <c r="AH18" s="295">
        <f t="shared" si="44"/>
        <v>13800</v>
      </c>
      <c r="AI18" s="320">
        <f>AI19/AI17*10000</f>
        <v>13617.391304347826</v>
      </c>
      <c r="AJ18" s="313">
        <f>AH18</f>
        <v>13800</v>
      </c>
      <c r="AK18" s="313">
        <f>AJ18</f>
        <v>13800</v>
      </c>
      <c r="AL18" s="313">
        <f>AK18</f>
        <v>13800</v>
      </c>
      <c r="AM18" s="313">
        <f>AL18+300</f>
        <v>14100</v>
      </c>
      <c r="AN18" s="313">
        <f t="shared" ref="AN18:AU18" si="45">AM18</f>
        <v>14100</v>
      </c>
      <c r="AO18" s="313">
        <f t="shared" si="45"/>
        <v>14100</v>
      </c>
      <c r="AP18" s="313">
        <f t="shared" si="45"/>
        <v>14100</v>
      </c>
      <c r="AQ18" s="313">
        <f t="shared" si="45"/>
        <v>14100</v>
      </c>
      <c r="AR18" s="313">
        <f>AQ18+300</f>
        <v>14400</v>
      </c>
      <c r="AS18" s="313">
        <f t="shared" si="45"/>
        <v>14400</v>
      </c>
      <c r="AT18" s="313">
        <f t="shared" si="45"/>
        <v>14400</v>
      </c>
      <c r="AU18" s="313">
        <f t="shared" si="45"/>
        <v>14400</v>
      </c>
      <c r="AV18" s="320">
        <f>AV19/AV17*10000</f>
        <v>13971.428571428572</v>
      </c>
      <c r="AW18" s="277">
        <f>AU18</f>
        <v>14400</v>
      </c>
      <c r="AX18" s="277">
        <f t="shared" ref="AX18:BH18" si="46">AW18</f>
        <v>14400</v>
      </c>
      <c r="AY18" s="277">
        <f t="shared" si="46"/>
        <v>14400</v>
      </c>
      <c r="AZ18" s="315">
        <f t="shared" si="46"/>
        <v>14400</v>
      </c>
      <c r="BA18" s="315">
        <f t="shared" si="46"/>
        <v>14400</v>
      </c>
      <c r="BB18" s="315">
        <f t="shared" si="46"/>
        <v>14400</v>
      </c>
      <c r="BC18" s="315">
        <f t="shared" si="46"/>
        <v>14400</v>
      </c>
      <c r="BD18" s="315">
        <f t="shared" si="46"/>
        <v>14400</v>
      </c>
      <c r="BE18" s="315">
        <f t="shared" si="46"/>
        <v>14400</v>
      </c>
      <c r="BF18" s="315">
        <f t="shared" si="46"/>
        <v>14400</v>
      </c>
      <c r="BG18" s="315">
        <f t="shared" si="46"/>
        <v>14400</v>
      </c>
      <c r="BH18" s="315">
        <f t="shared" si="46"/>
        <v>14400</v>
      </c>
      <c r="BI18" s="316" t="e">
        <f>BI19/BI17*10000</f>
        <v>#DIV/0!</v>
      </c>
      <c r="BJ18" s="317"/>
      <c r="BK18" s="317"/>
      <c r="BL18" s="317"/>
      <c r="BM18" s="317"/>
      <c r="BN18" s="317"/>
      <c r="BO18" s="317"/>
      <c r="BP18" s="321">
        <f>BP19/BP17*10000</f>
        <v>13699.999999999998</v>
      </c>
    </row>
    <row r="19" spans="1:69" s="281" customFormat="1" ht="12.75" x14ac:dyDescent="0.15">
      <c r="A19" s="394"/>
      <c r="B19" s="390"/>
      <c r="C19" s="371" t="s">
        <v>1419</v>
      </c>
      <c r="D19" s="371"/>
      <c r="E19" s="293"/>
      <c r="F19" s="293"/>
      <c r="G19" s="293"/>
      <c r="H19" s="293"/>
      <c r="I19" s="322"/>
      <c r="J19" s="313"/>
      <c r="K19" s="313"/>
      <c r="L19" s="313"/>
      <c r="M19" s="313"/>
      <c r="N19" s="313">
        <f t="shared" ref="N19:U19" si="47">N17*N18/10000</f>
        <v>0</v>
      </c>
      <c r="O19" s="313">
        <f t="shared" si="47"/>
        <v>0</v>
      </c>
      <c r="P19" s="313">
        <f t="shared" si="47"/>
        <v>0</v>
      </c>
      <c r="Q19" s="313">
        <f t="shared" si="47"/>
        <v>0</v>
      </c>
      <c r="R19" s="313">
        <f t="shared" si="47"/>
        <v>0</v>
      </c>
      <c r="S19" s="313">
        <f t="shared" si="47"/>
        <v>0</v>
      </c>
      <c r="T19" s="313">
        <f t="shared" si="47"/>
        <v>0</v>
      </c>
      <c r="U19" s="313">
        <f t="shared" si="47"/>
        <v>0</v>
      </c>
      <c r="V19" s="276">
        <f t="shared" si="36"/>
        <v>0</v>
      </c>
      <c r="W19" s="313">
        <f>W17*W18/10000</f>
        <v>0</v>
      </c>
      <c r="X19" s="313">
        <f t="shared" ref="X19:AH19" si="48">X17*X18/10000</f>
        <v>0</v>
      </c>
      <c r="Y19" s="313">
        <f t="shared" si="48"/>
        <v>0</v>
      </c>
      <c r="Z19" s="313">
        <f t="shared" si="48"/>
        <v>0</v>
      </c>
      <c r="AA19" s="313">
        <f t="shared" si="48"/>
        <v>992.25</v>
      </c>
      <c r="AB19" s="313">
        <f t="shared" si="48"/>
        <v>595.35</v>
      </c>
      <c r="AC19" s="313">
        <f t="shared" si="48"/>
        <v>595.35</v>
      </c>
      <c r="AD19" s="313">
        <f t="shared" si="48"/>
        <v>595.35</v>
      </c>
      <c r="AE19" s="313">
        <f t="shared" si="48"/>
        <v>608.58000000000004</v>
      </c>
      <c r="AF19" s="313">
        <f t="shared" si="48"/>
        <v>405.72</v>
      </c>
      <c r="AG19" s="313">
        <f t="shared" si="48"/>
        <v>405.72</v>
      </c>
      <c r="AH19" s="313">
        <f t="shared" si="48"/>
        <v>405.72</v>
      </c>
      <c r="AI19" s="276">
        <f t="shared" si="37"/>
        <v>4604.04</v>
      </c>
      <c r="AJ19" s="313">
        <f>AJ17*AJ18/10000</f>
        <v>202.86</v>
      </c>
      <c r="AK19" s="313">
        <f t="shared" ref="AK19:AU19" si="49">AK17*AK18/10000</f>
        <v>202.86</v>
      </c>
      <c r="AL19" s="313">
        <f t="shared" si="49"/>
        <v>202.86</v>
      </c>
      <c r="AM19" s="313">
        <f t="shared" si="49"/>
        <v>207.27</v>
      </c>
      <c r="AN19" s="313">
        <f t="shared" si="49"/>
        <v>207.27</v>
      </c>
      <c r="AO19" s="313">
        <f t="shared" si="49"/>
        <v>207.27</v>
      </c>
      <c r="AP19" s="313">
        <f t="shared" si="49"/>
        <v>207.27</v>
      </c>
      <c r="AQ19" s="277">
        <f t="shared" si="49"/>
        <v>0</v>
      </c>
      <c r="AR19" s="277">
        <f t="shared" si="49"/>
        <v>0</v>
      </c>
      <c r="AS19" s="277">
        <f t="shared" si="49"/>
        <v>0</v>
      </c>
      <c r="AT19" s="277">
        <f t="shared" si="49"/>
        <v>0</v>
      </c>
      <c r="AU19" s="277">
        <f t="shared" si="49"/>
        <v>0</v>
      </c>
      <c r="AV19" s="276">
        <f t="shared" si="38"/>
        <v>1437.66</v>
      </c>
      <c r="AW19" s="277">
        <f>AW17*AW18/10000</f>
        <v>0</v>
      </c>
      <c r="AX19" s="277">
        <f t="shared" ref="AX19:BH19" si="50">AX17*AX18/10000</f>
        <v>0</v>
      </c>
      <c r="AY19" s="277">
        <f t="shared" si="50"/>
        <v>0</v>
      </c>
      <c r="AZ19" s="277">
        <f t="shared" si="50"/>
        <v>0</v>
      </c>
      <c r="BA19" s="277">
        <f t="shared" si="50"/>
        <v>0</v>
      </c>
      <c r="BB19" s="277">
        <f t="shared" si="50"/>
        <v>0</v>
      </c>
      <c r="BC19" s="277">
        <f t="shared" si="50"/>
        <v>0</v>
      </c>
      <c r="BD19" s="277">
        <f t="shared" si="50"/>
        <v>0</v>
      </c>
      <c r="BE19" s="277">
        <f t="shared" si="50"/>
        <v>0</v>
      </c>
      <c r="BF19" s="277">
        <f t="shared" si="50"/>
        <v>0</v>
      </c>
      <c r="BG19" s="277">
        <f t="shared" si="50"/>
        <v>0</v>
      </c>
      <c r="BH19" s="277">
        <f t="shared" si="50"/>
        <v>0</v>
      </c>
      <c r="BI19" s="316">
        <f t="shared" si="39"/>
        <v>0</v>
      </c>
      <c r="BJ19" s="317"/>
      <c r="BK19" s="317"/>
      <c r="BL19" s="317"/>
      <c r="BM19" s="317"/>
      <c r="BN19" s="317"/>
      <c r="BO19" s="317"/>
      <c r="BP19" s="280">
        <f t="shared" ref="BP19:BP21" si="51">I19+V19+AI19+AV19+BI19</f>
        <v>6041.7</v>
      </c>
    </row>
    <row r="20" spans="1:69" s="281" customFormat="1" ht="12.75" x14ac:dyDescent="0.15">
      <c r="A20" s="394"/>
      <c r="B20" s="388" t="s">
        <v>1424</v>
      </c>
      <c r="C20" s="293" t="s">
        <v>1416</v>
      </c>
      <c r="D20" s="294">
        <v>30</v>
      </c>
      <c r="E20" s="323"/>
      <c r="F20" s="323"/>
      <c r="G20" s="324"/>
      <c r="H20" s="324"/>
      <c r="I20" s="322"/>
      <c r="J20" s="324"/>
      <c r="K20" s="324"/>
      <c r="L20" s="325"/>
      <c r="M20" s="323"/>
      <c r="N20" s="323">
        <v>0</v>
      </c>
      <c r="O20" s="323">
        <v>0</v>
      </c>
      <c r="P20" s="324">
        <v>0</v>
      </c>
      <c r="Q20" s="324">
        <v>0</v>
      </c>
      <c r="R20" s="323">
        <v>0</v>
      </c>
      <c r="S20" s="325">
        <v>0</v>
      </c>
      <c r="T20" s="324">
        <v>0</v>
      </c>
      <c r="U20" s="323">
        <v>0</v>
      </c>
      <c r="V20" s="326">
        <f t="shared" si="36"/>
        <v>0</v>
      </c>
      <c r="W20" s="324">
        <v>0</v>
      </c>
      <c r="X20" s="324">
        <v>0</v>
      </c>
      <c r="Y20" s="323">
        <v>0</v>
      </c>
      <c r="Z20" s="323">
        <v>0</v>
      </c>
      <c r="AA20" s="323">
        <v>5</v>
      </c>
      <c r="AB20" s="323">
        <v>2</v>
      </c>
      <c r="AC20" s="323">
        <v>2</v>
      </c>
      <c r="AD20" s="323">
        <v>2</v>
      </c>
      <c r="AE20" s="323">
        <v>3</v>
      </c>
      <c r="AF20" s="323">
        <v>2</v>
      </c>
      <c r="AG20" s="324">
        <v>2</v>
      </c>
      <c r="AH20" s="324">
        <v>2</v>
      </c>
      <c r="AI20" s="326">
        <f t="shared" si="37"/>
        <v>20</v>
      </c>
      <c r="AJ20" s="324">
        <v>1</v>
      </c>
      <c r="AK20" s="324">
        <v>1</v>
      </c>
      <c r="AL20" s="325">
        <v>1</v>
      </c>
      <c r="AM20" s="325">
        <v>1</v>
      </c>
      <c r="AN20" s="324">
        <v>1</v>
      </c>
      <c r="AO20" s="324">
        <v>1</v>
      </c>
      <c r="AP20" s="324">
        <v>1</v>
      </c>
      <c r="AQ20" s="324">
        <v>1</v>
      </c>
      <c r="AR20" s="323">
        <v>1</v>
      </c>
      <c r="AS20" s="325">
        <v>1</v>
      </c>
      <c r="AT20" s="324">
        <v>0</v>
      </c>
      <c r="AU20" s="324">
        <v>0</v>
      </c>
      <c r="AV20" s="326">
        <f t="shared" si="38"/>
        <v>10</v>
      </c>
      <c r="AW20" s="324">
        <v>0</v>
      </c>
      <c r="AX20" s="324">
        <v>0</v>
      </c>
      <c r="AY20" s="325">
        <v>0</v>
      </c>
      <c r="AZ20" s="325">
        <v>0</v>
      </c>
      <c r="BA20" s="325">
        <v>0</v>
      </c>
      <c r="BB20" s="325">
        <v>0</v>
      </c>
      <c r="BC20" s="325">
        <v>0</v>
      </c>
      <c r="BD20" s="325"/>
      <c r="BE20" s="325"/>
      <c r="BF20" s="325"/>
      <c r="BG20" s="325"/>
      <c r="BH20" s="325"/>
      <c r="BI20" s="327">
        <f t="shared" si="39"/>
        <v>0</v>
      </c>
      <c r="BJ20" s="328"/>
      <c r="BK20" s="328"/>
      <c r="BL20" s="328"/>
      <c r="BM20" s="328"/>
      <c r="BN20" s="328"/>
      <c r="BO20" s="328"/>
      <c r="BP20" s="280">
        <f t="shared" si="51"/>
        <v>30</v>
      </c>
      <c r="BQ20" s="318">
        <f>BP20-D20</f>
        <v>0</v>
      </c>
    </row>
    <row r="21" spans="1:69" s="281" customFormat="1" ht="12.75" x14ac:dyDescent="0.15">
      <c r="A21" s="394"/>
      <c r="B21" s="389"/>
      <c r="C21" s="293" t="s">
        <v>1417</v>
      </c>
      <c r="D21" s="294">
        <v>146</v>
      </c>
      <c r="E21" s="329"/>
      <c r="F21" s="329"/>
      <c r="G21" s="329"/>
      <c r="H21" s="329"/>
      <c r="I21" s="314"/>
      <c r="J21" s="324"/>
      <c r="K21" s="324"/>
      <c r="L21" s="324"/>
      <c r="M21" s="324"/>
      <c r="N21" s="329">
        <f>N20*D21</f>
        <v>0</v>
      </c>
      <c r="O21" s="329">
        <f>O20*D21</f>
        <v>0</v>
      </c>
      <c r="P21" s="329">
        <f>P20*D21</f>
        <v>0</v>
      </c>
      <c r="Q21" s="329">
        <f>Q20*D21</f>
        <v>0</v>
      </c>
      <c r="R21" s="324">
        <f>R20*D21</f>
        <v>0</v>
      </c>
      <c r="S21" s="324">
        <f>S20*D21</f>
        <v>0</v>
      </c>
      <c r="T21" s="324">
        <f>T20*D21</f>
        <v>0</v>
      </c>
      <c r="U21" s="324">
        <f>U20*D21</f>
        <v>0</v>
      </c>
      <c r="V21" s="326">
        <f t="shared" si="36"/>
        <v>0</v>
      </c>
      <c r="W21" s="324">
        <f>W20*D21</f>
        <v>0</v>
      </c>
      <c r="X21" s="324">
        <f>X20*D21</f>
        <v>0</v>
      </c>
      <c r="Y21" s="324">
        <f>Y20*D21</f>
        <v>0</v>
      </c>
      <c r="Z21" s="324">
        <f>Z20*D21</f>
        <v>0</v>
      </c>
      <c r="AA21" s="324">
        <f>AA20*D21</f>
        <v>730</v>
      </c>
      <c r="AB21" s="324">
        <f>AB20*D21</f>
        <v>292</v>
      </c>
      <c r="AC21" s="324">
        <f>AC20*D21</f>
        <v>292</v>
      </c>
      <c r="AD21" s="324">
        <f>AD20*D21</f>
        <v>292</v>
      </c>
      <c r="AE21" s="324">
        <f>AE20*D21</f>
        <v>438</v>
      </c>
      <c r="AF21" s="324">
        <f>AF20*D21</f>
        <v>292</v>
      </c>
      <c r="AG21" s="324">
        <f>AG20*D21</f>
        <v>292</v>
      </c>
      <c r="AH21" s="324">
        <f>AH20*D21</f>
        <v>292</v>
      </c>
      <c r="AI21" s="326">
        <f t="shared" si="37"/>
        <v>2920</v>
      </c>
      <c r="AJ21" s="324">
        <f>AJ20*D21</f>
        <v>146</v>
      </c>
      <c r="AK21" s="324">
        <f>AK20*D21</f>
        <v>146</v>
      </c>
      <c r="AL21" s="313">
        <f>AL20*D21</f>
        <v>146</v>
      </c>
      <c r="AM21" s="313">
        <f>AM20*D21</f>
        <v>146</v>
      </c>
      <c r="AN21" s="313">
        <f>AN20*D21</f>
        <v>146</v>
      </c>
      <c r="AO21" s="313">
        <f>AO20*D21</f>
        <v>146</v>
      </c>
      <c r="AP21" s="313">
        <f>AP20*D21</f>
        <v>146</v>
      </c>
      <c r="AQ21" s="324">
        <f>AQ20*D21</f>
        <v>146</v>
      </c>
      <c r="AR21" s="324">
        <f>AR20*D21</f>
        <v>146</v>
      </c>
      <c r="AS21" s="324">
        <f>AS20*D21</f>
        <v>146</v>
      </c>
      <c r="AT21" s="324">
        <f>AT20*D21</f>
        <v>0</v>
      </c>
      <c r="AU21" s="324">
        <f>AU20*D21</f>
        <v>0</v>
      </c>
      <c r="AV21" s="326">
        <f t="shared" si="38"/>
        <v>1460</v>
      </c>
      <c r="AW21" s="324">
        <f>AW20*D21</f>
        <v>0</v>
      </c>
      <c r="AX21" s="324">
        <f>AX20*D21</f>
        <v>0</v>
      </c>
      <c r="AY21" s="324">
        <f>AY20*D21</f>
        <v>0</v>
      </c>
      <c r="AZ21" s="324">
        <f>AZ20*D21</f>
        <v>0</v>
      </c>
      <c r="BA21" s="324">
        <f>BA20*D21</f>
        <v>0</v>
      </c>
      <c r="BB21" s="324">
        <f>BB20*D21</f>
        <v>0</v>
      </c>
      <c r="BC21" s="324">
        <f>BC20*D21</f>
        <v>0</v>
      </c>
      <c r="BD21" s="324">
        <f>BD20*D21</f>
        <v>0</v>
      </c>
      <c r="BE21" s="324">
        <f>BE20*D21</f>
        <v>0</v>
      </c>
      <c r="BF21" s="324">
        <f>BF20*D21</f>
        <v>0</v>
      </c>
      <c r="BG21" s="324">
        <f>BG20*D21</f>
        <v>0</v>
      </c>
      <c r="BH21" s="324">
        <f>BH20*D21</f>
        <v>0</v>
      </c>
      <c r="BI21" s="327">
        <f t="shared" si="39"/>
        <v>0</v>
      </c>
      <c r="BJ21" s="328"/>
      <c r="BK21" s="328"/>
      <c r="BL21" s="328"/>
      <c r="BM21" s="328"/>
      <c r="BN21" s="328"/>
      <c r="BO21" s="328"/>
      <c r="BP21" s="301">
        <f t="shared" si="51"/>
        <v>4380</v>
      </c>
    </row>
    <row r="22" spans="1:69" s="281" customFormat="1" ht="12.75" x14ac:dyDescent="0.15">
      <c r="A22" s="394"/>
      <c r="B22" s="389"/>
      <c r="C22" s="372" t="s">
        <v>1418</v>
      </c>
      <c r="D22" s="373"/>
      <c r="E22" s="329"/>
      <c r="F22" s="323"/>
      <c r="G22" s="324"/>
      <c r="H22" s="324"/>
      <c r="I22" s="330"/>
      <c r="J22" s="331"/>
      <c r="K22" s="331"/>
      <c r="L22" s="323"/>
      <c r="M22" s="323"/>
      <c r="N22" s="319">
        <v>0</v>
      </c>
      <c r="O22" s="323">
        <f t="shared" ref="O22:Q22" si="52">N22</f>
        <v>0</v>
      </c>
      <c r="P22" s="324">
        <f t="shared" si="52"/>
        <v>0</v>
      </c>
      <c r="Q22" s="324">
        <f t="shared" si="52"/>
        <v>0</v>
      </c>
      <c r="R22" s="323"/>
      <c r="S22" s="323">
        <f t="shared" ref="S22:U22" si="53">R22</f>
        <v>0</v>
      </c>
      <c r="T22" s="331">
        <f t="shared" si="53"/>
        <v>0</v>
      </c>
      <c r="U22" s="323">
        <f t="shared" si="53"/>
        <v>0</v>
      </c>
      <c r="V22" s="332" t="e">
        <f>V23/V21*10000</f>
        <v>#DIV/0!</v>
      </c>
      <c r="W22" s="331">
        <f>U22</f>
        <v>0</v>
      </c>
      <c r="X22" s="331">
        <f t="shared" ref="X22:AD22" si="54">W22</f>
        <v>0</v>
      </c>
      <c r="Y22" s="323">
        <f t="shared" si="54"/>
        <v>0</v>
      </c>
      <c r="Z22" s="323">
        <v>0</v>
      </c>
      <c r="AA22" s="323">
        <v>12000</v>
      </c>
      <c r="AB22" s="323">
        <f t="shared" si="54"/>
        <v>12000</v>
      </c>
      <c r="AC22" s="323">
        <f t="shared" si="54"/>
        <v>12000</v>
      </c>
      <c r="AD22" s="323">
        <f t="shared" si="54"/>
        <v>12000</v>
      </c>
      <c r="AE22" s="323">
        <f>AD22+200</f>
        <v>12200</v>
      </c>
      <c r="AF22" s="323">
        <f t="shared" ref="AF22:AH22" si="55">AE22</f>
        <v>12200</v>
      </c>
      <c r="AG22" s="323">
        <f t="shared" si="55"/>
        <v>12200</v>
      </c>
      <c r="AH22" s="323">
        <f t="shared" si="55"/>
        <v>12200</v>
      </c>
      <c r="AI22" s="332">
        <f>AI23/AI21*10000</f>
        <v>12089.999999999998</v>
      </c>
      <c r="AJ22" s="324">
        <f>AH22+200</f>
        <v>12400</v>
      </c>
      <c r="AK22" s="324">
        <f t="shared" ref="AK22:AQ22" si="56">AJ22</f>
        <v>12400</v>
      </c>
      <c r="AL22" s="313">
        <f t="shared" si="56"/>
        <v>12400</v>
      </c>
      <c r="AM22" s="313">
        <f t="shared" si="56"/>
        <v>12400</v>
      </c>
      <c r="AN22" s="313">
        <f t="shared" si="56"/>
        <v>12400</v>
      </c>
      <c r="AO22" s="313">
        <f t="shared" si="56"/>
        <v>12400</v>
      </c>
      <c r="AP22" s="313">
        <f t="shared" si="56"/>
        <v>12400</v>
      </c>
      <c r="AQ22" s="324">
        <f t="shared" si="56"/>
        <v>12400</v>
      </c>
      <c r="AR22" s="323">
        <f>AQ22+200</f>
        <v>12600</v>
      </c>
      <c r="AS22" s="323">
        <f t="shared" ref="AS22:AU22" si="57">AR22</f>
        <v>12600</v>
      </c>
      <c r="AT22" s="324">
        <f t="shared" si="57"/>
        <v>12600</v>
      </c>
      <c r="AU22" s="324">
        <f t="shared" si="57"/>
        <v>12600</v>
      </c>
      <c r="AV22" s="332">
        <f>AV23/AV21*10000</f>
        <v>12440</v>
      </c>
      <c r="AW22" s="324">
        <f>AU22</f>
        <v>12600</v>
      </c>
      <c r="AX22" s="324">
        <f t="shared" ref="AX22:BH22" si="58">AW22</f>
        <v>12600</v>
      </c>
      <c r="AY22" s="325">
        <f t="shared" si="58"/>
        <v>12600</v>
      </c>
      <c r="AZ22" s="325">
        <f t="shared" si="58"/>
        <v>12600</v>
      </c>
      <c r="BA22" s="325">
        <f t="shared" si="58"/>
        <v>12600</v>
      </c>
      <c r="BB22" s="325">
        <f t="shared" si="58"/>
        <v>12600</v>
      </c>
      <c r="BC22" s="325">
        <f t="shared" si="58"/>
        <v>12600</v>
      </c>
      <c r="BD22" s="325">
        <f t="shared" si="58"/>
        <v>12600</v>
      </c>
      <c r="BE22" s="325">
        <f t="shared" si="58"/>
        <v>12600</v>
      </c>
      <c r="BF22" s="325">
        <f t="shared" si="58"/>
        <v>12600</v>
      </c>
      <c r="BG22" s="325">
        <f t="shared" si="58"/>
        <v>12600</v>
      </c>
      <c r="BH22" s="325">
        <f t="shared" si="58"/>
        <v>12600</v>
      </c>
      <c r="BI22" s="327" t="e">
        <f>BI23/BI21*10000</f>
        <v>#DIV/0!</v>
      </c>
      <c r="BJ22" s="328"/>
      <c r="BK22" s="328"/>
      <c r="BL22" s="328"/>
      <c r="BM22" s="328"/>
      <c r="BN22" s="328"/>
      <c r="BO22" s="328"/>
      <c r="BP22" s="321">
        <f>BP23/BP21*10000</f>
        <v>12206.666666666666</v>
      </c>
    </row>
    <row r="23" spans="1:69" s="281" customFormat="1" ht="12.75" x14ac:dyDescent="0.15">
      <c r="A23" s="394"/>
      <c r="B23" s="390"/>
      <c r="C23" s="371" t="s">
        <v>1419</v>
      </c>
      <c r="D23" s="371"/>
      <c r="E23" s="323"/>
      <c r="F23" s="323"/>
      <c r="G23" s="323"/>
      <c r="H23" s="323"/>
      <c r="I23" s="330"/>
      <c r="J23" s="324"/>
      <c r="K23" s="324"/>
      <c r="L23" s="324"/>
      <c r="M23" s="324"/>
      <c r="N23" s="324">
        <f t="shared" ref="N23:U23" si="59">N21*N22/10000</f>
        <v>0</v>
      </c>
      <c r="O23" s="324">
        <f t="shared" si="59"/>
        <v>0</v>
      </c>
      <c r="P23" s="324">
        <f t="shared" si="59"/>
        <v>0</v>
      </c>
      <c r="Q23" s="324">
        <f t="shared" si="59"/>
        <v>0</v>
      </c>
      <c r="R23" s="324">
        <f t="shared" si="59"/>
        <v>0</v>
      </c>
      <c r="S23" s="324">
        <f t="shared" si="59"/>
        <v>0</v>
      </c>
      <c r="T23" s="324">
        <f t="shared" si="59"/>
        <v>0</v>
      </c>
      <c r="U23" s="324">
        <f t="shared" si="59"/>
        <v>0</v>
      </c>
      <c r="V23" s="326">
        <f>SUM(J23:U23)</f>
        <v>0</v>
      </c>
      <c r="W23" s="324">
        <f>W21*W22/10000</f>
        <v>0</v>
      </c>
      <c r="X23" s="324">
        <f t="shared" ref="X23:AH23" si="60">X21*X22/10000</f>
        <v>0</v>
      </c>
      <c r="Y23" s="324">
        <f t="shared" si="60"/>
        <v>0</v>
      </c>
      <c r="Z23" s="324">
        <f t="shared" si="60"/>
        <v>0</v>
      </c>
      <c r="AA23" s="324">
        <f t="shared" si="60"/>
        <v>876</v>
      </c>
      <c r="AB23" s="324">
        <f t="shared" si="60"/>
        <v>350.4</v>
      </c>
      <c r="AC23" s="324">
        <f t="shared" si="60"/>
        <v>350.4</v>
      </c>
      <c r="AD23" s="324">
        <f t="shared" si="60"/>
        <v>350.4</v>
      </c>
      <c r="AE23" s="324">
        <f t="shared" si="60"/>
        <v>534.36</v>
      </c>
      <c r="AF23" s="324">
        <f t="shared" si="60"/>
        <v>356.24</v>
      </c>
      <c r="AG23" s="324">
        <f t="shared" si="60"/>
        <v>356.24</v>
      </c>
      <c r="AH23" s="324">
        <f t="shared" si="60"/>
        <v>356.24</v>
      </c>
      <c r="AI23" s="326">
        <f>SUM(W23:AH23)</f>
        <v>3530.2799999999997</v>
      </c>
      <c r="AJ23" s="324">
        <f>AJ21*AJ22/10000</f>
        <v>181.04</v>
      </c>
      <c r="AK23" s="324">
        <f t="shared" ref="AK23:AU23" si="61">AK21*AK22/10000</f>
        <v>181.04</v>
      </c>
      <c r="AL23" s="313">
        <f t="shared" si="61"/>
        <v>181.04</v>
      </c>
      <c r="AM23" s="313">
        <f t="shared" si="61"/>
        <v>181.04</v>
      </c>
      <c r="AN23" s="313">
        <f t="shared" si="61"/>
        <v>181.04</v>
      </c>
      <c r="AO23" s="313">
        <f t="shared" si="61"/>
        <v>181.04</v>
      </c>
      <c r="AP23" s="313">
        <f t="shared" si="61"/>
        <v>181.04</v>
      </c>
      <c r="AQ23" s="324">
        <f t="shared" si="61"/>
        <v>181.04</v>
      </c>
      <c r="AR23" s="324">
        <f t="shared" si="61"/>
        <v>183.96</v>
      </c>
      <c r="AS23" s="324">
        <f t="shared" si="61"/>
        <v>183.96</v>
      </c>
      <c r="AT23" s="324">
        <f t="shared" si="61"/>
        <v>0</v>
      </c>
      <c r="AU23" s="324">
        <f t="shared" si="61"/>
        <v>0</v>
      </c>
      <c r="AV23" s="326">
        <f>SUM(AJ23:AU23)</f>
        <v>1816.24</v>
      </c>
      <c r="AW23" s="324">
        <f>AW21*AW22/10000</f>
        <v>0</v>
      </c>
      <c r="AX23" s="324">
        <f t="shared" ref="AX23:BH23" si="62">AX21*AX22/10000</f>
        <v>0</v>
      </c>
      <c r="AY23" s="324">
        <f t="shared" si="62"/>
        <v>0</v>
      </c>
      <c r="AZ23" s="324">
        <f t="shared" si="62"/>
        <v>0</v>
      </c>
      <c r="BA23" s="324">
        <f t="shared" si="62"/>
        <v>0</v>
      </c>
      <c r="BB23" s="324">
        <f t="shared" si="62"/>
        <v>0</v>
      </c>
      <c r="BC23" s="324">
        <f t="shared" si="62"/>
        <v>0</v>
      </c>
      <c r="BD23" s="324">
        <f t="shared" si="62"/>
        <v>0</v>
      </c>
      <c r="BE23" s="324">
        <f t="shared" si="62"/>
        <v>0</v>
      </c>
      <c r="BF23" s="324">
        <f t="shared" si="62"/>
        <v>0</v>
      </c>
      <c r="BG23" s="324">
        <f t="shared" si="62"/>
        <v>0</v>
      </c>
      <c r="BH23" s="324">
        <f t="shared" si="62"/>
        <v>0</v>
      </c>
      <c r="BI23" s="327">
        <f>SUM(AW23:BH23)</f>
        <v>0</v>
      </c>
      <c r="BJ23" s="328"/>
      <c r="BK23" s="328"/>
      <c r="BL23" s="328"/>
      <c r="BM23" s="328"/>
      <c r="BN23" s="328"/>
      <c r="BO23" s="328"/>
      <c r="BP23" s="280">
        <f t="shared" ref="BP23:BP25" si="63">I23+V23+AI23+AV23+BI23</f>
        <v>5346.5199999999995</v>
      </c>
    </row>
    <row r="24" spans="1:69" s="281" customFormat="1" ht="12.75" x14ac:dyDescent="0.15">
      <c r="A24" s="394"/>
      <c r="B24" s="395" t="s">
        <v>1421</v>
      </c>
      <c r="C24" s="306" t="s">
        <v>1416</v>
      </c>
      <c r="D24" s="307">
        <f>D16+D20</f>
        <v>60</v>
      </c>
      <c r="E24" s="333"/>
      <c r="F24" s="333"/>
      <c r="G24" s="333"/>
      <c r="H24" s="333"/>
      <c r="I24" s="334"/>
      <c r="J24" s="333"/>
      <c r="K24" s="333"/>
      <c r="L24" s="333"/>
      <c r="M24" s="333"/>
      <c r="N24" s="333">
        <f t="shared" ref="N24:BH25" si="64">N16+N20</f>
        <v>0</v>
      </c>
      <c r="O24" s="333">
        <f t="shared" si="64"/>
        <v>0</v>
      </c>
      <c r="P24" s="333">
        <f t="shared" si="64"/>
        <v>0</v>
      </c>
      <c r="Q24" s="333">
        <f t="shared" si="64"/>
        <v>0</v>
      </c>
      <c r="R24" s="333">
        <f t="shared" si="64"/>
        <v>0</v>
      </c>
      <c r="S24" s="333">
        <f t="shared" si="64"/>
        <v>0</v>
      </c>
      <c r="T24" s="333">
        <f t="shared" si="64"/>
        <v>0</v>
      </c>
      <c r="U24" s="333">
        <f t="shared" si="64"/>
        <v>0</v>
      </c>
      <c r="V24" s="333">
        <f t="shared" si="64"/>
        <v>0</v>
      </c>
      <c r="W24" s="333">
        <f t="shared" si="64"/>
        <v>0</v>
      </c>
      <c r="X24" s="333">
        <f t="shared" si="64"/>
        <v>0</v>
      </c>
      <c r="Y24" s="333">
        <f t="shared" si="64"/>
        <v>0</v>
      </c>
      <c r="Z24" s="333">
        <f t="shared" si="64"/>
        <v>0</v>
      </c>
      <c r="AA24" s="333">
        <f t="shared" si="64"/>
        <v>10</v>
      </c>
      <c r="AB24" s="333">
        <f t="shared" si="64"/>
        <v>5</v>
      </c>
      <c r="AC24" s="333">
        <f t="shared" si="64"/>
        <v>5</v>
      </c>
      <c r="AD24" s="333">
        <f t="shared" si="64"/>
        <v>5</v>
      </c>
      <c r="AE24" s="333">
        <f t="shared" si="64"/>
        <v>6</v>
      </c>
      <c r="AF24" s="333">
        <f t="shared" si="64"/>
        <v>4</v>
      </c>
      <c r="AG24" s="333">
        <f t="shared" si="64"/>
        <v>4</v>
      </c>
      <c r="AH24" s="333">
        <f t="shared" si="64"/>
        <v>4</v>
      </c>
      <c r="AI24" s="333">
        <f t="shared" si="64"/>
        <v>43</v>
      </c>
      <c r="AJ24" s="333">
        <f t="shared" si="64"/>
        <v>2</v>
      </c>
      <c r="AK24" s="333">
        <f t="shared" si="64"/>
        <v>2</v>
      </c>
      <c r="AL24" s="333">
        <f t="shared" si="64"/>
        <v>2</v>
      </c>
      <c r="AM24" s="333">
        <f t="shared" si="64"/>
        <v>2</v>
      </c>
      <c r="AN24" s="333">
        <f t="shared" si="64"/>
        <v>2</v>
      </c>
      <c r="AO24" s="333">
        <f t="shared" si="64"/>
        <v>2</v>
      </c>
      <c r="AP24" s="333">
        <f t="shared" si="64"/>
        <v>2</v>
      </c>
      <c r="AQ24" s="333">
        <f t="shared" si="64"/>
        <v>1</v>
      </c>
      <c r="AR24" s="333">
        <f t="shared" si="64"/>
        <v>1</v>
      </c>
      <c r="AS24" s="333">
        <f t="shared" si="64"/>
        <v>1</v>
      </c>
      <c r="AT24" s="333">
        <f t="shared" si="64"/>
        <v>0</v>
      </c>
      <c r="AU24" s="333">
        <f t="shared" si="64"/>
        <v>0</v>
      </c>
      <c r="AV24" s="333">
        <f t="shared" si="64"/>
        <v>17</v>
      </c>
      <c r="AW24" s="333">
        <f t="shared" si="64"/>
        <v>0</v>
      </c>
      <c r="AX24" s="333">
        <f t="shared" si="64"/>
        <v>0</v>
      </c>
      <c r="AY24" s="333">
        <f t="shared" si="64"/>
        <v>0</v>
      </c>
      <c r="AZ24" s="333">
        <f t="shared" si="64"/>
        <v>0</v>
      </c>
      <c r="BA24" s="333">
        <f t="shared" si="64"/>
        <v>0</v>
      </c>
      <c r="BB24" s="333">
        <f t="shared" si="64"/>
        <v>0</v>
      </c>
      <c r="BC24" s="333">
        <f t="shared" si="64"/>
        <v>0</v>
      </c>
      <c r="BD24" s="333">
        <f t="shared" si="64"/>
        <v>0</v>
      </c>
      <c r="BE24" s="333">
        <f t="shared" si="64"/>
        <v>0</v>
      </c>
      <c r="BF24" s="333">
        <f t="shared" si="64"/>
        <v>0</v>
      </c>
      <c r="BG24" s="333">
        <f t="shared" si="64"/>
        <v>0</v>
      </c>
      <c r="BH24" s="333">
        <f t="shared" si="64"/>
        <v>0</v>
      </c>
      <c r="BI24" s="333">
        <f>BI16+BI20</f>
        <v>0</v>
      </c>
      <c r="BJ24" s="335"/>
      <c r="BK24" s="335"/>
      <c r="BL24" s="335"/>
      <c r="BM24" s="335"/>
      <c r="BN24" s="335"/>
      <c r="BO24" s="335"/>
      <c r="BP24" s="280">
        <f t="shared" si="63"/>
        <v>60</v>
      </c>
    </row>
    <row r="25" spans="1:69" s="281" customFormat="1" ht="12.75" x14ac:dyDescent="0.15">
      <c r="A25" s="394"/>
      <c r="B25" s="396"/>
      <c r="C25" s="306" t="s">
        <v>1417</v>
      </c>
      <c r="D25" s="307"/>
      <c r="E25" s="334"/>
      <c r="F25" s="334"/>
      <c r="G25" s="334"/>
      <c r="H25" s="334"/>
      <c r="I25" s="334"/>
      <c r="J25" s="334"/>
      <c r="K25" s="334"/>
      <c r="L25" s="334"/>
      <c r="M25" s="334"/>
      <c r="N25" s="334">
        <f>N17+N21</f>
        <v>0</v>
      </c>
      <c r="O25" s="334">
        <f t="shared" si="64"/>
        <v>0</v>
      </c>
      <c r="P25" s="334">
        <f t="shared" si="64"/>
        <v>0</v>
      </c>
      <c r="Q25" s="334">
        <f t="shared" si="64"/>
        <v>0</v>
      </c>
      <c r="R25" s="334">
        <f t="shared" si="64"/>
        <v>0</v>
      </c>
      <c r="S25" s="334">
        <f t="shared" si="64"/>
        <v>0</v>
      </c>
      <c r="T25" s="334">
        <f t="shared" si="64"/>
        <v>0</v>
      </c>
      <c r="U25" s="334">
        <f t="shared" si="64"/>
        <v>0</v>
      </c>
      <c r="V25" s="334">
        <f t="shared" si="64"/>
        <v>0</v>
      </c>
      <c r="W25" s="334">
        <f t="shared" si="64"/>
        <v>0</v>
      </c>
      <c r="X25" s="334">
        <f t="shared" si="64"/>
        <v>0</v>
      </c>
      <c r="Y25" s="334">
        <f t="shared" si="64"/>
        <v>0</v>
      </c>
      <c r="Z25" s="334">
        <f t="shared" si="64"/>
        <v>0</v>
      </c>
      <c r="AA25" s="334">
        <f t="shared" si="64"/>
        <v>1465</v>
      </c>
      <c r="AB25" s="334">
        <f t="shared" si="64"/>
        <v>733</v>
      </c>
      <c r="AC25" s="334">
        <f t="shared" si="64"/>
        <v>733</v>
      </c>
      <c r="AD25" s="334">
        <f t="shared" si="64"/>
        <v>733</v>
      </c>
      <c r="AE25" s="334">
        <f t="shared" si="64"/>
        <v>879</v>
      </c>
      <c r="AF25" s="334">
        <f t="shared" si="64"/>
        <v>586</v>
      </c>
      <c r="AG25" s="334">
        <f t="shared" si="64"/>
        <v>586</v>
      </c>
      <c r="AH25" s="334">
        <f t="shared" si="64"/>
        <v>586</v>
      </c>
      <c r="AI25" s="334">
        <f t="shared" si="64"/>
        <v>6301</v>
      </c>
      <c r="AJ25" s="334">
        <f t="shared" si="64"/>
        <v>293</v>
      </c>
      <c r="AK25" s="334">
        <f t="shared" si="64"/>
        <v>293</v>
      </c>
      <c r="AL25" s="334">
        <f t="shared" si="64"/>
        <v>293</v>
      </c>
      <c r="AM25" s="334">
        <f t="shared" si="64"/>
        <v>293</v>
      </c>
      <c r="AN25" s="334">
        <f t="shared" si="64"/>
        <v>293</v>
      </c>
      <c r="AO25" s="334">
        <f t="shared" si="64"/>
        <v>293</v>
      </c>
      <c r="AP25" s="334">
        <f t="shared" si="64"/>
        <v>293</v>
      </c>
      <c r="AQ25" s="334">
        <f t="shared" si="64"/>
        <v>146</v>
      </c>
      <c r="AR25" s="334">
        <f t="shared" si="64"/>
        <v>146</v>
      </c>
      <c r="AS25" s="334">
        <f t="shared" si="64"/>
        <v>146</v>
      </c>
      <c r="AT25" s="334">
        <f t="shared" si="64"/>
        <v>0</v>
      </c>
      <c r="AU25" s="334">
        <f t="shared" si="64"/>
        <v>0</v>
      </c>
      <c r="AV25" s="334">
        <f t="shared" si="64"/>
        <v>2489</v>
      </c>
      <c r="AW25" s="334">
        <f t="shared" si="64"/>
        <v>0</v>
      </c>
      <c r="AX25" s="334">
        <f t="shared" si="64"/>
        <v>0</v>
      </c>
      <c r="AY25" s="334">
        <f t="shared" si="64"/>
        <v>0</v>
      </c>
      <c r="AZ25" s="334">
        <f t="shared" si="64"/>
        <v>0</v>
      </c>
      <c r="BA25" s="334">
        <f t="shared" si="64"/>
        <v>0</v>
      </c>
      <c r="BB25" s="334">
        <f t="shared" si="64"/>
        <v>0</v>
      </c>
      <c r="BC25" s="334">
        <f t="shared" si="64"/>
        <v>0</v>
      </c>
      <c r="BD25" s="334">
        <f t="shared" si="64"/>
        <v>0</v>
      </c>
      <c r="BE25" s="334">
        <f t="shared" si="64"/>
        <v>0</v>
      </c>
      <c r="BF25" s="334">
        <f t="shared" si="64"/>
        <v>0</v>
      </c>
      <c r="BG25" s="334">
        <f t="shared" si="64"/>
        <v>0</v>
      </c>
      <c r="BH25" s="334">
        <f t="shared" si="64"/>
        <v>0</v>
      </c>
      <c r="BI25" s="334">
        <f>BI17+BI21</f>
        <v>0</v>
      </c>
      <c r="BJ25" s="336"/>
      <c r="BK25" s="336"/>
      <c r="BL25" s="336"/>
      <c r="BM25" s="336"/>
      <c r="BN25" s="336"/>
      <c r="BO25" s="336"/>
      <c r="BP25" s="301">
        <f t="shared" si="63"/>
        <v>8790</v>
      </c>
    </row>
    <row r="26" spans="1:69" s="340" customFormat="1" ht="12.75" x14ac:dyDescent="0.15">
      <c r="A26" s="394"/>
      <c r="B26" s="396"/>
      <c r="C26" s="391" t="s">
        <v>1418</v>
      </c>
      <c r="D26" s="392"/>
      <c r="E26" s="337"/>
      <c r="F26" s="337"/>
      <c r="G26" s="337"/>
      <c r="H26" s="337"/>
      <c r="I26" s="337"/>
      <c r="J26" s="337"/>
      <c r="K26" s="337"/>
      <c r="L26" s="337"/>
      <c r="M26" s="337"/>
      <c r="N26" s="337" t="e">
        <f>N27/N25*10000</f>
        <v>#DIV/0!</v>
      </c>
      <c r="O26" s="337" t="e">
        <f t="shared" ref="O26:BI26" si="65">O27/O25*10000</f>
        <v>#DIV/0!</v>
      </c>
      <c r="P26" s="337" t="e">
        <f t="shared" si="65"/>
        <v>#DIV/0!</v>
      </c>
      <c r="Q26" s="337" t="e">
        <f t="shared" si="65"/>
        <v>#DIV/0!</v>
      </c>
      <c r="R26" s="337" t="e">
        <f t="shared" si="65"/>
        <v>#DIV/0!</v>
      </c>
      <c r="S26" s="337" t="e">
        <f t="shared" si="65"/>
        <v>#DIV/0!</v>
      </c>
      <c r="T26" s="337" t="e">
        <f t="shared" si="65"/>
        <v>#DIV/0!</v>
      </c>
      <c r="U26" s="337" t="e">
        <f t="shared" si="65"/>
        <v>#DIV/0!</v>
      </c>
      <c r="V26" s="337" t="e">
        <f t="shared" si="65"/>
        <v>#DIV/0!</v>
      </c>
      <c r="W26" s="337" t="e">
        <f t="shared" si="65"/>
        <v>#DIV/0!</v>
      </c>
      <c r="X26" s="337" t="e">
        <f t="shared" si="65"/>
        <v>#DIV/0!</v>
      </c>
      <c r="Y26" s="337" t="e">
        <f t="shared" si="65"/>
        <v>#DIV/0!</v>
      </c>
      <c r="Z26" s="337" t="e">
        <f t="shared" si="65"/>
        <v>#DIV/0!</v>
      </c>
      <c r="AA26" s="337">
        <f t="shared" si="65"/>
        <v>12752.559726962458</v>
      </c>
      <c r="AB26" s="337">
        <f t="shared" si="65"/>
        <v>12902.455661664393</v>
      </c>
      <c r="AC26" s="337">
        <f t="shared" si="65"/>
        <v>12902.455661664393</v>
      </c>
      <c r="AD26" s="337">
        <f t="shared" si="65"/>
        <v>12902.455661664393</v>
      </c>
      <c r="AE26" s="337">
        <f t="shared" si="65"/>
        <v>13002.730375426621</v>
      </c>
      <c r="AF26" s="337">
        <f t="shared" si="65"/>
        <v>13002.730375426621</v>
      </c>
      <c r="AG26" s="337">
        <f t="shared" si="65"/>
        <v>13002.730375426621</v>
      </c>
      <c r="AH26" s="337">
        <f t="shared" si="65"/>
        <v>13002.730375426621</v>
      </c>
      <c r="AI26" s="337">
        <f t="shared" si="65"/>
        <v>12909.569909538168</v>
      </c>
      <c r="AJ26" s="337">
        <f t="shared" si="65"/>
        <v>13102.389078498294</v>
      </c>
      <c r="AK26" s="337">
        <f t="shared" si="65"/>
        <v>13102.389078498294</v>
      </c>
      <c r="AL26" s="337">
        <f t="shared" si="65"/>
        <v>13102.389078498294</v>
      </c>
      <c r="AM26" s="337">
        <f t="shared" si="65"/>
        <v>13252.901023890785</v>
      </c>
      <c r="AN26" s="337">
        <f t="shared" si="65"/>
        <v>13252.901023890785</v>
      </c>
      <c r="AO26" s="337">
        <f t="shared" si="65"/>
        <v>13252.901023890785</v>
      </c>
      <c r="AP26" s="337">
        <f t="shared" si="65"/>
        <v>13252.901023890785</v>
      </c>
      <c r="AQ26" s="337">
        <f t="shared" si="65"/>
        <v>12400</v>
      </c>
      <c r="AR26" s="337">
        <f t="shared" si="65"/>
        <v>12600</v>
      </c>
      <c r="AS26" s="337">
        <f t="shared" si="65"/>
        <v>12600</v>
      </c>
      <c r="AT26" s="337" t="e">
        <f t="shared" si="65"/>
        <v>#DIV/0!</v>
      </c>
      <c r="AU26" s="337" t="e">
        <f t="shared" si="65"/>
        <v>#DIV/0!</v>
      </c>
      <c r="AV26" s="337">
        <f t="shared" si="65"/>
        <v>13073.121735636802</v>
      </c>
      <c r="AW26" s="337" t="e">
        <f t="shared" si="65"/>
        <v>#DIV/0!</v>
      </c>
      <c r="AX26" s="337" t="e">
        <f t="shared" si="65"/>
        <v>#DIV/0!</v>
      </c>
      <c r="AY26" s="337" t="e">
        <f t="shared" si="65"/>
        <v>#DIV/0!</v>
      </c>
      <c r="AZ26" s="337" t="e">
        <f t="shared" si="65"/>
        <v>#DIV/0!</v>
      </c>
      <c r="BA26" s="337" t="e">
        <f t="shared" si="65"/>
        <v>#DIV/0!</v>
      </c>
      <c r="BB26" s="337" t="e">
        <f t="shared" si="65"/>
        <v>#DIV/0!</v>
      </c>
      <c r="BC26" s="337" t="e">
        <f t="shared" si="65"/>
        <v>#DIV/0!</v>
      </c>
      <c r="BD26" s="337" t="e">
        <f t="shared" si="65"/>
        <v>#DIV/0!</v>
      </c>
      <c r="BE26" s="337" t="e">
        <f t="shared" si="65"/>
        <v>#DIV/0!</v>
      </c>
      <c r="BF26" s="337" t="e">
        <f t="shared" si="65"/>
        <v>#DIV/0!</v>
      </c>
      <c r="BG26" s="337" t="e">
        <f t="shared" si="65"/>
        <v>#DIV/0!</v>
      </c>
      <c r="BH26" s="337" t="e">
        <f t="shared" si="65"/>
        <v>#DIV/0!</v>
      </c>
      <c r="BI26" s="337" t="e">
        <f t="shared" si="65"/>
        <v>#DIV/0!</v>
      </c>
      <c r="BJ26" s="338"/>
      <c r="BK26" s="338"/>
      <c r="BL26" s="338"/>
      <c r="BM26" s="338"/>
      <c r="BN26" s="338"/>
      <c r="BO26" s="338"/>
      <c r="BP26" s="339">
        <f>BP27/BP25*10000</f>
        <v>12955.881683731512</v>
      </c>
    </row>
    <row r="27" spans="1:69" s="281" customFormat="1" ht="12.75" x14ac:dyDescent="0.15">
      <c r="A27" s="394"/>
      <c r="B27" s="397"/>
      <c r="C27" s="381" t="s">
        <v>1419</v>
      </c>
      <c r="D27" s="381"/>
      <c r="E27" s="333"/>
      <c r="F27" s="333"/>
      <c r="G27" s="333"/>
      <c r="H27" s="333"/>
      <c r="I27" s="333"/>
      <c r="J27" s="333"/>
      <c r="K27" s="333"/>
      <c r="L27" s="333"/>
      <c r="M27" s="333"/>
      <c r="N27" s="333">
        <f t="shared" ref="N27:BI27" si="66">N19+N23</f>
        <v>0</v>
      </c>
      <c r="O27" s="333">
        <f t="shared" si="66"/>
        <v>0</v>
      </c>
      <c r="P27" s="333">
        <f t="shared" si="66"/>
        <v>0</v>
      </c>
      <c r="Q27" s="333">
        <f t="shared" si="66"/>
        <v>0</v>
      </c>
      <c r="R27" s="333">
        <f t="shared" si="66"/>
        <v>0</v>
      </c>
      <c r="S27" s="333">
        <f t="shared" si="66"/>
        <v>0</v>
      </c>
      <c r="T27" s="333">
        <f t="shared" si="66"/>
        <v>0</v>
      </c>
      <c r="U27" s="333">
        <f t="shared" si="66"/>
        <v>0</v>
      </c>
      <c r="V27" s="333">
        <f t="shared" si="66"/>
        <v>0</v>
      </c>
      <c r="W27" s="333">
        <f t="shared" si="66"/>
        <v>0</v>
      </c>
      <c r="X27" s="333">
        <f t="shared" si="66"/>
        <v>0</v>
      </c>
      <c r="Y27" s="333">
        <f t="shared" si="66"/>
        <v>0</v>
      </c>
      <c r="Z27" s="333">
        <f t="shared" si="66"/>
        <v>0</v>
      </c>
      <c r="AA27" s="333">
        <f t="shared" si="66"/>
        <v>1868.25</v>
      </c>
      <c r="AB27" s="333">
        <f t="shared" si="66"/>
        <v>945.75</v>
      </c>
      <c r="AC27" s="333">
        <f t="shared" si="66"/>
        <v>945.75</v>
      </c>
      <c r="AD27" s="333">
        <f t="shared" si="66"/>
        <v>945.75</v>
      </c>
      <c r="AE27" s="333">
        <f t="shared" si="66"/>
        <v>1142.94</v>
      </c>
      <c r="AF27" s="333">
        <f t="shared" si="66"/>
        <v>761.96</v>
      </c>
      <c r="AG27" s="333">
        <f t="shared" si="66"/>
        <v>761.96</v>
      </c>
      <c r="AH27" s="333">
        <f t="shared" si="66"/>
        <v>761.96</v>
      </c>
      <c r="AI27" s="333">
        <f t="shared" si="66"/>
        <v>8134.32</v>
      </c>
      <c r="AJ27" s="333">
        <f t="shared" si="66"/>
        <v>383.9</v>
      </c>
      <c r="AK27" s="333">
        <f t="shared" si="66"/>
        <v>383.9</v>
      </c>
      <c r="AL27" s="333">
        <f t="shared" si="66"/>
        <v>383.9</v>
      </c>
      <c r="AM27" s="333">
        <f t="shared" si="66"/>
        <v>388.31</v>
      </c>
      <c r="AN27" s="333">
        <f t="shared" si="66"/>
        <v>388.31</v>
      </c>
      <c r="AO27" s="333">
        <f t="shared" si="66"/>
        <v>388.31</v>
      </c>
      <c r="AP27" s="333">
        <f t="shared" si="66"/>
        <v>388.31</v>
      </c>
      <c r="AQ27" s="333">
        <f t="shared" si="66"/>
        <v>181.04</v>
      </c>
      <c r="AR27" s="333">
        <f t="shared" si="66"/>
        <v>183.96</v>
      </c>
      <c r="AS27" s="333">
        <f t="shared" si="66"/>
        <v>183.96</v>
      </c>
      <c r="AT27" s="333">
        <f t="shared" si="66"/>
        <v>0</v>
      </c>
      <c r="AU27" s="333">
        <f t="shared" si="66"/>
        <v>0</v>
      </c>
      <c r="AV27" s="333">
        <f t="shared" si="66"/>
        <v>3253.9</v>
      </c>
      <c r="AW27" s="333">
        <f t="shared" si="66"/>
        <v>0</v>
      </c>
      <c r="AX27" s="333">
        <f t="shared" si="66"/>
        <v>0</v>
      </c>
      <c r="AY27" s="333">
        <f t="shared" si="66"/>
        <v>0</v>
      </c>
      <c r="AZ27" s="333">
        <f t="shared" si="66"/>
        <v>0</v>
      </c>
      <c r="BA27" s="333">
        <f t="shared" si="66"/>
        <v>0</v>
      </c>
      <c r="BB27" s="333">
        <f t="shared" si="66"/>
        <v>0</v>
      </c>
      <c r="BC27" s="333">
        <f t="shared" si="66"/>
        <v>0</v>
      </c>
      <c r="BD27" s="333">
        <f t="shared" si="66"/>
        <v>0</v>
      </c>
      <c r="BE27" s="333">
        <f t="shared" si="66"/>
        <v>0</v>
      </c>
      <c r="BF27" s="333">
        <f t="shared" si="66"/>
        <v>0</v>
      </c>
      <c r="BG27" s="333">
        <f t="shared" si="66"/>
        <v>0</v>
      </c>
      <c r="BH27" s="333">
        <f t="shared" si="66"/>
        <v>0</v>
      </c>
      <c r="BI27" s="333">
        <f t="shared" si="66"/>
        <v>0</v>
      </c>
      <c r="BJ27" s="335"/>
      <c r="BK27" s="335"/>
      <c r="BL27" s="335"/>
      <c r="BM27" s="335"/>
      <c r="BN27" s="335"/>
      <c r="BO27" s="335"/>
      <c r="BP27" s="280">
        <f t="shared" ref="BP27:BP29" si="67">I27+V27+AI27+AV27+BI27</f>
        <v>11388.22</v>
      </c>
    </row>
    <row r="28" spans="1:69" s="281" customFormat="1" ht="12.75" x14ac:dyDescent="0.15">
      <c r="A28" s="382" t="s">
        <v>1425</v>
      </c>
      <c r="B28" s="388" t="s">
        <v>1426</v>
      </c>
      <c r="C28" s="293" t="s">
        <v>1416</v>
      </c>
      <c r="D28" s="294">
        <v>68</v>
      </c>
      <c r="E28" s="313">
        <v>0</v>
      </c>
      <c r="F28" s="313">
        <v>0</v>
      </c>
      <c r="G28" s="277">
        <v>0</v>
      </c>
      <c r="H28" s="277">
        <v>0</v>
      </c>
      <c r="I28" s="314">
        <f t="shared" ref="I28:I33" si="68">SUM(E28:H28)</f>
        <v>0</v>
      </c>
      <c r="J28" s="277">
        <v>0</v>
      </c>
      <c r="K28" s="277">
        <v>0</v>
      </c>
      <c r="L28" s="277">
        <v>0</v>
      </c>
      <c r="M28" s="277">
        <v>0</v>
      </c>
      <c r="N28" s="277"/>
      <c r="O28" s="277"/>
      <c r="P28" s="313">
        <v>9</v>
      </c>
      <c r="Q28" s="277">
        <v>3</v>
      </c>
      <c r="R28" s="277">
        <v>2</v>
      </c>
      <c r="S28" s="315">
        <v>1</v>
      </c>
      <c r="T28" s="277">
        <v>0</v>
      </c>
      <c r="U28" s="313">
        <v>1</v>
      </c>
      <c r="V28" s="276">
        <f t="shared" ref="V28:V33" si="69">SUM(J28:U28)</f>
        <v>16</v>
      </c>
      <c r="W28" s="277">
        <v>1</v>
      </c>
      <c r="X28" s="277">
        <v>1</v>
      </c>
      <c r="Y28" s="313">
        <v>2</v>
      </c>
      <c r="Z28" s="313">
        <v>2</v>
      </c>
      <c r="AA28" s="313">
        <v>1</v>
      </c>
      <c r="AB28" s="313">
        <v>2</v>
      </c>
      <c r="AC28" s="313">
        <v>2</v>
      </c>
      <c r="AD28" s="313">
        <v>2</v>
      </c>
      <c r="AE28" s="313">
        <v>1</v>
      </c>
      <c r="AF28" s="313">
        <v>2</v>
      </c>
      <c r="AG28" s="277">
        <v>2</v>
      </c>
      <c r="AH28" s="277">
        <v>1</v>
      </c>
      <c r="AI28" s="276">
        <f t="shared" ref="AI28:AI33" si="70">SUM(W28:AH28)</f>
        <v>19</v>
      </c>
      <c r="AJ28" s="277">
        <v>2</v>
      </c>
      <c r="AK28" s="277">
        <v>1</v>
      </c>
      <c r="AL28" s="313">
        <v>2</v>
      </c>
      <c r="AM28" s="313">
        <v>1</v>
      </c>
      <c r="AN28" s="313">
        <v>3</v>
      </c>
      <c r="AO28" s="313">
        <v>2</v>
      </c>
      <c r="AP28" s="313">
        <v>3</v>
      </c>
      <c r="AQ28" s="313">
        <v>2</v>
      </c>
      <c r="AR28" s="313">
        <v>1</v>
      </c>
      <c r="AS28" s="313">
        <v>3</v>
      </c>
      <c r="AT28" s="277">
        <v>1</v>
      </c>
      <c r="AU28" s="277">
        <v>1</v>
      </c>
      <c r="AV28" s="276">
        <f t="shared" ref="AV28:AV33" si="71">SUM(AJ28:AU28)</f>
        <v>22</v>
      </c>
      <c r="AW28" s="277">
        <v>1</v>
      </c>
      <c r="AX28" s="277">
        <v>2</v>
      </c>
      <c r="AY28" s="315">
        <v>2</v>
      </c>
      <c r="AZ28" s="315">
        <v>3</v>
      </c>
      <c r="BA28" s="315">
        <v>3</v>
      </c>
      <c r="BB28" s="315">
        <v>0</v>
      </c>
      <c r="BC28" s="315">
        <v>0</v>
      </c>
      <c r="BD28" s="315"/>
      <c r="BE28" s="315"/>
      <c r="BF28" s="315"/>
      <c r="BG28" s="315"/>
      <c r="BH28" s="315"/>
      <c r="BI28" s="316">
        <f t="shared" ref="BI28:BI33" si="72">SUM(AW28:BH28)</f>
        <v>11</v>
      </c>
      <c r="BJ28" s="317"/>
      <c r="BK28" s="317"/>
      <c r="BL28" s="317"/>
      <c r="BM28" s="317"/>
      <c r="BN28" s="317"/>
      <c r="BO28" s="317"/>
      <c r="BP28" s="301">
        <f t="shared" si="67"/>
        <v>68</v>
      </c>
      <c r="BQ28" s="299">
        <f>BP28-D28</f>
        <v>0</v>
      </c>
    </row>
    <row r="29" spans="1:69" s="281" customFormat="1" ht="12.75" x14ac:dyDescent="0.15">
      <c r="A29" s="384"/>
      <c r="B29" s="389"/>
      <c r="C29" s="293" t="s">
        <v>1417</v>
      </c>
      <c r="D29" s="294">
        <v>189</v>
      </c>
      <c r="E29" s="295">
        <f>E28*D29</f>
        <v>0</v>
      </c>
      <c r="F29" s="295">
        <f>F28*D29</f>
        <v>0</v>
      </c>
      <c r="G29" s="295">
        <f>G28*D29</f>
        <v>0</v>
      </c>
      <c r="H29" s="295">
        <f>H28*D29</f>
        <v>0</v>
      </c>
      <c r="I29" s="314">
        <f t="shared" si="68"/>
        <v>0</v>
      </c>
      <c r="J29" s="277">
        <f>J28*D29</f>
        <v>0</v>
      </c>
      <c r="K29" s="313">
        <f>K28*D29</f>
        <v>0</v>
      </c>
      <c r="L29" s="313">
        <f>L28*D29</f>
        <v>0</v>
      </c>
      <c r="M29" s="313">
        <f>M28*D29</f>
        <v>0</v>
      </c>
      <c r="N29" s="313">
        <f>N28*D29</f>
        <v>0</v>
      </c>
      <c r="O29" s="313">
        <f>O28*D29</f>
        <v>0</v>
      </c>
      <c r="P29" s="313">
        <f>P28*D29</f>
        <v>1701</v>
      </c>
      <c r="Q29" s="313">
        <f>Q28*D29</f>
        <v>567</v>
      </c>
      <c r="R29" s="313">
        <f>R28*D29</f>
        <v>378</v>
      </c>
      <c r="S29" s="315">
        <f>S28*D29</f>
        <v>189</v>
      </c>
      <c r="T29" s="313">
        <f>T28*D29</f>
        <v>0</v>
      </c>
      <c r="U29" s="313">
        <f>U28*D29</f>
        <v>189</v>
      </c>
      <c r="V29" s="276">
        <f t="shared" si="69"/>
        <v>3024</v>
      </c>
      <c r="W29" s="313">
        <f>W28*D29</f>
        <v>189</v>
      </c>
      <c r="X29" s="313">
        <f>X28*D29</f>
        <v>189</v>
      </c>
      <c r="Y29" s="313">
        <f>Y28*D29</f>
        <v>378</v>
      </c>
      <c r="Z29" s="313">
        <f>Z28*D29</f>
        <v>378</v>
      </c>
      <c r="AA29" s="313">
        <f>AA28*D29</f>
        <v>189</v>
      </c>
      <c r="AB29" s="313">
        <f>AB28*D29</f>
        <v>378</v>
      </c>
      <c r="AC29" s="313">
        <f>AC28*D29</f>
        <v>378</v>
      </c>
      <c r="AD29" s="313">
        <f>AD28*D29</f>
        <v>378</v>
      </c>
      <c r="AE29" s="313">
        <f>AE28*D29</f>
        <v>189</v>
      </c>
      <c r="AF29" s="313">
        <f>AF28*D29</f>
        <v>378</v>
      </c>
      <c r="AG29" s="313">
        <f>AG28*D29</f>
        <v>378</v>
      </c>
      <c r="AH29" s="313">
        <f>AH28*D29</f>
        <v>189</v>
      </c>
      <c r="AI29" s="276">
        <f t="shared" si="70"/>
        <v>3591</v>
      </c>
      <c r="AJ29" s="313">
        <f>AJ28*D29</f>
        <v>378</v>
      </c>
      <c r="AK29" s="313">
        <f>AK28*D29</f>
        <v>189</v>
      </c>
      <c r="AL29" s="313">
        <f>AL28*D29</f>
        <v>378</v>
      </c>
      <c r="AM29" s="313">
        <f>AM28*D29</f>
        <v>189</v>
      </c>
      <c r="AN29" s="313">
        <f>AN28*D29</f>
        <v>567</v>
      </c>
      <c r="AO29" s="313">
        <f>AO28*D29</f>
        <v>378</v>
      </c>
      <c r="AP29" s="313">
        <f>AP28*D29</f>
        <v>567</v>
      </c>
      <c r="AQ29" s="313">
        <f>AQ28*D29</f>
        <v>378</v>
      </c>
      <c r="AR29" s="313">
        <f>AR28*D29</f>
        <v>189</v>
      </c>
      <c r="AS29" s="313">
        <f>AS28*D29</f>
        <v>567</v>
      </c>
      <c r="AT29" s="313">
        <f>AT28*D29</f>
        <v>189</v>
      </c>
      <c r="AU29" s="313">
        <f>AU28*D29</f>
        <v>189</v>
      </c>
      <c r="AV29" s="276">
        <f t="shared" si="71"/>
        <v>4158</v>
      </c>
      <c r="AW29" s="277">
        <f>AW28*D29</f>
        <v>189</v>
      </c>
      <c r="AX29" s="277">
        <f>AX28*D29</f>
        <v>378</v>
      </c>
      <c r="AY29" s="277">
        <f>AY28*D29</f>
        <v>378</v>
      </c>
      <c r="AZ29" s="277">
        <f>AZ28*D29</f>
        <v>567</v>
      </c>
      <c r="BA29" s="277">
        <f>BA28*D29</f>
        <v>567</v>
      </c>
      <c r="BB29" s="277">
        <f>BB28*D29</f>
        <v>0</v>
      </c>
      <c r="BC29" s="277">
        <f>BC28*D29</f>
        <v>0</v>
      </c>
      <c r="BD29" s="277">
        <f>BD28*D29</f>
        <v>0</v>
      </c>
      <c r="BE29" s="277">
        <f>BE28*D29</f>
        <v>0</v>
      </c>
      <c r="BF29" s="277">
        <f>BF28*D29</f>
        <v>0</v>
      </c>
      <c r="BG29" s="277">
        <f>BG28*D29</f>
        <v>0</v>
      </c>
      <c r="BH29" s="277">
        <f>BH28*D29</f>
        <v>0</v>
      </c>
      <c r="BI29" s="316">
        <f t="shared" si="72"/>
        <v>2079</v>
      </c>
      <c r="BJ29" s="317"/>
      <c r="BK29" s="317"/>
      <c r="BL29" s="317"/>
      <c r="BM29" s="317"/>
      <c r="BN29" s="317"/>
      <c r="BO29" s="317"/>
      <c r="BP29" s="301">
        <f t="shared" si="67"/>
        <v>12852</v>
      </c>
    </row>
    <row r="30" spans="1:69" s="281" customFormat="1" ht="12.75" x14ac:dyDescent="0.15">
      <c r="A30" s="384"/>
      <c r="B30" s="389"/>
      <c r="C30" s="372" t="s">
        <v>1418</v>
      </c>
      <c r="D30" s="373"/>
      <c r="E30" s="319">
        <v>0</v>
      </c>
      <c r="F30" s="313">
        <f t="shared" ref="F30:K30" si="73">E30</f>
        <v>0</v>
      </c>
      <c r="G30" s="313">
        <v>0</v>
      </c>
      <c r="H30" s="313">
        <f t="shared" si="73"/>
        <v>0</v>
      </c>
      <c r="I30" s="314" t="e">
        <f>I31/I29*10000</f>
        <v>#DIV/0!</v>
      </c>
      <c r="J30" s="313">
        <f>H30</f>
        <v>0</v>
      </c>
      <c r="K30" s="313">
        <f t="shared" si="73"/>
        <v>0</v>
      </c>
      <c r="L30" s="313">
        <v>0</v>
      </c>
      <c r="M30" s="313">
        <v>0</v>
      </c>
      <c r="N30" s="313"/>
      <c r="O30" s="313">
        <f t="shared" ref="O30:U30" si="74">N30</f>
        <v>0</v>
      </c>
      <c r="P30" s="313">
        <v>12297</v>
      </c>
      <c r="Q30" s="313">
        <f>P30+500</f>
        <v>12797</v>
      </c>
      <c r="R30" s="313">
        <f t="shared" si="74"/>
        <v>12797</v>
      </c>
      <c r="S30" s="313">
        <f t="shared" si="74"/>
        <v>12797</v>
      </c>
      <c r="T30" s="313">
        <f t="shared" si="74"/>
        <v>12797</v>
      </c>
      <c r="U30" s="313">
        <f t="shared" si="74"/>
        <v>12797</v>
      </c>
      <c r="V30" s="320">
        <f>V31/V29*10000</f>
        <v>12515.749999999998</v>
      </c>
      <c r="W30" s="313">
        <f>U30+600</f>
        <v>13397</v>
      </c>
      <c r="X30" s="313">
        <f t="shared" ref="X30:Z30" si="75">W30</f>
        <v>13397</v>
      </c>
      <c r="Y30" s="313">
        <f t="shared" si="75"/>
        <v>13397</v>
      </c>
      <c r="Z30" s="313">
        <f t="shared" si="75"/>
        <v>13397</v>
      </c>
      <c r="AA30" s="313">
        <f>Z30+300</f>
        <v>13697</v>
      </c>
      <c r="AB30" s="313">
        <f t="shared" ref="AB30:AD30" si="76">AA30</f>
        <v>13697</v>
      </c>
      <c r="AC30" s="313">
        <f t="shared" si="76"/>
        <v>13697</v>
      </c>
      <c r="AD30" s="313">
        <f t="shared" si="76"/>
        <v>13697</v>
      </c>
      <c r="AE30" s="313">
        <f>AD30+300</f>
        <v>13997</v>
      </c>
      <c r="AF30" s="313">
        <f t="shared" ref="AF30:AH30" si="77">AE30</f>
        <v>13997</v>
      </c>
      <c r="AG30" s="313">
        <f t="shared" si="77"/>
        <v>13997</v>
      </c>
      <c r="AH30" s="313">
        <f t="shared" si="77"/>
        <v>13997</v>
      </c>
      <c r="AI30" s="320">
        <f>AI31/AI29*10000</f>
        <v>13696.999999999996</v>
      </c>
      <c r="AJ30" s="313">
        <f>AH30</f>
        <v>13997</v>
      </c>
      <c r="AK30" s="313">
        <f>AJ30</f>
        <v>13997</v>
      </c>
      <c r="AL30" s="313">
        <f>AK30</f>
        <v>13997</v>
      </c>
      <c r="AM30" s="313">
        <f>AL30+300</f>
        <v>14297</v>
      </c>
      <c r="AN30" s="313">
        <f t="shared" ref="AN30:AU30" si="78">AM30</f>
        <v>14297</v>
      </c>
      <c r="AO30" s="313">
        <f t="shared" si="78"/>
        <v>14297</v>
      </c>
      <c r="AP30" s="313">
        <f t="shared" si="78"/>
        <v>14297</v>
      </c>
      <c r="AQ30" s="313">
        <f t="shared" si="78"/>
        <v>14297</v>
      </c>
      <c r="AR30" s="313">
        <f t="shared" si="78"/>
        <v>14297</v>
      </c>
      <c r="AS30" s="313">
        <f t="shared" si="78"/>
        <v>14297</v>
      </c>
      <c r="AT30" s="313">
        <f t="shared" si="78"/>
        <v>14297</v>
      </c>
      <c r="AU30" s="313">
        <f t="shared" si="78"/>
        <v>14297</v>
      </c>
      <c r="AV30" s="320">
        <f>AV31/AV29*10000</f>
        <v>14228.818181818184</v>
      </c>
      <c r="AW30" s="277">
        <f>AU30+300</f>
        <v>14597</v>
      </c>
      <c r="AX30" s="277">
        <f>AW30</f>
        <v>14597</v>
      </c>
      <c r="AY30" s="277">
        <f t="shared" ref="AY30:BH30" si="79">AX30</f>
        <v>14597</v>
      </c>
      <c r="AZ30" s="315">
        <f t="shared" si="79"/>
        <v>14597</v>
      </c>
      <c r="BA30" s="315">
        <f t="shared" si="79"/>
        <v>14597</v>
      </c>
      <c r="BB30" s="315">
        <f>BA30+500</f>
        <v>15097</v>
      </c>
      <c r="BC30" s="315">
        <f t="shared" si="79"/>
        <v>15097</v>
      </c>
      <c r="BD30" s="315">
        <f t="shared" si="79"/>
        <v>15097</v>
      </c>
      <c r="BE30" s="315">
        <f t="shared" si="79"/>
        <v>15097</v>
      </c>
      <c r="BF30" s="315">
        <f t="shared" si="79"/>
        <v>15097</v>
      </c>
      <c r="BG30" s="315">
        <f t="shared" si="79"/>
        <v>15097</v>
      </c>
      <c r="BH30" s="315">
        <f t="shared" si="79"/>
        <v>15097</v>
      </c>
      <c r="BI30" s="316">
        <f>BI31/BI29*10000</f>
        <v>14597</v>
      </c>
      <c r="BJ30" s="317"/>
      <c r="BK30" s="317"/>
      <c r="BL30" s="317"/>
      <c r="BM30" s="317"/>
      <c r="BN30" s="317"/>
      <c r="BO30" s="317"/>
      <c r="BP30" s="321">
        <f>BP31/BP29*10000</f>
        <v>13736.705882352942</v>
      </c>
    </row>
    <row r="31" spans="1:69" s="281" customFormat="1" ht="12.75" x14ac:dyDescent="0.15">
      <c r="A31" s="384"/>
      <c r="B31" s="390"/>
      <c r="C31" s="371" t="s">
        <v>1419</v>
      </c>
      <c r="D31" s="371"/>
      <c r="E31" s="293">
        <f t="shared" ref="E31:H31" si="80">E29*E30/10000</f>
        <v>0</v>
      </c>
      <c r="F31" s="293">
        <f t="shared" si="80"/>
        <v>0</v>
      </c>
      <c r="G31" s="293">
        <f t="shared" si="80"/>
        <v>0</v>
      </c>
      <c r="H31" s="293">
        <f t="shared" si="80"/>
        <v>0</v>
      </c>
      <c r="I31" s="322">
        <f t="shared" si="68"/>
        <v>0</v>
      </c>
      <c r="J31" s="313">
        <f>J29*J30/10000</f>
        <v>0</v>
      </c>
      <c r="K31" s="313">
        <f>K29*K30/10000</f>
        <v>0</v>
      </c>
      <c r="L31" s="313">
        <f t="shared" ref="L31:U31" si="81">L29*L30/10000</f>
        <v>0</v>
      </c>
      <c r="M31" s="313">
        <f t="shared" si="81"/>
        <v>0</v>
      </c>
      <c r="N31" s="313">
        <f t="shared" si="81"/>
        <v>0</v>
      </c>
      <c r="O31" s="313">
        <f t="shared" si="81"/>
        <v>0</v>
      </c>
      <c r="P31" s="313">
        <f t="shared" si="81"/>
        <v>2091.7197000000001</v>
      </c>
      <c r="Q31" s="313">
        <f t="shared" si="81"/>
        <v>725.58989999999994</v>
      </c>
      <c r="R31" s="313">
        <f t="shared" si="81"/>
        <v>483.72660000000002</v>
      </c>
      <c r="S31" s="313">
        <f t="shared" si="81"/>
        <v>241.86330000000001</v>
      </c>
      <c r="T31" s="313">
        <f t="shared" si="81"/>
        <v>0</v>
      </c>
      <c r="U31" s="313">
        <f t="shared" si="81"/>
        <v>241.86330000000001</v>
      </c>
      <c r="V31" s="276">
        <f t="shared" si="69"/>
        <v>3784.7628</v>
      </c>
      <c r="W31" s="313">
        <f>W29*W30/10000</f>
        <v>253.20330000000001</v>
      </c>
      <c r="X31" s="313">
        <f t="shared" ref="X31:AH31" si="82">X29*X30/10000</f>
        <v>253.20330000000001</v>
      </c>
      <c r="Y31" s="313">
        <f t="shared" si="82"/>
        <v>506.40660000000003</v>
      </c>
      <c r="Z31" s="313">
        <f t="shared" si="82"/>
        <v>506.40660000000003</v>
      </c>
      <c r="AA31" s="313">
        <f t="shared" si="82"/>
        <v>258.87329999999997</v>
      </c>
      <c r="AB31" s="313">
        <f t="shared" si="82"/>
        <v>517.74659999999994</v>
      </c>
      <c r="AC31" s="313">
        <f t="shared" si="82"/>
        <v>517.74659999999994</v>
      </c>
      <c r="AD31" s="313">
        <f t="shared" si="82"/>
        <v>517.74659999999994</v>
      </c>
      <c r="AE31" s="313">
        <f t="shared" si="82"/>
        <v>264.54329999999999</v>
      </c>
      <c r="AF31" s="313">
        <f t="shared" si="82"/>
        <v>529.08659999999998</v>
      </c>
      <c r="AG31" s="313">
        <f t="shared" si="82"/>
        <v>529.08659999999998</v>
      </c>
      <c r="AH31" s="313">
        <f t="shared" si="82"/>
        <v>264.54329999999999</v>
      </c>
      <c r="AI31" s="276">
        <f t="shared" si="70"/>
        <v>4918.5926999999992</v>
      </c>
      <c r="AJ31" s="313">
        <f>AJ29*AJ30/10000</f>
        <v>529.08659999999998</v>
      </c>
      <c r="AK31" s="313">
        <f t="shared" ref="AK31:AU31" si="83">AK29*AK30/10000</f>
        <v>264.54329999999999</v>
      </c>
      <c r="AL31" s="313">
        <f t="shared" si="83"/>
        <v>529.08659999999998</v>
      </c>
      <c r="AM31" s="313">
        <f t="shared" si="83"/>
        <v>270.2133</v>
      </c>
      <c r="AN31" s="313">
        <f t="shared" si="83"/>
        <v>810.63990000000001</v>
      </c>
      <c r="AO31" s="313">
        <f t="shared" si="83"/>
        <v>540.42660000000001</v>
      </c>
      <c r="AP31" s="313">
        <f t="shared" si="83"/>
        <v>810.63990000000001</v>
      </c>
      <c r="AQ31" s="277">
        <f t="shared" si="83"/>
        <v>540.42660000000001</v>
      </c>
      <c r="AR31" s="277">
        <f t="shared" si="83"/>
        <v>270.2133</v>
      </c>
      <c r="AS31" s="277">
        <f t="shared" si="83"/>
        <v>810.63990000000001</v>
      </c>
      <c r="AT31" s="277">
        <f t="shared" si="83"/>
        <v>270.2133</v>
      </c>
      <c r="AU31" s="277">
        <f t="shared" si="83"/>
        <v>270.2133</v>
      </c>
      <c r="AV31" s="276">
        <f t="shared" si="71"/>
        <v>5916.3426000000009</v>
      </c>
      <c r="AW31" s="277">
        <f>AW29*AW30/10000</f>
        <v>275.88330000000002</v>
      </c>
      <c r="AX31" s="277">
        <f t="shared" ref="AX31:BH31" si="84">AX29*AX30/10000</f>
        <v>551.76660000000004</v>
      </c>
      <c r="AY31" s="277">
        <f t="shared" si="84"/>
        <v>551.76660000000004</v>
      </c>
      <c r="AZ31" s="277">
        <f t="shared" si="84"/>
        <v>827.6499</v>
      </c>
      <c r="BA31" s="277">
        <f t="shared" si="84"/>
        <v>827.6499</v>
      </c>
      <c r="BB31" s="277">
        <f t="shared" si="84"/>
        <v>0</v>
      </c>
      <c r="BC31" s="277">
        <f t="shared" si="84"/>
        <v>0</v>
      </c>
      <c r="BD31" s="277">
        <f t="shared" si="84"/>
        <v>0</v>
      </c>
      <c r="BE31" s="277">
        <f t="shared" si="84"/>
        <v>0</v>
      </c>
      <c r="BF31" s="277">
        <f t="shared" si="84"/>
        <v>0</v>
      </c>
      <c r="BG31" s="277">
        <f t="shared" si="84"/>
        <v>0</v>
      </c>
      <c r="BH31" s="277">
        <f t="shared" si="84"/>
        <v>0</v>
      </c>
      <c r="BI31" s="316">
        <f t="shared" si="72"/>
        <v>3034.7163</v>
      </c>
      <c r="BJ31" s="317"/>
      <c r="BK31" s="317"/>
      <c r="BL31" s="317"/>
      <c r="BM31" s="317"/>
      <c r="BN31" s="317"/>
      <c r="BO31" s="317"/>
      <c r="BP31" s="280">
        <f t="shared" ref="BP31:BP33" si="85">I31+V31+AI31+AV31+BI31</f>
        <v>17654.414400000001</v>
      </c>
    </row>
    <row r="32" spans="1:69" s="281" customFormat="1" ht="12.75" x14ac:dyDescent="0.15">
      <c r="A32" s="384"/>
      <c r="B32" s="388" t="s">
        <v>1427</v>
      </c>
      <c r="C32" s="293" t="s">
        <v>1416</v>
      </c>
      <c r="D32" s="294">
        <v>46</v>
      </c>
      <c r="E32" s="323">
        <v>0</v>
      </c>
      <c r="F32" s="323">
        <v>0</v>
      </c>
      <c r="G32" s="324">
        <v>0</v>
      </c>
      <c r="H32" s="324">
        <v>0</v>
      </c>
      <c r="I32" s="322">
        <f t="shared" si="68"/>
        <v>0</v>
      </c>
      <c r="J32" s="324">
        <v>0</v>
      </c>
      <c r="K32" s="324">
        <v>0</v>
      </c>
      <c r="L32" s="325">
        <v>0</v>
      </c>
      <c r="M32" s="323">
        <v>0</v>
      </c>
      <c r="N32" s="324"/>
      <c r="O32" s="324"/>
      <c r="P32" s="323">
        <v>8</v>
      </c>
      <c r="Q32" s="324">
        <v>0</v>
      </c>
      <c r="R32" s="323">
        <v>4</v>
      </c>
      <c r="S32" s="325">
        <v>0</v>
      </c>
      <c r="T32" s="324">
        <v>0</v>
      </c>
      <c r="U32" s="323">
        <v>1</v>
      </c>
      <c r="V32" s="326">
        <f t="shared" si="69"/>
        <v>13</v>
      </c>
      <c r="W32" s="324">
        <v>1</v>
      </c>
      <c r="X32" s="324">
        <v>0</v>
      </c>
      <c r="Y32" s="323">
        <v>1</v>
      </c>
      <c r="Z32" s="323">
        <v>1</v>
      </c>
      <c r="AA32" s="323">
        <v>1</v>
      </c>
      <c r="AB32" s="323">
        <v>1</v>
      </c>
      <c r="AC32" s="323">
        <v>2</v>
      </c>
      <c r="AD32" s="323">
        <v>2</v>
      </c>
      <c r="AE32" s="323">
        <v>1</v>
      </c>
      <c r="AF32" s="323">
        <v>1</v>
      </c>
      <c r="AG32" s="324">
        <v>1</v>
      </c>
      <c r="AH32" s="324">
        <v>1</v>
      </c>
      <c r="AI32" s="326">
        <f t="shared" si="70"/>
        <v>13</v>
      </c>
      <c r="AJ32" s="324">
        <v>1</v>
      </c>
      <c r="AK32" s="324">
        <v>1</v>
      </c>
      <c r="AL32" s="323">
        <v>1</v>
      </c>
      <c r="AM32" s="323">
        <v>1</v>
      </c>
      <c r="AN32" s="323">
        <v>1</v>
      </c>
      <c r="AO32" s="323">
        <v>1</v>
      </c>
      <c r="AP32" s="323">
        <v>1</v>
      </c>
      <c r="AQ32" s="323">
        <v>2</v>
      </c>
      <c r="AR32" s="323">
        <v>1</v>
      </c>
      <c r="AS32" s="323">
        <v>2</v>
      </c>
      <c r="AT32" s="324">
        <v>1</v>
      </c>
      <c r="AU32" s="324">
        <v>1</v>
      </c>
      <c r="AV32" s="326">
        <f t="shared" si="71"/>
        <v>14</v>
      </c>
      <c r="AW32" s="324">
        <v>1</v>
      </c>
      <c r="AX32" s="324">
        <v>1</v>
      </c>
      <c r="AY32" s="325">
        <v>1</v>
      </c>
      <c r="AZ32" s="325">
        <v>1</v>
      </c>
      <c r="BA32" s="325">
        <v>1</v>
      </c>
      <c r="BB32" s="325">
        <v>1</v>
      </c>
      <c r="BC32" s="325"/>
      <c r="BD32" s="325"/>
      <c r="BE32" s="325"/>
      <c r="BF32" s="325"/>
      <c r="BG32" s="325"/>
      <c r="BH32" s="325"/>
      <c r="BI32" s="327">
        <f t="shared" si="72"/>
        <v>6</v>
      </c>
      <c r="BJ32" s="328"/>
      <c r="BK32" s="328"/>
      <c r="BL32" s="328"/>
      <c r="BM32" s="328"/>
      <c r="BN32" s="328"/>
      <c r="BO32" s="328"/>
      <c r="BP32" s="280">
        <f t="shared" si="85"/>
        <v>46</v>
      </c>
      <c r="BQ32" s="299">
        <f>BP32-D32</f>
        <v>0</v>
      </c>
    </row>
    <row r="33" spans="1:149" s="281" customFormat="1" ht="12.75" x14ac:dyDescent="0.15">
      <c r="A33" s="384"/>
      <c r="B33" s="389"/>
      <c r="C33" s="293" t="s">
        <v>1417</v>
      </c>
      <c r="D33" s="294">
        <v>234</v>
      </c>
      <c r="E33" s="329">
        <f>E32*D33</f>
        <v>0</v>
      </c>
      <c r="F33" s="329">
        <f>F32*D33</f>
        <v>0</v>
      </c>
      <c r="G33" s="329">
        <f>G32*D33</f>
        <v>0</v>
      </c>
      <c r="H33" s="329">
        <f>H32*D33</f>
        <v>0</v>
      </c>
      <c r="I33" s="314">
        <f t="shared" si="68"/>
        <v>0</v>
      </c>
      <c r="J33" s="324">
        <f>J32*D33</f>
        <v>0</v>
      </c>
      <c r="K33" s="324">
        <f>K32*D33</f>
        <v>0</v>
      </c>
      <c r="L33" s="324">
        <f>L32*D33</f>
        <v>0</v>
      </c>
      <c r="M33" s="324">
        <f>M32*D33</f>
        <v>0</v>
      </c>
      <c r="N33" s="324">
        <f>N32*D33</f>
        <v>0</v>
      </c>
      <c r="O33" s="324">
        <f>O32*D33</f>
        <v>0</v>
      </c>
      <c r="P33" s="324">
        <f>P32*D33</f>
        <v>1872</v>
      </c>
      <c r="Q33" s="324">
        <f>Q32*D33</f>
        <v>0</v>
      </c>
      <c r="R33" s="324">
        <f>R32*D33</f>
        <v>936</v>
      </c>
      <c r="S33" s="324">
        <f>S32*D33</f>
        <v>0</v>
      </c>
      <c r="T33" s="324">
        <f>T32*D33</f>
        <v>0</v>
      </c>
      <c r="U33" s="324">
        <f>U32*D33</f>
        <v>234</v>
      </c>
      <c r="V33" s="326">
        <f t="shared" si="69"/>
        <v>3042</v>
      </c>
      <c r="W33" s="324">
        <f>W32*D33</f>
        <v>234</v>
      </c>
      <c r="X33" s="324">
        <f>X32*D33</f>
        <v>0</v>
      </c>
      <c r="Y33" s="324">
        <f>Y32*D33</f>
        <v>234</v>
      </c>
      <c r="Z33" s="324">
        <f>Z32*D33</f>
        <v>234</v>
      </c>
      <c r="AA33" s="324">
        <f>AA32*D33</f>
        <v>234</v>
      </c>
      <c r="AB33" s="324">
        <f>AB32*D33</f>
        <v>234</v>
      </c>
      <c r="AC33" s="324">
        <f>AC32*D33</f>
        <v>468</v>
      </c>
      <c r="AD33" s="324">
        <f>AD32*D33</f>
        <v>468</v>
      </c>
      <c r="AE33" s="324">
        <f>AE32*D33</f>
        <v>234</v>
      </c>
      <c r="AF33" s="324">
        <f>AF32*D33</f>
        <v>234</v>
      </c>
      <c r="AG33" s="324">
        <f>AG32*D33</f>
        <v>234</v>
      </c>
      <c r="AH33" s="324">
        <f>AH32*D33</f>
        <v>234</v>
      </c>
      <c r="AI33" s="326">
        <f t="shared" si="70"/>
        <v>3042</v>
      </c>
      <c r="AJ33" s="324">
        <f>AJ32*D33</f>
        <v>234</v>
      </c>
      <c r="AK33" s="324">
        <f>AK32*D33</f>
        <v>234</v>
      </c>
      <c r="AL33" s="313">
        <f>AL32*D33</f>
        <v>234</v>
      </c>
      <c r="AM33" s="313">
        <f>AM32*D33</f>
        <v>234</v>
      </c>
      <c r="AN33" s="313">
        <f>AN32*D33</f>
        <v>234</v>
      </c>
      <c r="AO33" s="313">
        <f>AO32*D33</f>
        <v>234</v>
      </c>
      <c r="AP33" s="313">
        <f>AP32*D33</f>
        <v>234</v>
      </c>
      <c r="AQ33" s="324">
        <f>AQ32*D33</f>
        <v>468</v>
      </c>
      <c r="AR33" s="324">
        <f>AR32*D33</f>
        <v>234</v>
      </c>
      <c r="AS33" s="324">
        <f>AS32*D33</f>
        <v>468</v>
      </c>
      <c r="AT33" s="324">
        <f>AT32*D33</f>
        <v>234</v>
      </c>
      <c r="AU33" s="324">
        <f>AU32*D33</f>
        <v>234</v>
      </c>
      <c r="AV33" s="326">
        <f t="shared" si="71"/>
        <v>3276</v>
      </c>
      <c r="AW33" s="324">
        <f>AW32*D33</f>
        <v>234</v>
      </c>
      <c r="AX33" s="324">
        <f>AX32*D33</f>
        <v>234</v>
      </c>
      <c r="AY33" s="324">
        <f>AY32*D33</f>
        <v>234</v>
      </c>
      <c r="AZ33" s="324">
        <f>AZ32*D33</f>
        <v>234</v>
      </c>
      <c r="BA33" s="324">
        <f>BA32*D33</f>
        <v>234</v>
      </c>
      <c r="BB33" s="324">
        <f>BB32*D33</f>
        <v>234</v>
      </c>
      <c r="BC33" s="324">
        <f>BC32*D33</f>
        <v>0</v>
      </c>
      <c r="BD33" s="324">
        <f>BD32*D33</f>
        <v>0</v>
      </c>
      <c r="BE33" s="324">
        <f>BE32*D33</f>
        <v>0</v>
      </c>
      <c r="BF33" s="324">
        <f>BF32*D33</f>
        <v>0</v>
      </c>
      <c r="BG33" s="324">
        <f>BG32*D33</f>
        <v>0</v>
      </c>
      <c r="BH33" s="324">
        <f>BH32*D33</f>
        <v>0</v>
      </c>
      <c r="BI33" s="327">
        <f t="shared" si="72"/>
        <v>1404</v>
      </c>
      <c r="BJ33" s="328"/>
      <c r="BK33" s="328"/>
      <c r="BL33" s="328"/>
      <c r="BM33" s="328"/>
      <c r="BN33" s="328"/>
      <c r="BO33" s="328"/>
      <c r="BP33" s="280">
        <f t="shared" si="85"/>
        <v>10764</v>
      </c>
    </row>
    <row r="34" spans="1:149" s="281" customFormat="1" ht="12.75" x14ac:dyDescent="0.15">
      <c r="A34" s="384"/>
      <c r="B34" s="389"/>
      <c r="C34" s="372" t="s">
        <v>1418</v>
      </c>
      <c r="D34" s="373"/>
      <c r="E34" s="341">
        <v>0</v>
      </c>
      <c r="F34" s="323">
        <f t="shared" ref="F34:K34" si="86">E34</f>
        <v>0</v>
      </c>
      <c r="G34" s="331">
        <v>0</v>
      </c>
      <c r="H34" s="331">
        <f t="shared" si="86"/>
        <v>0</v>
      </c>
      <c r="I34" s="342" t="e">
        <f>I35/I33*10000</f>
        <v>#DIV/0!</v>
      </c>
      <c r="J34" s="331">
        <f>H34</f>
        <v>0</v>
      </c>
      <c r="K34" s="331">
        <f t="shared" si="86"/>
        <v>0</v>
      </c>
      <c r="L34" s="323">
        <v>0</v>
      </c>
      <c r="M34" s="323">
        <v>0</v>
      </c>
      <c r="N34" s="331"/>
      <c r="O34" s="331">
        <f t="shared" ref="O34:U34" si="87">N34</f>
        <v>0</v>
      </c>
      <c r="P34" s="323">
        <v>12437</v>
      </c>
      <c r="Q34" s="331">
        <f>P34+800</f>
        <v>13237</v>
      </c>
      <c r="R34" s="331">
        <f t="shared" si="87"/>
        <v>13237</v>
      </c>
      <c r="S34" s="331">
        <f t="shared" si="87"/>
        <v>13237</v>
      </c>
      <c r="T34" s="331">
        <f t="shared" si="87"/>
        <v>13237</v>
      </c>
      <c r="U34" s="331">
        <f t="shared" si="87"/>
        <v>13237</v>
      </c>
      <c r="V34" s="326">
        <f>V35/V33*10000</f>
        <v>12744.692307692307</v>
      </c>
      <c r="W34" s="331">
        <f>U34+800</f>
        <v>14037</v>
      </c>
      <c r="X34" s="331">
        <f t="shared" ref="X34:Z34" si="88">W34</f>
        <v>14037</v>
      </c>
      <c r="Y34" s="323">
        <f t="shared" si="88"/>
        <v>14037</v>
      </c>
      <c r="Z34" s="323">
        <f t="shared" si="88"/>
        <v>14037</v>
      </c>
      <c r="AA34" s="323">
        <f>Z34+300</f>
        <v>14337</v>
      </c>
      <c r="AB34" s="323">
        <f t="shared" ref="AB34:AD34" si="89">AA34</f>
        <v>14337</v>
      </c>
      <c r="AC34" s="323">
        <f t="shared" si="89"/>
        <v>14337</v>
      </c>
      <c r="AD34" s="323">
        <f t="shared" si="89"/>
        <v>14337</v>
      </c>
      <c r="AE34" s="323">
        <f>AD34+300</f>
        <v>14637</v>
      </c>
      <c r="AF34" s="323">
        <f t="shared" ref="AF34:AH34" si="90">AE34</f>
        <v>14637</v>
      </c>
      <c r="AG34" s="323">
        <f t="shared" si="90"/>
        <v>14637</v>
      </c>
      <c r="AH34" s="323">
        <f t="shared" si="90"/>
        <v>14637</v>
      </c>
      <c r="AI34" s="326">
        <f>AI35/AI33*10000</f>
        <v>14360.076923076924</v>
      </c>
      <c r="AJ34" s="324">
        <f>AH34</f>
        <v>14637</v>
      </c>
      <c r="AK34" s="324">
        <f t="shared" ref="AK34:AQ34" si="91">AJ34</f>
        <v>14637</v>
      </c>
      <c r="AL34" s="313">
        <f t="shared" si="91"/>
        <v>14637</v>
      </c>
      <c r="AM34" s="313">
        <f>AL34+300</f>
        <v>14937</v>
      </c>
      <c r="AN34" s="313">
        <f t="shared" si="91"/>
        <v>14937</v>
      </c>
      <c r="AO34" s="313">
        <f t="shared" si="91"/>
        <v>14937</v>
      </c>
      <c r="AP34" s="313">
        <f t="shared" si="91"/>
        <v>14937</v>
      </c>
      <c r="AQ34" s="324">
        <f t="shared" si="91"/>
        <v>14937</v>
      </c>
      <c r="AR34" s="323">
        <f>AQ34+300</f>
        <v>15237</v>
      </c>
      <c r="AS34" s="323">
        <f t="shared" ref="AS34:AU34" si="92">AR34</f>
        <v>15237</v>
      </c>
      <c r="AT34" s="324">
        <f t="shared" si="92"/>
        <v>15237</v>
      </c>
      <c r="AU34" s="324">
        <f t="shared" si="92"/>
        <v>15237</v>
      </c>
      <c r="AV34" s="332">
        <f>AV35/AV33*10000</f>
        <v>14979.857142857139</v>
      </c>
      <c r="AW34" s="324">
        <f>AU34</f>
        <v>15237</v>
      </c>
      <c r="AX34" s="324">
        <f>AW34</f>
        <v>15237</v>
      </c>
      <c r="AY34" s="325">
        <f>AX34</f>
        <v>15237</v>
      </c>
      <c r="AZ34" s="325">
        <f t="shared" ref="AZ34:BH34" si="93">AY34</f>
        <v>15237</v>
      </c>
      <c r="BA34" s="325">
        <f t="shared" si="93"/>
        <v>15237</v>
      </c>
      <c r="BB34" s="325">
        <f t="shared" si="93"/>
        <v>15237</v>
      </c>
      <c r="BC34" s="325">
        <f t="shared" si="93"/>
        <v>15237</v>
      </c>
      <c r="BD34" s="325">
        <f t="shared" si="93"/>
        <v>15237</v>
      </c>
      <c r="BE34" s="325">
        <f t="shared" si="93"/>
        <v>15237</v>
      </c>
      <c r="BF34" s="325">
        <f t="shared" si="93"/>
        <v>15237</v>
      </c>
      <c r="BG34" s="325">
        <f t="shared" si="93"/>
        <v>15237</v>
      </c>
      <c r="BH34" s="325">
        <f t="shared" si="93"/>
        <v>15237</v>
      </c>
      <c r="BI34" s="327">
        <f>BI35/BI33*10000</f>
        <v>15236.999999999998</v>
      </c>
      <c r="BJ34" s="328"/>
      <c r="BK34" s="328"/>
      <c r="BL34" s="328"/>
      <c r="BM34" s="328"/>
      <c r="BN34" s="328"/>
      <c r="BO34" s="328"/>
      <c r="BP34" s="321">
        <f>BP35/BP33*10000</f>
        <v>14206.565217391302</v>
      </c>
    </row>
    <row r="35" spans="1:149" s="281" customFormat="1" ht="12.75" x14ac:dyDescent="0.15">
      <c r="A35" s="384"/>
      <c r="B35" s="390"/>
      <c r="C35" s="371" t="s">
        <v>1419</v>
      </c>
      <c r="D35" s="371"/>
      <c r="E35" s="323">
        <f t="shared" ref="E35:H35" si="94">E33*E34/10000</f>
        <v>0</v>
      </c>
      <c r="F35" s="323">
        <f t="shared" si="94"/>
        <v>0</v>
      </c>
      <c r="G35" s="323">
        <f t="shared" si="94"/>
        <v>0</v>
      </c>
      <c r="H35" s="323">
        <f t="shared" si="94"/>
        <v>0</v>
      </c>
      <c r="I35" s="330">
        <f>SUM(E35:H35)</f>
        <v>0</v>
      </c>
      <c r="J35" s="324">
        <f>J33*J34/10000</f>
        <v>0</v>
      </c>
      <c r="K35" s="324">
        <f t="shared" ref="K35:U35" si="95">K33*K34/10000</f>
        <v>0</v>
      </c>
      <c r="L35" s="324">
        <f t="shared" si="95"/>
        <v>0</v>
      </c>
      <c r="M35" s="324">
        <f t="shared" si="95"/>
        <v>0</v>
      </c>
      <c r="N35" s="324">
        <f t="shared" si="95"/>
        <v>0</v>
      </c>
      <c r="O35" s="324"/>
      <c r="P35" s="324">
        <f t="shared" si="95"/>
        <v>2328.2064</v>
      </c>
      <c r="Q35" s="324">
        <f t="shared" si="95"/>
        <v>0</v>
      </c>
      <c r="R35" s="324">
        <f t="shared" si="95"/>
        <v>1238.9831999999999</v>
      </c>
      <c r="S35" s="324">
        <f t="shared" si="95"/>
        <v>0</v>
      </c>
      <c r="T35" s="324">
        <f t="shared" si="95"/>
        <v>0</v>
      </c>
      <c r="U35" s="324">
        <f t="shared" si="95"/>
        <v>309.74579999999997</v>
      </c>
      <c r="V35" s="326">
        <f>SUM(J35:U35)</f>
        <v>3876.9353999999998</v>
      </c>
      <c r="W35" s="324">
        <f>W33*W34/10000</f>
        <v>328.4658</v>
      </c>
      <c r="X35" s="324">
        <f t="shared" ref="X35:AH35" si="96">X33*X34/10000</f>
        <v>0</v>
      </c>
      <c r="Y35" s="324">
        <f t="shared" si="96"/>
        <v>328.4658</v>
      </c>
      <c r="Z35" s="324">
        <f t="shared" si="96"/>
        <v>328.4658</v>
      </c>
      <c r="AA35" s="324">
        <f t="shared" si="96"/>
        <v>335.48579999999998</v>
      </c>
      <c r="AB35" s="324">
        <f t="shared" si="96"/>
        <v>335.48579999999998</v>
      </c>
      <c r="AC35" s="324">
        <f t="shared" si="96"/>
        <v>670.97159999999997</v>
      </c>
      <c r="AD35" s="324">
        <f t="shared" si="96"/>
        <v>670.97159999999997</v>
      </c>
      <c r="AE35" s="324">
        <f t="shared" si="96"/>
        <v>342.50580000000002</v>
      </c>
      <c r="AF35" s="324">
        <f t="shared" si="96"/>
        <v>342.50580000000002</v>
      </c>
      <c r="AG35" s="324">
        <f t="shared" si="96"/>
        <v>342.50580000000002</v>
      </c>
      <c r="AH35" s="324">
        <f t="shared" si="96"/>
        <v>342.50580000000002</v>
      </c>
      <c r="AI35" s="326">
        <f>SUM(W35:AH35)</f>
        <v>4368.3353999999999</v>
      </c>
      <c r="AJ35" s="324">
        <f>AJ33*AJ34/10000</f>
        <v>342.50580000000002</v>
      </c>
      <c r="AK35" s="324">
        <f t="shared" ref="AK35:AU35" si="97">AK33*AK34/10000</f>
        <v>342.50580000000002</v>
      </c>
      <c r="AL35" s="313">
        <f t="shared" si="97"/>
        <v>342.50580000000002</v>
      </c>
      <c r="AM35" s="313">
        <f t="shared" si="97"/>
        <v>349.5258</v>
      </c>
      <c r="AN35" s="313">
        <f t="shared" si="97"/>
        <v>349.5258</v>
      </c>
      <c r="AO35" s="313">
        <f t="shared" si="97"/>
        <v>349.5258</v>
      </c>
      <c r="AP35" s="313">
        <f t="shared" si="97"/>
        <v>349.5258</v>
      </c>
      <c r="AQ35" s="324">
        <f t="shared" si="97"/>
        <v>699.05160000000001</v>
      </c>
      <c r="AR35" s="324">
        <f t="shared" si="97"/>
        <v>356.54579999999999</v>
      </c>
      <c r="AS35" s="324">
        <f t="shared" si="97"/>
        <v>713.09159999999997</v>
      </c>
      <c r="AT35" s="324">
        <f t="shared" si="97"/>
        <v>356.54579999999999</v>
      </c>
      <c r="AU35" s="324">
        <f t="shared" si="97"/>
        <v>356.54579999999999</v>
      </c>
      <c r="AV35" s="326">
        <f>SUM(AJ35:AU35)</f>
        <v>4907.4011999999993</v>
      </c>
      <c r="AW35" s="324">
        <f>AW33*AW34/10000</f>
        <v>356.54579999999999</v>
      </c>
      <c r="AX35" s="324">
        <f t="shared" ref="AX35:BH35" si="98">AX33*AX34/10000</f>
        <v>356.54579999999999</v>
      </c>
      <c r="AY35" s="324">
        <f t="shared" si="98"/>
        <v>356.54579999999999</v>
      </c>
      <c r="AZ35" s="324">
        <f t="shared" si="98"/>
        <v>356.54579999999999</v>
      </c>
      <c r="BA35" s="324">
        <f t="shared" si="98"/>
        <v>356.54579999999999</v>
      </c>
      <c r="BB35" s="324">
        <f t="shared" si="98"/>
        <v>356.54579999999999</v>
      </c>
      <c r="BC35" s="324">
        <f t="shared" si="98"/>
        <v>0</v>
      </c>
      <c r="BD35" s="324">
        <f t="shared" si="98"/>
        <v>0</v>
      </c>
      <c r="BE35" s="324">
        <f t="shared" si="98"/>
        <v>0</v>
      </c>
      <c r="BF35" s="324">
        <f t="shared" si="98"/>
        <v>0</v>
      </c>
      <c r="BG35" s="324">
        <f t="shared" si="98"/>
        <v>0</v>
      </c>
      <c r="BH35" s="324">
        <f t="shared" si="98"/>
        <v>0</v>
      </c>
      <c r="BI35" s="327">
        <f>SUM(AW35:BH35)</f>
        <v>2139.2747999999997</v>
      </c>
      <c r="BJ35" s="328"/>
      <c r="BK35" s="328"/>
      <c r="BL35" s="328"/>
      <c r="BM35" s="328"/>
      <c r="BN35" s="328"/>
      <c r="BO35" s="328"/>
      <c r="BP35" s="280">
        <f t="shared" ref="BP35:BP37" si="99">I35+V35+AI35+AV35+BI35</f>
        <v>15291.946799999998</v>
      </c>
    </row>
    <row r="36" spans="1:149" x14ac:dyDescent="0.15">
      <c r="A36" s="384"/>
      <c r="B36" s="381" t="s">
        <v>1421</v>
      </c>
      <c r="C36" s="333" t="s">
        <v>1416</v>
      </c>
      <c r="D36" s="337">
        <f t="shared" ref="D36:AI37" si="100">D28+D32</f>
        <v>114</v>
      </c>
      <c r="E36" s="334">
        <f t="shared" si="100"/>
        <v>0</v>
      </c>
      <c r="F36" s="334">
        <f t="shared" si="100"/>
        <v>0</v>
      </c>
      <c r="G36" s="334">
        <f t="shared" si="100"/>
        <v>0</v>
      </c>
      <c r="H36" s="334">
        <f t="shared" si="100"/>
        <v>0</v>
      </c>
      <c r="I36" s="334">
        <f t="shared" si="100"/>
        <v>0</v>
      </c>
      <c r="J36" s="334">
        <f t="shared" si="100"/>
        <v>0</v>
      </c>
      <c r="K36" s="334">
        <f t="shared" si="100"/>
        <v>0</v>
      </c>
      <c r="L36" s="334">
        <f t="shared" si="100"/>
        <v>0</v>
      </c>
      <c r="M36" s="334">
        <f t="shared" si="100"/>
        <v>0</v>
      </c>
      <c r="N36" s="334">
        <f t="shared" si="100"/>
        <v>0</v>
      </c>
      <c r="O36" s="334">
        <f t="shared" si="100"/>
        <v>0</v>
      </c>
      <c r="P36" s="334">
        <f t="shared" si="100"/>
        <v>17</v>
      </c>
      <c r="Q36" s="334">
        <f t="shared" si="100"/>
        <v>3</v>
      </c>
      <c r="R36" s="334">
        <f t="shared" si="100"/>
        <v>6</v>
      </c>
      <c r="S36" s="334">
        <f t="shared" si="100"/>
        <v>1</v>
      </c>
      <c r="T36" s="334">
        <f t="shared" si="100"/>
        <v>0</v>
      </c>
      <c r="U36" s="334">
        <f t="shared" si="100"/>
        <v>2</v>
      </c>
      <c r="V36" s="343">
        <f>V28+V32</f>
        <v>29</v>
      </c>
      <c r="W36" s="334">
        <f t="shared" si="100"/>
        <v>2</v>
      </c>
      <c r="X36" s="334">
        <f t="shared" si="100"/>
        <v>1</v>
      </c>
      <c r="Y36" s="334">
        <f t="shared" si="100"/>
        <v>3</v>
      </c>
      <c r="Z36" s="334">
        <f t="shared" si="100"/>
        <v>3</v>
      </c>
      <c r="AA36" s="334">
        <f t="shared" si="100"/>
        <v>2</v>
      </c>
      <c r="AB36" s="334">
        <f t="shared" si="100"/>
        <v>3</v>
      </c>
      <c r="AC36" s="334">
        <f t="shared" si="100"/>
        <v>4</v>
      </c>
      <c r="AD36" s="334">
        <f t="shared" si="100"/>
        <v>4</v>
      </c>
      <c r="AE36" s="334">
        <f t="shared" si="100"/>
        <v>2</v>
      </c>
      <c r="AF36" s="334">
        <f t="shared" si="100"/>
        <v>3</v>
      </c>
      <c r="AG36" s="334">
        <f t="shared" si="100"/>
        <v>3</v>
      </c>
      <c r="AH36" s="334">
        <f t="shared" si="100"/>
        <v>2</v>
      </c>
      <c r="AI36" s="334">
        <f t="shared" si="100"/>
        <v>32</v>
      </c>
      <c r="AJ36" s="334">
        <f>AJ28+AJ32</f>
        <v>3</v>
      </c>
      <c r="AK36" s="334">
        <f t="shared" ref="AK36:BI36" si="101">AK28+AK32</f>
        <v>2</v>
      </c>
      <c r="AL36" s="334">
        <f t="shared" si="101"/>
        <v>3</v>
      </c>
      <c r="AM36" s="334">
        <f t="shared" si="101"/>
        <v>2</v>
      </c>
      <c r="AN36" s="334">
        <f t="shared" si="101"/>
        <v>4</v>
      </c>
      <c r="AO36" s="334">
        <f t="shared" si="101"/>
        <v>3</v>
      </c>
      <c r="AP36" s="334">
        <f t="shared" si="101"/>
        <v>4</v>
      </c>
      <c r="AQ36" s="334">
        <f t="shared" si="101"/>
        <v>4</v>
      </c>
      <c r="AR36" s="334">
        <f t="shared" si="101"/>
        <v>2</v>
      </c>
      <c r="AS36" s="334">
        <f t="shared" si="101"/>
        <v>5</v>
      </c>
      <c r="AT36" s="334">
        <f t="shared" si="101"/>
        <v>2</v>
      </c>
      <c r="AU36" s="334">
        <f t="shared" si="101"/>
        <v>2</v>
      </c>
      <c r="AV36" s="334">
        <f t="shared" si="101"/>
        <v>36</v>
      </c>
      <c r="AW36" s="334">
        <f t="shared" si="101"/>
        <v>2</v>
      </c>
      <c r="AX36" s="334">
        <f t="shared" si="101"/>
        <v>3</v>
      </c>
      <c r="AY36" s="334">
        <f t="shared" si="101"/>
        <v>3</v>
      </c>
      <c r="AZ36" s="334">
        <f t="shared" si="101"/>
        <v>4</v>
      </c>
      <c r="BA36" s="334">
        <f t="shared" si="101"/>
        <v>4</v>
      </c>
      <c r="BB36" s="334">
        <f t="shared" si="101"/>
        <v>1</v>
      </c>
      <c r="BC36" s="334">
        <f t="shared" si="101"/>
        <v>0</v>
      </c>
      <c r="BD36" s="334">
        <f t="shared" si="101"/>
        <v>0</v>
      </c>
      <c r="BE36" s="334">
        <f t="shared" si="101"/>
        <v>0</v>
      </c>
      <c r="BF36" s="334">
        <f t="shared" si="101"/>
        <v>0</v>
      </c>
      <c r="BG36" s="334">
        <f t="shared" si="101"/>
        <v>0</v>
      </c>
      <c r="BH36" s="334">
        <f t="shared" si="101"/>
        <v>0</v>
      </c>
      <c r="BI36" s="334">
        <f t="shared" si="101"/>
        <v>17</v>
      </c>
      <c r="BJ36" s="336"/>
      <c r="BK36" s="336"/>
      <c r="BL36" s="336"/>
      <c r="BM36" s="336"/>
      <c r="BN36" s="336"/>
      <c r="BO36" s="336"/>
      <c r="BP36" s="301">
        <f t="shared" si="99"/>
        <v>114</v>
      </c>
      <c r="BQ36" s="299">
        <f>BP36-D36</f>
        <v>0</v>
      </c>
      <c r="BR36" s="299"/>
      <c r="BS36" s="299"/>
      <c r="BT36" s="299"/>
      <c r="BU36" s="299"/>
      <c r="BV36" s="299"/>
      <c r="BW36" s="299"/>
      <c r="BX36" s="299"/>
      <c r="BY36" s="299"/>
      <c r="BZ36" s="299"/>
      <c r="CA36" s="299"/>
      <c r="CB36" s="299"/>
      <c r="CC36" s="299"/>
      <c r="CD36" s="299"/>
      <c r="CE36" s="299"/>
      <c r="CF36" s="299"/>
      <c r="CG36" s="299"/>
      <c r="CH36" s="299"/>
      <c r="CI36" s="299"/>
      <c r="CJ36" s="299"/>
      <c r="CK36" s="299"/>
      <c r="CL36" s="299"/>
      <c r="CM36" s="299"/>
      <c r="CN36" s="299"/>
      <c r="CO36" s="299"/>
      <c r="CP36" s="299"/>
      <c r="CQ36" s="299"/>
      <c r="CR36" s="299"/>
      <c r="CS36" s="299"/>
      <c r="CT36" s="299"/>
      <c r="CU36" s="299"/>
      <c r="CV36" s="299"/>
      <c r="CW36" s="299"/>
      <c r="CX36" s="299"/>
      <c r="CY36" s="299"/>
      <c r="CZ36" s="299"/>
      <c r="DA36" s="299"/>
      <c r="DB36" s="299"/>
      <c r="DC36" s="299"/>
      <c r="DD36" s="299"/>
      <c r="DE36" s="299"/>
      <c r="DF36" s="299"/>
      <c r="DG36" s="299"/>
      <c r="DH36" s="299"/>
      <c r="DI36" s="299"/>
      <c r="DJ36" s="299"/>
      <c r="DK36" s="299"/>
      <c r="DL36" s="299"/>
      <c r="DM36" s="299"/>
      <c r="DN36" s="299"/>
      <c r="DO36" s="299"/>
      <c r="DP36" s="299"/>
      <c r="DQ36" s="299"/>
      <c r="DR36" s="299"/>
      <c r="DS36" s="299"/>
      <c r="DT36" s="299"/>
      <c r="DU36" s="299"/>
      <c r="DV36" s="299"/>
      <c r="DW36" s="299"/>
      <c r="DX36" s="299"/>
      <c r="DY36" s="299"/>
      <c r="DZ36" s="299"/>
      <c r="EA36" s="299"/>
      <c r="EB36" s="299"/>
      <c r="EC36" s="299"/>
      <c r="ED36" s="299"/>
      <c r="EE36" s="299"/>
      <c r="EF36" s="299"/>
      <c r="EG36" s="299"/>
      <c r="EH36" s="299"/>
      <c r="EI36" s="299"/>
      <c r="EJ36" s="299"/>
      <c r="EK36" s="299"/>
      <c r="EL36" s="299"/>
      <c r="EM36" s="299"/>
      <c r="EN36" s="299"/>
      <c r="EO36" s="299"/>
      <c r="EP36" s="299"/>
      <c r="EQ36" s="299"/>
      <c r="ER36" s="299"/>
      <c r="ES36" s="299"/>
    </row>
    <row r="37" spans="1:149" x14ac:dyDescent="0.15">
      <c r="A37" s="384"/>
      <c r="B37" s="381"/>
      <c r="C37" s="306" t="s">
        <v>1417</v>
      </c>
      <c r="D37" s="337"/>
      <c r="E37" s="334">
        <f>E29+E33</f>
        <v>0</v>
      </c>
      <c r="F37" s="334">
        <f t="shared" si="100"/>
        <v>0</v>
      </c>
      <c r="G37" s="334">
        <f t="shared" si="100"/>
        <v>0</v>
      </c>
      <c r="H37" s="334">
        <f t="shared" si="100"/>
        <v>0</v>
      </c>
      <c r="I37" s="334">
        <f t="shared" si="100"/>
        <v>0</v>
      </c>
      <c r="J37" s="334">
        <f t="shared" si="100"/>
        <v>0</v>
      </c>
      <c r="K37" s="334">
        <f t="shared" si="100"/>
        <v>0</v>
      </c>
      <c r="L37" s="334">
        <f t="shared" si="100"/>
        <v>0</v>
      </c>
      <c r="M37" s="334">
        <f t="shared" si="100"/>
        <v>0</v>
      </c>
      <c r="N37" s="334">
        <f t="shared" si="100"/>
        <v>0</v>
      </c>
      <c r="O37" s="334">
        <f t="shared" si="100"/>
        <v>0</v>
      </c>
      <c r="P37" s="334">
        <f t="shared" si="100"/>
        <v>3573</v>
      </c>
      <c r="Q37" s="334">
        <f t="shared" si="100"/>
        <v>567</v>
      </c>
      <c r="R37" s="334">
        <f t="shared" si="100"/>
        <v>1314</v>
      </c>
      <c r="S37" s="334">
        <f t="shared" si="100"/>
        <v>189</v>
      </c>
      <c r="T37" s="334">
        <f t="shared" si="100"/>
        <v>0</v>
      </c>
      <c r="U37" s="334">
        <f t="shared" si="100"/>
        <v>423</v>
      </c>
      <c r="V37" s="334">
        <f t="shared" si="100"/>
        <v>6066</v>
      </c>
      <c r="W37" s="334">
        <f t="shared" si="100"/>
        <v>423</v>
      </c>
      <c r="X37" s="334">
        <f t="shared" si="100"/>
        <v>189</v>
      </c>
      <c r="Y37" s="334">
        <f t="shared" si="100"/>
        <v>612</v>
      </c>
      <c r="Z37" s="334">
        <f t="shared" si="100"/>
        <v>612</v>
      </c>
      <c r="AA37" s="334">
        <f t="shared" si="100"/>
        <v>423</v>
      </c>
      <c r="AB37" s="334">
        <f t="shared" si="100"/>
        <v>612</v>
      </c>
      <c r="AC37" s="334">
        <f t="shared" si="100"/>
        <v>846</v>
      </c>
      <c r="AD37" s="334">
        <f t="shared" si="100"/>
        <v>846</v>
      </c>
      <c r="AE37" s="334">
        <f t="shared" si="100"/>
        <v>423</v>
      </c>
      <c r="AF37" s="334">
        <f t="shared" si="100"/>
        <v>612</v>
      </c>
      <c r="AG37" s="334">
        <f t="shared" si="100"/>
        <v>612</v>
      </c>
      <c r="AH37" s="334">
        <f t="shared" si="100"/>
        <v>423</v>
      </c>
      <c r="AI37" s="334">
        <f t="shared" si="100"/>
        <v>6633</v>
      </c>
      <c r="AJ37" s="334">
        <f t="shared" ref="AJ37:BI37" si="102">AJ29+AJ33</f>
        <v>612</v>
      </c>
      <c r="AK37" s="334">
        <f t="shared" si="102"/>
        <v>423</v>
      </c>
      <c r="AL37" s="334">
        <f t="shared" si="102"/>
        <v>612</v>
      </c>
      <c r="AM37" s="334">
        <f t="shared" si="102"/>
        <v>423</v>
      </c>
      <c r="AN37" s="334">
        <f t="shared" si="102"/>
        <v>801</v>
      </c>
      <c r="AO37" s="334">
        <f t="shared" si="102"/>
        <v>612</v>
      </c>
      <c r="AP37" s="334">
        <f t="shared" si="102"/>
        <v>801</v>
      </c>
      <c r="AQ37" s="334">
        <f t="shared" si="102"/>
        <v>846</v>
      </c>
      <c r="AR37" s="334">
        <f t="shared" si="102"/>
        <v>423</v>
      </c>
      <c r="AS37" s="334">
        <f t="shared" si="102"/>
        <v>1035</v>
      </c>
      <c r="AT37" s="334">
        <f t="shared" si="102"/>
        <v>423</v>
      </c>
      <c r="AU37" s="334">
        <f t="shared" si="102"/>
        <v>423</v>
      </c>
      <c r="AV37" s="334">
        <f t="shared" si="102"/>
        <v>7434</v>
      </c>
      <c r="AW37" s="334">
        <f t="shared" si="102"/>
        <v>423</v>
      </c>
      <c r="AX37" s="334">
        <f t="shared" si="102"/>
        <v>612</v>
      </c>
      <c r="AY37" s="334">
        <f t="shared" si="102"/>
        <v>612</v>
      </c>
      <c r="AZ37" s="334">
        <f t="shared" si="102"/>
        <v>801</v>
      </c>
      <c r="BA37" s="334">
        <f t="shared" si="102"/>
        <v>801</v>
      </c>
      <c r="BB37" s="334">
        <f t="shared" si="102"/>
        <v>234</v>
      </c>
      <c r="BC37" s="334">
        <f t="shared" si="102"/>
        <v>0</v>
      </c>
      <c r="BD37" s="334">
        <f t="shared" si="102"/>
        <v>0</v>
      </c>
      <c r="BE37" s="334">
        <f t="shared" si="102"/>
        <v>0</v>
      </c>
      <c r="BF37" s="334">
        <f t="shared" si="102"/>
        <v>0</v>
      </c>
      <c r="BG37" s="334">
        <f t="shared" si="102"/>
        <v>0</v>
      </c>
      <c r="BH37" s="334">
        <f t="shared" si="102"/>
        <v>0</v>
      </c>
      <c r="BI37" s="334">
        <f t="shared" si="102"/>
        <v>3483</v>
      </c>
      <c r="BJ37" s="336"/>
      <c r="BK37" s="336"/>
      <c r="BL37" s="336"/>
      <c r="BM37" s="336"/>
      <c r="BN37" s="336"/>
      <c r="BO37" s="336"/>
      <c r="BP37" s="301">
        <f t="shared" si="99"/>
        <v>23616</v>
      </c>
      <c r="BQ37" s="299"/>
      <c r="BR37" s="299"/>
      <c r="BS37" s="299"/>
      <c r="BT37" s="299"/>
      <c r="BU37" s="299"/>
      <c r="BV37" s="299"/>
      <c r="BW37" s="299"/>
      <c r="BX37" s="299"/>
      <c r="BY37" s="299"/>
      <c r="BZ37" s="299"/>
      <c r="CA37" s="299"/>
      <c r="CB37" s="299"/>
      <c r="CC37" s="299"/>
      <c r="CD37" s="299"/>
      <c r="CE37" s="299"/>
      <c r="CF37" s="299"/>
      <c r="CG37" s="299"/>
      <c r="CH37" s="299"/>
      <c r="CI37" s="299"/>
      <c r="CJ37" s="299"/>
      <c r="CK37" s="299"/>
      <c r="CL37" s="299"/>
      <c r="CM37" s="299"/>
      <c r="CN37" s="299"/>
      <c r="CO37" s="299"/>
      <c r="CP37" s="299"/>
      <c r="CQ37" s="299"/>
      <c r="CR37" s="299"/>
      <c r="CS37" s="299"/>
      <c r="CT37" s="299"/>
      <c r="CU37" s="299"/>
      <c r="CV37" s="299"/>
      <c r="CW37" s="299"/>
      <c r="CX37" s="299"/>
      <c r="CY37" s="299"/>
      <c r="CZ37" s="299"/>
      <c r="DA37" s="299"/>
      <c r="DB37" s="299"/>
      <c r="DC37" s="299"/>
      <c r="DD37" s="299"/>
      <c r="DE37" s="299"/>
      <c r="DF37" s="299"/>
      <c r="DG37" s="299"/>
      <c r="DH37" s="299"/>
      <c r="DI37" s="299"/>
      <c r="DJ37" s="299"/>
      <c r="DK37" s="299"/>
      <c r="DL37" s="299"/>
      <c r="DM37" s="299"/>
      <c r="DN37" s="299"/>
      <c r="DO37" s="299"/>
      <c r="DP37" s="299"/>
      <c r="DQ37" s="299"/>
      <c r="DR37" s="299"/>
      <c r="DS37" s="299"/>
      <c r="DT37" s="299"/>
      <c r="DU37" s="299"/>
      <c r="DV37" s="299"/>
      <c r="DW37" s="299"/>
      <c r="DX37" s="299"/>
      <c r="DY37" s="299"/>
      <c r="DZ37" s="299"/>
      <c r="EA37" s="299"/>
      <c r="EB37" s="299"/>
      <c r="EC37" s="299"/>
      <c r="ED37" s="299"/>
      <c r="EE37" s="299"/>
      <c r="EF37" s="299"/>
      <c r="EG37" s="299"/>
      <c r="EH37" s="299"/>
      <c r="EI37" s="299"/>
      <c r="EJ37" s="299"/>
      <c r="EK37" s="299"/>
      <c r="EL37" s="299"/>
      <c r="EM37" s="299"/>
      <c r="EN37" s="299"/>
      <c r="EO37" s="299"/>
      <c r="EP37" s="299"/>
      <c r="EQ37" s="299"/>
      <c r="ER37" s="299"/>
      <c r="ES37" s="299"/>
    </row>
    <row r="38" spans="1:149" s="346" customFormat="1" x14ac:dyDescent="0.15">
      <c r="A38" s="384"/>
      <c r="B38" s="381"/>
      <c r="C38" s="391" t="s">
        <v>1418</v>
      </c>
      <c r="D38" s="392"/>
      <c r="E38" s="307" t="e">
        <f>E39/E37*10000</f>
        <v>#DIV/0!</v>
      </c>
      <c r="F38" s="307" t="e">
        <f t="shared" ref="F38:BP38" si="103">F39/F37*10000</f>
        <v>#DIV/0!</v>
      </c>
      <c r="G38" s="307" t="e">
        <f t="shared" si="103"/>
        <v>#DIV/0!</v>
      </c>
      <c r="H38" s="307" t="e">
        <f t="shared" si="103"/>
        <v>#DIV/0!</v>
      </c>
      <c r="I38" s="307" t="e">
        <f t="shared" si="103"/>
        <v>#DIV/0!</v>
      </c>
      <c r="J38" s="307" t="e">
        <f t="shared" si="103"/>
        <v>#DIV/0!</v>
      </c>
      <c r="K38" s="307" t="e">
        <f t="shared" si="103"/>
        <v>#DIV/0!</v>
      </c>
      <c r="L38" s="307" t="e">
        <f t="shared" si="103"/>
        <v>#DIV/0!</v>
      </c>
      <c r="M38" s="307" t="e">
        <f t="shared" si="103"/>
        <v>#DIV/0!</v>
      </c>
      <c r="N38" s="307" t="e">
        <f t="shared" si="103"/>
        <v>#DIV/0!</v>
      </c>
      <c r="O38" s="307" t="e">
        <f t="shared" si="103"/>
        <v>#DIV/0!</v>
      </c>
      <c r="P38" s="307">
        <f t="shared" si="103"/>
        <v>12370.350125944587</v>
      </c>
      <c r="Q38" s="307">
        <f t="shared" si="103"/>
        <v>12796.999999999998</v>
      </c>
      <c r="R38" s="307">
        <f t="shared" si="103"/>
        <v>13110.424657534246</v>
      </c>
      <c r="S38" s="307">
        <f t="shared" si="103"/>
        <v>12797</v>
      </c>
      <c r="T38" s="307" t="e">
        <f t="shared" si="103"/>
        <v>#DIV/0!</v>
      </c>
      <c r="U38" s="307">
        <f t="shared" si="103"/>
        <v>13040.404255319148</v>
      </c>
      <c r="V38" s="307">
        <f t="shared" si="103"/>
        <v>12630.560830860533</v>
      </c>
      <c r="W38" s="307">
        <f t="shared" si="103"/>
        <v>13751.04255319149</v>
      </c>
      <c r="X38" s="307">
        <f t="shared" si="103"/>
        <v>13397.000000000002</v>
      </c>
      <c r="Y38" s="307">
        <f t="shared" si="103"/>
        <v>13641.705882352941</v>
      </c>
      <c r="Z38" s="307">
        <f t="shared" si="103"/>
        <v>13641.705882352941</v>
      </c>
      <c r="AA38" s="307">
        <f t="shared" si="103"/>
        <v>14051.042553191486</v>
      </c>
      <c r="AB38" s="307">
        <f t="shared" si="103"/>
        <v>13941.705882352939</v>
      </c>
      <c r="AC38" s="307">
        <f t="shared" si="103"/>
        <v>14051.042553191486</v>
      </c>
      <c r="AD38" s="307">
        <f t="shared" si="103"/>
        <v>14051.042553191486</v>
      </c>
      <c r="AE38" s="307">
        <f t="shared" si="103"/>
        <v>14351.042553191488</v>
      </c>
      <c r="AF38" s="307">
        <f t="shared" si="103"/>
        <v>14241.705882352942</v>
      </c>
      <c r="AG38" s="307">
        <f t="shared" si="103"/>
        <v>14241.705882352942</v>
      </c>
      <c r="AH38" s="307">
        <f t="shared" si="103"/>
        <v>14351.042553191488</v>
      </c>
      <c r="AI38" s="307">
        <f t="shared" si="103"/>
        <v>14001.097693351423</v>
      </c>
      <c r="AJ38" s="307">
        <f t="shared" si="103"/>
        <v>14241.705882352942</v>
      </c>
      <c r="AK38" s="307">
        <f t="shared" si="103"/>
        <v>14351.042553191488</v>
      </c>
      <c r="AL38" s="307">
        <f t="shared" si="103"/>
        <v>14241.705882352942</v>
      </c>
      <c r="AM38" s="307">
        <f t="shared" si="103"/>
        <v>14651.04255319149</v>
      </c>
      <c r="AN38" s="307">
        <f t="shared" si="103"/>
        <v>14483.966292134832</v>
      </c>
      <c r="AO38" s="307">
        <f t="shared" si="103"/>
        <v>14541.705882352942</v>
      </c>
      <c r="AP38" s="307">
        <f t="shared" si="103"/>
        <v>14483.966292134832</v>
      </c>
      <c r="AQ38" s="307">
        <f t="shared" si="103"/>
        <v>14651.04255319149</v>
      </c>
      <c r="AR38" s="307">
        <f t="shared" si="103"/>
        <v>14817</v>
      </c>
      <c r="AS38" s="307">
        <f t="shared" si="103"/>
        <v>14722.043478260868</v>
      </c>
      <c r="AT38" s="307">
        <f t="shared" si="103"/>
        <v>14817</v>
      </c>
      <c r="AU38" s="307">
        <f t="shared" si="103"/>
        <v>14817</v>
      </c>
      <c r="AV38" s="307">
        <f t="shared" si="103"/>
        <v>14559.784503631961</v>
      </c>
      <c r="AW38" s="307">
        <f t="shared" si="103"/>
        <v>14951.042553191492</v>
      </c>
      <c r="AX38" s="307">
        <f t="shared" si="103"/>
        <v>14841.705882352942</v>
      </c>
      <c r="AY38" s="307">
        <f t="shared" si="103"/>
        <v>14841.705882352942</v>
      </c>
      <c r="AZ38" s="307">
        <f t="shared" si="103"/>
        <v>14783.966292134832</v>
      </c>
      <c r="BA38" s="307">
        <f t="shared" si="103"/>
        <v>14783.966292134832</v>
      </c>
      <c r="BB38" s="307">
        <f t="shared" si="103"/>
        <v>15236.999999999998</v>
      </c>
      <c r="BC38" s="307" t="e">
        <f t="shared" si="103"/>
        <v>#DIV/0!</v>
      </c>
      <c r="BD38" s="307" t="e">
        <f t="shared" si="103"/>
        <v>#DIV/0!</v>
      </c>
      <c r="BE38" s="307" t="e">
        <f t="shared" si="103"/>
        <v>#DIV/0!</v>
      </c>
      <c r="BF38" s="307" t="e">
        <f t="shared" si="103"/>
        <v>#DIV/0!</v>
      </c>
      <c r="BG38" s="307" t="e">
        <f t="shared" si="103"/>
        <v>#DIV/0!</v>
      </c>
      <c r="BH38" s="307" t="e">
        <f t="shared" si="103"/>
        <v>#DIV/0!</v>
      </c>
      <c r="BI38" s="307">
        <f t="shared" si="103"/>
        <v>14854.984496124029</v>
      </c>
      <c r="BJ38" s="344"/>
      <c r="BK38" s="344"/>
      <c r="BL38" s="344"/>
      <c r="BM38" s="344"/>
      <c r="BN38" s="344"/>
      <c r="BO38" s="344"/>
      <c r="BP38" s="345">
        <f t="shared" si="103"/>
        <v>13950.864329268294</v>
      </c>
    </row>
    <row r="39" spans="1:149" x14ac:dyDescent="0.15">
      <c r="A39" s="386"/>
      <c r="B39" s="381"/>
      <c r="C39" s="381" t="s">
        <v>1419</v>
      </c>
      <c r="D39" s="381"/>
      <c r="E39" s="308">
        <f>E31+E35</f>
        <v>0</v>
      </c>
      <c r="F39" s="308">
        <f t="shared" ref="F39:BI39" si="104">F31+F35</f>
        <v>0</v>
      </c>
      <c r="G39" s="308">
        <f t="shared" si="104"/>
        <v>0</v>
      </c>
      <c r="H39" s="308">
        <f t="shared" si="104"/>
        <v>0</v>
      </c>
      <c r="I39" s="308">
        <f t="shared" si="104"/>
        <v>0</v>
      </c>
      <c r="J39" s="308">
        <f t="shared" si="104"/>
        <v>0</v>
      </c>
      <c r="K39" s="308">
        <f t="shared" si="104"/>
        <v>0</v>
      </c>
      <c r="L39" s="308">
        <f t="shared" si="104"/>
        <v>0</v>
      </c>
      <c r="M39" s="308">
        <f t="shared" si="104"/>
        <v>0</v>
      </c>
      <c r="N39" s="308">
        <f t="shared" si="104"/>
        <v>0</v>
      </c>
      <c r="O39" s="308">
        <f t="shared" si="104"/>
        <v>0</v>
      </c>
      <c r="P39" s="308">
        <f t="shared" si="104"/>
        <v>4419.9261000000006</v>
      </c>
      <c r="Q39" s="308">
        <f t="shared" si="104"/>
        <v>725.58989999999994</v>
      </c>
      <c r="R39" s="308">
        <f t="shared" si="104"/>
        <v>1722.7097999999999</v>
      </c>
      <c r="S39" s="308">
        <f t="shared" si="104"/>
        <v>241.86330000000001</v>
      </c>
      <c r="T39" s="308">
        <f t="shared" si="104"/>
        <v>0</v>
      </c>
      <c r="U39" s="308">
        <f t="shared" si="104"/>
        <v>551.60910000000001</v>
      </c>
      <c r="V39" s="308">
        <f t="shared" si="104"/>
        <v>7661.6981999999998</v>
      </c>
      <c r="W39" s="308">
        <f t="shared" si="104"/>
        <v>581.66910000000007</v>
      </c>
      <c r="X39" s="308">
        <f t="shared" si="104"/>
        <v>253.20330000000001</v>
      </c>
      <c r="Y39" s="308">
        <f t="shared" si="104"/>
        <v>834.87239999999997</v>
      </c>
      <c r="Z39" s="308">
        <f t="shared" si="104"/>
        <v>834.87239999999997</v>
      </c>
      <c r="AA39" s="308">
        <f t="shared" si="104"/>
        <v>594.3590999999999</v>
      </c>
      <c r="AB39" s="308">
        <f t="shared" si="104"/>
        <v>853.23239999999987</v>
      </c>
      <c r="AC39" s="308">
        <f t="shared" si="104"/>
        <v>1188.7181999999998</v>
      </c>
      <c r="AD39" s="308">
        <f t="shared" si="104"/>
        <v>1188.7181999999998</v>
      </c>
      <c r="AE39" s="308">
        <f t="shared" si="104"/>
        <v>607.04909999999995</v>
      </c>
      <c r="AF39" s="308">
        <f t="shared" si="104"/>
        <v>871.5924</v>
      </c>
      <c r="AG39" s="308">
        <f t="shared" si="104"/>
        <v>871.5924</v>
      </c>
      <c r="AH39" s="308">
        <f t="shared" si="104"/>
        <v>607.04909999999995</v>
      </c>
      <c r="AI39" s="308">
        <f t="shared" si="104"/>
        <v>9286.9280999999992</v>
      </c>
      <c r="AJ39" s="308">
        <f t="shared" si="104"/>
        <v>871.5924</v>
      </c>
      <c r="AK39" s="308">
        <f t="shared" si="104"/>
        <v>607.04909999999995</v>
      </c>
      <c r="AL39" s="308">
        <f t="shared" si="104"/>
        <v>871.5924</v>
      </c>
      <c r="AM39" s="308">
        <f t="shared" si="104"/>
        <v>619.73910000000001</v>
      </c>
      <c r="AN39" s="308">
        <f t="shared" si="104"/>
        <v>1160.1657</v>
      </c>
      <c r="AO39" s="308">
        <f t="shared" si="104"/>
        <v>889.95240000000001</v>
      </c>
      <c r="AP39" s="308">
        <f t="shared" si="104"/>
        <v>1160.1657</v>
      </c>
      <c r="AQ39" s="308">
        <f t="shared" si="104"/>
        <v>1239.4782</v>
      </c>
      <c r="AR39" s="308">
        <f t="shared" si="104"/>
        <v>626.75909999999999</v>
      </c>
      <c r="AS39" s="308">
        <f t="shared" si="104"/>
        <v>1523.7314999999999</v>
      </c>
      <c r="AT39" s="308">
        <f t="shared" si="104"/>
        <v>626.75909999999999</v>
      </c>
      <c r="AU39" s="308">
        <f t="shared" si="104"/>
        <v>626.75909999999999</v>
      </c>
      <c r="AV39" s="308">
        <f t="shared" si="104"/>
        <v>10823.7438</v>
      </c>
      <c r="AW39" s="308">
        <f t="shared" si="104"/>
        <v>632.42910000000006</v>
      </c>
      <c r="AX39" s="308">
        <f t="shared" si="104"/>
        <v>908.31240000000003</v>
      </c>
      <c r="AY39" s="308">
        <f t="shared" si="104"/>
        <v>908.31240000000003</v>
      </c>
      <c r="AZ39" s="308">
        <f t="shared" si="104"/>
        <v>1184.1957</v>
      </c>
      <c r="BA39" s="308">
        <f t="shared" si="104"/>
        <v>1184.1957</v>
      </c>
      <c r="BB39" s="308">
        <f t="shared" si="104"/>
        <v>356.54579999999999</v>
      </c>
      <c r="BC39" s="308">
        <f t="shared" si="104"/>
        <v>0</v>
      </c>
      <c r="BD39" s="308">
        <f t="shared" si="104"/>
        <v>0</v>
      </c>
      <c r="BE39" s="308">
        <f t="shared" si="104"/>
        <v>0</v>
      </c>
      <c r="BF39" s="308">
        <f t="shared" si="104"/>
        <v>0</v>
      </c>
      <c r="BG39" s="308">
        <f t="shared" si="104"/>
        <v>0</v>
      </c>
      <c r="BH39" s="308">
        <f t="shared" si="104"/>
        <v>0</v>
      </c>
      <c r="BI39" s="308">
        <f t="shared" si="104"/>
        <v>5173.9910999999993</v>
      </c>
      <c r="BJ39" s="311"/>
      <c r="BK39" s="311"/>
      <c r="BL39" s="311"/>
      <c r="BM39" s="311"/>
      <c r="BN39" s="311"/>
      <c r="BO39" s="311"/>
      <c r="BP39" s="301">
        <f t="shared" ref="BP39:BP41" si="105">I39+V39+AI39+AV39+BI39</f>
        <v>32946.361199999999</v>
      </c>
      <c r="BQ39" s="299"/>
      <c r="BR39" s="299"/>
      <c r="BS39" s="299"/>
      <c r="BT39" s="299"/>
      <c r="BU39" s="299"/>
      <c r="BV39" s="299"/>
      <c r="BW39" s="299"/>
      <c r="BX39" s="299"/>
      <c r="BY39" s="299"/>
      <c r="BZ39" s="299"/>
      <c r="CA39" s="299"/>
      <c r="CB39" s="299"/>
      <c r="CC39" s="299"/>
      <c r="CD39" s="299"/>
      <c r="CE39" s="299"/>
      <c r="CF39" s="299"/>
      <c r="CG39" s="299"/>
      <c r="CH39" s="299"/>
      <c r="CI39" s="299"/>
      <c r="CJ39" s="299"/>
      <c r="CK39" s="299"/>
      <c r="CL39" s="299"/>
      <c r="CM39" s="299"/>
      <c r="CN39" s="299"/>
      <c r="CO39" s="299"/>
      <c r="CP39" s="299"/>
      <c r="CQ39" s="299"/>
      <c r="CR39" s="299"/>
      <c r="CS39" s="299"/>
      <c r="CT39" s="299"/>
      <c r="CU39" s="299"/>
      <c r="CV39" s="299"/>
      <c r="CW39" s="299"/>
      <c r="CX39" s="299"/>
      <c r="CY39" s="299"/>
      <c r="CZ39" s="299"/>
      <c r="DA39" s="299"/>
      <c r="DB39" s="299"/>
      <c r="DC39" s="299"/>
      <c r="DD39" s="299"/>
      <c r="DE39" s="299"/>
      <c r="DF39" s="299"/>
      <c r="DG39" s="299"/>
      <c r="DH39" s="299"/>
      <c r="DI39" s="299"/>
      <c r="DJ39" s="299"/>
      <c r="DK39" s="299"/>
      <c r="DL39" s="299"/>
      <c r="DM39" s="299"/>
      <c r="DN39" s="299"/>
      <c r="DO39" s="299"/>
      <c r="DP39" s="299"/>
      <c r="DQ39" s="299"/>
      <c r="DR39" s="299"/>
      <c r="DS39" s="299"/>
      <c r="DT39" s="299"/>
      <c r="DU39" s="299"/>
      <c r="DV39" s="299"/>
      <c r="DW39" s="299"/>
      <c r="DX39" s="299"/>
      <c r="DY39" s="299"/>
      <c r="DZ39" s="299"/>
      <c r="EA39" s="299"/>
      <c r="EB39" s="299"/>
      <c r="EC39" s="299"/>
      <c r="ED39" s="299"/>
      <c r="EE39" s="299"/>
      <c r="EF39" s="299"/>
      <c r="EG39" s="299"/>
      <c r="EH39" s="299"/>
      <c r="EI39" s="299"/>
      <c r="EJ39" s="299"/>
      <c r="EK39" s="299"/>
      <c r="EL39" s="299"/>
      <c r="EM39" s="299"/>
      <c r="EN39" s="299"/>
      <c r="EO39" s="299"/>
      <c r="EP39" s="299"/>
      <c r="EQ39" s="299"/>
      <c r="ER39" s="299"/>
      <c r="ES39" s="299"/>
    </row>
    <row r="40" spans="1:149" s="281" customFormat="1" ht="12.75" x14ac:dyDescent="0.15">
      <c r="A40" s="382" t="s">
        <v>1428</v>
      </c>
      <c r="B40" s="383"/>
      <c r="C40" s="347" t="s">
        <v>1416</v>
      </c>
      <c r="D40" s="348">
        <v>2</v>
      </c>
      <c r="E40" s="349"/>
      <c r="F40" s="349"/>
      <c r="G40" s="324"/>
      <c r="H40" s="324"/>
      <c r="I40" s="330">
        <f t="shared" ref="I40:I43" si="106">SUM(E40:H40)</f>
        <v>0</v>
      </c>
      <c r="J40" s="324"/>
      <c r="K40" s="324"/>
      <c r="L40" s="325"/>
      <c r="M40" s="349"/>
      <c r="N40" s="324"/>
      <c r="O40" s="324"/>
      <c r="P40" s="349"/>
      <c r="Q40" s="324"/>
      <c r="R40" s="349"/>
      <c r="S40" s="325"/>
      <c r="T40" s="324"/>
      <c r="U40" s="349"/>
      <c r="V40" s="326">
        <f t="shared" ref="V40:V45" si="107">SUM(J40:U40)</f>
        <v>0</v>
      </c>
      <c r="W40" s="324"/>
      <c r="X40" s="324"/>
      <c r="Y40" s="349"/>
      <c r="Z40" s="349"/>
      <c r="AA40" s="349"/>
      <c r="AB40" s="349"/>
      <c r="AC40" s="349"/>
      <c r="AD40" s="349"/>
      <c r="AE40" s="323">
        <v>0</v>
      </c>
      <c r="AF40" s="323">
        <v>0</v>
      </c>
      <c r="AG40" s="324"/>
      <c r="AH40" s="324"/>
      <c r="AI40" s="326">
        <f t="shared" ref="AI40:AI45" si="108">SUM(W40:AH40)</f>
        <v>0</v>
      </c>
      <c r="AJ40" s="324"/>
      <c r="AK40" s="324"/>
      <c r="AL40" s="325"/>
      <c r="AM40" s="325"/>
      <c r="AN40" s="324">
        <v>1</v>
      </c>
      <c r="AO40" s="324"/>
      <c r="AP40" s="324"/>
      <c r="AQ40" s="324"/>
      <c r="AR40" s="323">
        <v>1</v>
      </c>
      <c r="AS40" s="325">
        <v>0</v>
      </c>
      <c r="AT40" s="324"/>
      <c r="AU40" s="324"/>
      <c r="AV40" s="326">
        <f t="shared" ref="AV40:AV45" si="109">SUM(AJ40:AU40)</f>
        <v>2</v>
      </c>
      <c r="AW40" s="324"/>
      <c r="AX40" s="324"/>
      <c r="AY40" s="325"/>
      <c r="AZ40" s="325"/>
      <c r="BA40" s="325"/>
      <c r="BB40" s="325"/>
      <c r="BC40" s="325"/>
      <c r="BD40" s="325"/>
      <c r="BE40" s="325"/>
      <c r="BF40" s="325"/>
      <c r="BG40" s="325"/>
      <c r="BH40" s="325"/>
      <c r="BI40" s="327">
        <f t="shared" ref="BI40:BI43" si="110">SUM(AW40:BH40)</f>
        <v>0</v>
      </c>
      <c r="BJ40" s="328"/>
      <c r="BK40" s="328"/>
      <c r="BL40" s="328"/>
      <c r="BM40" s="328"/>
      <c r="BN40" s="328"/>
      <c r="BO40" s="328"/>
      <c r="BP40" s="280">
        <f t="shared" si="105"/>
        <v>2</v>
      </c>
      <c r="BQ40" s="318">
        <f>BP40-D40</f>
        <v>0</v>
      </c>
    </row>
    <row r="41" spans="1:149" s="281" customFormat="1" ht="12.75" x14ac:dyDescent="0.15">
      <c r="A41" s="384"/>
      <c r="B41" s="385"/>
      <c r="C41" s="293" t="s">
        <v>1417</v>
      </c>
      <c r="D41" s="294">
        <v>621.55999999999995</v>
      </c>
      <c r="E41" s="329">
        <f>E40*D41</f>
        <v>0</v>
      </c>
      <c r="F41" s="329">
        <f>F40*D41</f>
        <v>0</v>
      </c>
      <c r="G41" s="329">
        <f>G40*D41</f>
        <v>0</v>
      </c>
      <c r="H41" s="329">
        <f>H40*D41</f>
        <v>0</v>
      </c>
      <c r="I41" s="350">
        <f t="shared" si="106"/>
        <v>0</v>
      </c>
      <c r="J41" s="324">
        <f>J40*D41</f>
        <v>0</v>
      </c>
      <c r="K41" s="324">
        <f>K40*D41</f>
        <v>0</v>
      </c>
      <c r="L41" s="324">
        <f>L40*D41</f>
        <v>0</v>
      </c>
      <c r="M41" s="324">
        <f>M40*D41</f>
        <v>0</v>
      </c>
      <c r="N41" s="324">
        <f>N40*D41</f>
        <v>0</v>
      </c>
      <c r="O41" s="324">
        <f>O40*D41</f>
        <v>0</v>
      </c>
      <c r="P41" s="324">
        <f>P40*D41</f>
        <v>0</v>
      </c>
      <c r="Q41" s="324">
        <f>Q40*D41</f>
        <v>0</v>
      </c>
      <c r="R41" s="324">
        <f>R40*D41</f>
        <v>0</v>
      </c>
      <c r="S41" s="324">
        <f>S40*D41</f>
        <v>0</v>
      </c>
      <c r="T41" s="324">
        <f>T40*D41</f>
        <v>0</v>
      </c>
      <c r="U41" s="324">
        <f>U40*D41</f>
        <v>0</v>
      </c>
      <c r="V41" s="326">
        <f t="shared" si="107"/>
        <v>0</v>
      </c>
      <c r="W41" s="324">
        <f>W40*D41</f>
        <v>0</v>
      </c>
      <c r="X41" s="324">
        <f>X40*D41</f>
        <v>0</v>
      </c>
      <c r="Y41" s="324">
        <f>Y40*D41</f>
        <v>0</v>
      </c>
      <c r="Z41" s="324">
        <f>Z40*D41</f>
        <v>0</v>
      </c>
      <c r="AA41" s="324">
        <f>AA40*D41</f>
        <v>0</v>
      </c>
      <c r="AB41" s="324">
        <f>AB40*D41</f>
        <v>0</v>
      </c>
      <c r="AC41" s="324">
        <f>AC40*D41</f>
        <v>0</v>
      </c>
      <c r="AD41" s="324">
        <f>AD40*D41</f>
        <v>0</v>
      </c>
      <c r="AE41" s="324">
        <f>AE40*D41</f>
        <v>0</v>
      </c>
      <c r="AF41" s="324">
        <f>AF40*D41</f>
        <v>0</v>
      </c>
      <c r="AG41" s="324">
        <f>AG40*D41</f>
        <v>0</v>
      </c>
      <c r="AH41" s="324">
        <f>AH40*D41</f>
        <v>0</v>
      </c>
      <c r="AI41" s="326">
        <f t="shared" si="108"/>
        <v>0</v>
      </c>
      <c r="AJ41" s="324">
        <f>AJ40*D41</f>
        <v>0</v>
      </c>
      <c r="AK41" s="324">
        <f>AK40*D41</f>
        <v>0</v>
      </c>
      <c r="AL41" s="324">
        <f>AL40*D41</f>
        <v>0</v>
      </c>
      <c r="AM41" s="324">
        <f>AM40*D41</f>
        <v>0</v>
      </c>
      <c r="AN41" s="324">
        <f>AN40*D41</f>
        <v>621.55999999999995</v>
      </c>
      <c r="AO41" s="324">
        <f>AO40*D41</f>
        <v>0</v>
      </c>
      <c r="AP41" s="324">
        <f>AP40*D41</f>
        <v>0</v>
      </c>
      <c r="AQ41" s="324">
        <f>AQ40*D41</f>
        <v>0</v>
      </c>
      <c r="AR41" s="324">
        <f>AR40*D41</f>
        <v>621.55999999999995</v>
      </c>
      <c r="AS41" s="324">
        <f>AS40*D41</f>
        <v>0</v>
      </c>
      <c r="AT41" s="324">
        <f>AT40*D41</f>
        <v>0</v>
      </c>
      <c r="AU41" s="324">
        <f>AU40*D41</f>
        <v>0</v>
      </c>
      <c r="AV41" s="326">
        <f t="shared" si="109"/>
        <v>1243.1199999999999</v>
      </c>
      <c r="AW41" s="324">
        <f>AW40*D41</f>
        <v>0</v>
      </c>
      <c r="AX41" s="324">
        <f>AX40*D41</f>
        <v>0</v>
      </c>
      <c r="AY41" s="324">
        <f>AY40*D41</f>
        <v>0</v>
      </c>
      <c r="AZ41" s="324">
        <f>AZ40*D41</f>
        <v>0</v>
      </c>
      <c r="BA41" s="324">
        <f>BA40*D41</f>
        <v>0</v>
      </c>
      <c r="BB41" s="324">
        <f>BB40*D41</f>
        <v>0</v>
      </c>
      <c r="BC41" s="324">
        <f>BC40*D41</f>
        <v>0</v>
      </c>
      <c r="BD41" s="324">
        <f>BD40*D41</f>
        <v>0</v>
      </c>
      <c r="BE41" s="324">
        <f>BE40*D41</f>
        <v>0</v>
      </c>
      <c r="BF41" s="324">
        <f>BF40*D41</f>
        <v>0</v>
      </c>
      <c r="BG41" s="324">
        <f>BG40*D41</f>
        <v>0</v>
      </c>
      <c r="BH41" s="324">
        <f>BH40*D41</f>
        <v>0</v>
      </c>
      <c r="BI41" s="327">
        <f t="shared" si="110"/>
        <v>0</v>
      </c>
      <c r="BJ41" s="328"/>
      <c r="BK41" s="328"/>
      <c r="BL41" s="328"/>
      <c r="BM41" s="328"/>
      <c r="BN41" s="328"/>
      <c r="BO41" s="328"/>
      <c r="BP41" s="301">
        <f t="shared" si="105"/>
        <v>1243.1199999999999</v>
      </c>
    </row>
    <row r="42" spans="1:149" s="281" customFormat="1" ht="12.75" x14ac:dyDescent="0.15">
      <c r="A42" s="384"/>
      <c r="B42" s="385"/>
      <c r="C42" s="372" t="s">
        <v>1418</v>
      </c>
      <c r="D42" s="373"/>
      <c r="E42" s="341">
        <v>0</v>
      </c>
      <c r="F42" s="349"/>
      <c r="G42" s="324"/>
      <c r="H42" s="324"/>
      <c r="I42" s="330" t="e">
        <f>I43/I41</f>
        <v>#DIV/0!</v>
      </c>
      <c r="J42" s="324"/>
      <c r="K42" s="324"/>
      <c r="L42" s="325"/>
      <c r="M42" s="349"/>
      <c r="N42" s="324"/>
      <c r="O42" s="324"/>
      <c r="P42" s="349"/>
      <c r="Q42" s="324"/>
      <c r="R42" s="349"/>
      <c r="S42" s="325"/>
      <c r="T42" s="324"/>
      <c r="U42" s="349"/>
      <c r="V42" s="326" t="e">
        <f>V43/V41*10000</f>
        <v>#DIV/0!</v>
      </c>
      <c r="W42" s="324"/>
      <c r="X42" s="324"/>
      <c r="Y42" s="349"/>
      <c r="Z42" s="349"/>
      <c r="AA42" s="349"/>
      <c r="AB42" s="349"/>
      <c r="AC42" s="349"/>
      <c r="AD42" s="349"/>
      <c r="AE42" s="323"/>
      <c r="AF42" s="323">
        <v>0</v>
      </c>
      <c r="AG42" s="324"/>
      <c r="AH42" s="324"/>
      <c r="AI42" s="326" t="e">
        <f>AI43/AI41*10000</f>
        <v>#DIV/0!</v>
      </c>
      <c r="AJ42" s="324"/>
      <c r="AK42" s="324"/>
      <c r="AL42" s="325"/>
      <c r="AM42" s="325"/>
      <c r="AN42" s="324">
        <v>18000</v>
      </c>
      <c r="AO42" s="324"/>
      <c r="AP42" s="324"/>
      <c r="AQ42" s="324"/>
      <c r="AR42" s="323">
        <f>AN42+1000</f>
        <v>19000</v>
      </c>
      <c r="AS42" s="325">
        <v>0</v>
      </c>
      <c r="AT42" s="324"/>
      <c r="AU42" s="324"/>
      <c r="AV42" s="326">
        <f>AV43/AV41*10000</f>
        <v>18499.999999999996</v>
      </c>
      <c r="AW42" s="324"/>
      <c r="AX42" s="324"/>
      <c r="AY42" s="325"/>
      <c r="AZ42" s="325"/>
      <c r="BA42" s="325"/>
      <c r="BB42" s="325"/>
      <c r="BC42" s="325"/>
      <c r="BD42" s="325"/>
      <c r="BE42" s="325"/>
      <c r="BF42" s="325"/>
      <c r="BG42" s="325"/>
      <c r="BH42" s="325"/>
      <c r="BI42" s="327" t="e">
        <f>BI43/BI41*10000</f>
        <v>#DIV/0!</v>
      </c>
      <c r="BJ42" s="328"/>
      <c r="BK42" s="328"/>
      <c r="BL42" s="328"/>
      <c r="BM42" s="328"/>
      <c r="BN42" s="328"/>
      <c r="BO42" s="328"/>
      <c r="BP42" s="351">
        <f>BP43/BP41*10000</f>
        <v>18499.999999999996</v>
      </c>
    </row>
    <row r="43" spans="1:149" s="281" customFormat="1" ht="12.75" x14ac:dyDescent="0.15">
      <c r="A43" s="386"/>
      <c r="B43" s="387"/>
      <c r="C43" s="371" t="s">
        <v>1419</v>
      </c>
      <c r="D43" s="371"/>
      <c r="E43" s="347">
        <f t="shared" ref="E43:H43" si="111">E42*E41/10000</f>
        <v>0</v>
      </c>
      <c r="F43" s="347">
        <f t="shared" si="111"/>
        <v>0</v>
      </c>
      <c r="G43" s="347">
        <f t="shared" si="111"/>
        <v>0</v>
      </c>
      <c r="H43" s="347">
        <f t="shared" si="111"/>
        <v>0</v>
      </c>
      <c r="I43" s="330">
        <f t="shared" si="106"/>
        <v>0</v>
      </c>
      <c r="J43" s="324">
        <f>J42*J41/10000</f>
        <v>0</v>
      </c>
      <c r="K43" s="324">
        <f t="shared" ref="K43:U43" si="112">K42*K41/10000</f>
        <v>0</v>
      </c>
      <c r="L43" s="324">
        <f t="shared" si="112"/>
        <v>0</v>
      </c>
      <c r="M43" s="324">
        <f t="shared" si="112"/>
        <v>0</v>
      </c>
      <c r="N43" s="324">
        <f t="shared" si="112"/>
        <v>0</v>
      </c>
      <c r="O43" s="324">
        <f t="shared" si="112"/>
        <v>0</v>
      </c>
      <c r="P43" s="324">
        <f t="shared" si="112"/>
        <v>0</v>
      </c>
      <c r="Q43" s="324">
        <f t="shared" si="112"/>
        <v>0</v>
      </c>
      <c r="R43" s="324">
        <f t="shared" si="112"/>
        <v>0</v>
      </c>
      <c r="S43" s="324">
        <f t="shared" si="112"/>
        <v>0</v>
      </c>
      <c r="T43" s="324">
        <f t="shared" si="112"/>
        <v>0</v>
      </c>
      <c r="U43" s="324">
        <f t="shared" si="112"/>
        <v>0</v>
      </c>
      <c r="V43" s="326">
        <f t="shared" si="107"/>
        <v>0</v>
      </c>
      <c r="W43" s="324">
        <f>W42*W41/10000</f>
        <v>0</v>
      </c>
      <c r="X43" s="324">
        <f t="shared" ref="X43:AH43" si="113">X42*X41/10000</f>
        <v>0</v>
      </c>
      <c r="Y43" s="324">
        <f t="shared" si="113"/>
        <v>0</v>
      </c>
      <c r="Z43" s="324">
        <f t="shared" si="113"/>
        <v>0</v>
      </c>
      <c r="AA43" s="324">
        <f t="shared" si="113"/>
        <v>0</v>
      </c>
      <c r="AB43" s="324">
        <f t="shared" si="113"/>
        <v>0</v>
      </c>
      <c r="AC43" s="324">
        <f t="shared" si="113"/>
        <v>0</v>
      </c>
      <c r="AD43" s="324">
        <f t="shared" si="113"/>
        <v>0</v>
      </c>
      <c r="AE43" s="324">
        <f t="shared" si="113"/>
        <v>0</v>
      </c>
      <c r="AF43" s="324">
        <f t="shared" si="113"/>
        <v>0</v>
      </c>
      <c r="AG43" s="324">
        <f t="shared" si="113"/>
        <v>0</v>
      </c>
      <c r="AH43" s="324">
        <f t="shared" si="113"/>
        <v>0</v>
      </c>
      <c r="AI43" s="326">
        <f t="shared" si="108"/>
        <v>0</v>
      </c>
      <c r="AJ43" s="324">
        <f>AJ42*AJ41/10000</f>
        <v>0</v>
      </c>
      <c r="AK43" s="324">
        <f t="shared" ref="AK43:AU43" si="114">AK42*AK41/10000</f>
        <v>0</v>
      </c>
      <c r="AL43" s="324">
        <f t="shared" si="114"/>
        <v>0</v>
      </c>
      <c r="AM43" s="324">
        <f t="shared" si="114"/>
        <v>0</v>
      </c>
      <c r="AN43" s="324">
        <f t="shared" si="114"/>
        <v>1118.8079999999998</v>
      </c>
      <c r="AO43" s="324">
        <f t="shared" si="114"/>
        <v>0</v>
      </c>
      <c r="AP43" s="324">
        <f t="shared" si="114"/>
        <v>0</v>
      </c>
      <c r="AQ43" s="324">
        <f t="shared" si="114"/>
        <v>0</v>
      </c>
      <c r="AR43" s="324">
        <f t="shared" si="114"/>
        <v>1180.9639999999997</v>
      </c>
      <c r="AS43" s="324">
        <f t="shared" si="114"/>
        <v>0</v>
      </c>
      <c r="AT43" s="324">
        <f t="shared" si="114"/>
        <v>0</v>
      </c>
      <c r="AU43" s="324">
        <f t="shared" si="114"/>
        <v>0</v>
      </c>
      <c r="AV43" s="326">
        <f t="shared" si="109"/>
        <v>2299.7719999999995</v>
      </c>
      <c r="AW43" s="324">
        <f>AW42*AW41/10000</f>
        <v>0</v>
      </c>
      <c r="AX43" s="324">
        <f t="shared" ref="AX43:BH43" si="115">AX42*AX41/10000</f>
        <v>0</v>
      </c>
      <c r="AY43" s="324">
        <f t="shared" si="115"/>
        <v>0</v>
      </c>
      <c r="AZ43" s="324">
        <f t="shared" si="115"/>
        <v>0</v>
      </c>
      <c r="BA43" s="324">
        <f t="shared" si="115"/>
        <v>0</v>
      </c>
      <c r="BB43" s="324">
        <f t="shared" si="115"/>
        <v>0</v>
      </c>
      <c r="BC43" s="324">
        <f t="shared" si="115"/>
        <v>0</v>
      </c>
      <c r="BD43" s="324">
        <f t="shared" si="115"/>
        <v>0</v>
      </c>
      <c r="BE43" s="324">
        <f t="shared" si="115"/>
        <v>0</v>
      </c>
      <c r="BF43" s="324">
        <f t="shared" si="115"/>
        <v>0</v>
      </c>
      <c r="BG43" s="324">
        <f t="shared" si="115"/>
        <v>0</v>
      </c>
      <c r="BH43" s="324">
        <f t="shared" si="115"/>
        <v>0</v>
      </c>
      <c r="BI43" s="327">
        <f t="shared" si="110"/>
        <v>0</v>
      </c>
      <c r="BJ43" s="328"/>
      <c r="BK43" s="328"/>
      <c r="BL43" s="328"/>
      <c r="BM43" s="328"/>
      <c r="BN43" s="328"/>
      <c r="BO43" s="328"/>
      <c r="BP43" s="280">
        <f t="shared" ref="BP43:BP49" si="116">I43+V43+AI43+AV43+BI43</f>
        <v>2299.7719999999995</v>
      </c>
    </row>
    <row r="44" spans="1:149" s="281" customFormat="1" ht="12.75" x14ac:dyDescent="0.15">
      <c r="A44" s="382" t="s">
        <v>1429</v>
      </c>
      <c r="B44" s="383"/>
      <c r="C44" s="347" t="s">
        <v>1416</v>
      </c>
      <c r="D44" s="348">
        <v>20</v>
      </c>
      <c r="E44" s="272"/>
      <c r="F44" s="347"/>
      <c r="G44" s="347"/>
      <c r="H44" s="347"/>
      <c r="I44" s="330"/>
      <c r="J44" s="324"/>
      <c r="K44" s="324"/>
      <c r="L44" s="324"/>
      <c r="M44" s="324"/>
      <c r="N44" s="324"/>
      <c r="O44" s="324"/>
      <c r="P44" s="324">
        <v>1</v>
      </c>
      <c r="Q44" s="324">
        <v>0</v>
      </c>
      <c r="R44" s="324">
        <v>0</v>
      </c>
      <c r="S44" s="324">
        <v>0</v>
      </c>
      <c r="T44" s="324"/>
      <c r="U44" s="324"/>
      <c r="V44" s="326">
        <f t="shared" si="107"/>
        <v>1</v>
      </c>
      <c r="W44" s="324">
        <v>1</v>
      </c>
      <c r="X44" s="324"/>
      <c r="Y44" s="324">
        <v>1</v>
      </c>
      <c r="Z44" s="324">
        <v>1</v>
      </c>
      <c r="AA44" s="324">
        <v>0</v>
      </c>
      <c r="AB44" s="324">
        <v>1</v>
      </c>
      <c r="AC44" s="324">
        <v>1</v>
      </c>
      <c r="AD44" s="324">
        <v>1</v>
      </c>
      <c r="AE44" s="324">
        <v>0</v>
      </c>
      <c r="AF44" s="324">
        <v>1</v>
      </c>
      <c r="AG44" s="324">
        <v>1</v>
      </c>
      <c r="AH44" s="324"/>
      <c r="AI44" s="326">
        <f t="shared" si="108"/>
        <v>8</v>
      </c>
      <c r="AJ44" s="324">
        <v>1</v>
      </c>
      <c r="AK44" s="324">
        <v>1</v>
      </c>
      <c r="AL44" s="324">
        <v>1</v>
      </c>
      <c r="AM44" s="324">
        <v>0</v>
      </c>
      <c r="AN44" s="324">
        <v>1</v>
      </c>
      <c r="AO44" s="324">
        <v>1</v>
      </c>
      <c r="AP44" s="324">
        <v>1</v>
      </c>
      <c r="AQ44" s="324"/>
      <c r="AR44" s="324">
        <v>1</v>
      </c>
      <c r="AS44" s="324"/>
      <c r="AT44" s="324">
        <v>1</v>
      </c>
      <c r="AU44" s="324">
        <v>1</v>
      </c>
      <c r="AV44" s="326">
        <f t="shared" si="109"/>
        <v>9</v>
      </c>
      <c r="AW44" s="324"/>
      <c r="AX44" s="324"/>
      <c r="AY44" s="324">
        <v>1</v>
      </c>
      <c r="AZ44" s="324"/>
      <c r="BA44" s="324">
        <v>1</v>
      </c>
      <c r="BB44" s="324"/>
      <c r="BC44" s="324"/>
      <c r="BD44" s="324"/>
      <c r="BE44" s="324"/>
      <c r="BF44" s="324"/>
      <c r="BG44" s="324"/>
      <c r="BH44" s="324"/>
      <c r="BI44" s="327">
        <f>SUM(AY44:BH44)</f>
        <v>2</v>
      </c>
      <c r="BJ44" s="328"/>
      <c r="BK44" s="328"/>
      <c r="BL44" s="328"/>
      <c r="BM44" s="328"/>
      <c r="BN44" s="328"/>
      <c r="BO44" s="328"/>
      <c r="BP44" s="280">
        <f>BI44+AV44+AI44+V44</f>
        <v>20</v>
      </c>
      <c r="BQ44" s="299">
        <f>BP44-D44</f>
        <v>0</v>
      </c>
      <c r="BR44" s="299">
        <f>BQ44-E44</f>
        <v>0</v>
      </c>
    </row>
    <row r="45" spans="1:149" s="281" customFormat="1" ht="12.75" x14ac:dyDescent="0.15">
      <c r="A45" s="384"/>
      <c r="B45" s="385"/>
      <c r="C45" s="293" t="s">
        <v>1417</v>
      </c>
      <c r="D45" s="294">
        <v>270</v>
      </c>
      <c r="E45" s="293">
        <f>E44*D45</f>
        <v>0</v>
      </c>
      <c r="F45" s="293">
        <f>F44*D45</f>
        <v>0</v>
      </c>
      <c r="G45" s="293">
        <f>G44*D45</f>
        <v>0</v>
      </c>
      <c r="H45" s="347">
        <f>H44*D45</f>
        <v>0</v>
      </c>
      <c r="I45" s="330">
        <f t="shared" ref="I45:I49" si="117">SUM(E45:H45)</f>
        <v>0</v>
      </c>
      <c r="J45" s="324">
        <f>J44*D45</f>
        <v>0</v>
      </c>
      <c r="K45" s="324">
        <f>K44*D45</f>
        <v>0</v>
      </c>
      <c r="L45" s="324">
        <f>L44*D45</f>
        <v>0</v>
      </c>
      <c r="M45" s="324">
        <f>M44*D45</f>
        <v>0</v>
      </c>
      <c r="N45" s="324">
        <f>N44*D45</f>
        <v>0</v>
      </c>
      <c r="O45" s="324">
        <f>O44*D45</f>
        <v>0</v>
      </c>
      <c r="P45" s="324">
        <f>P44*D45</f>
        <v>270</v>
      </c>
      <c r="Q45" s="324">
        <f>Q44*D45</f>
        <v>0</v>
      </c>
      <c r="R45" s="324">
        <f>R44*D45</f>
        <v>0</v>
      </c>
      <c r="S45" s="324">
        <f>S44*D45</f>
        <v>0</v>
      </c>
      <c r="T45" s="324">
        <f>T44*D45</f>
        <v>0</v>
      </c>
      <c r="U45" s="324">
        <f>U44*D45</f>
        <v>0</v>
      </c>
      <c r="V45" s="326">
        <f t="shared" si="107"/>
        <v>270</v>
      </c>
      <c r="W45" s="324">
        <f>W44*D45</f>
        <v>270</v>
      </c>
      <c r="X45" s="324">
        <f>X44*D45</f>
        <v>0</v>
      </c>
      <c r="Y45" s="324">
        <f>Y44*D45</f>
        <v>270</v>
      </c>
      <c r="Z45" s="324">
        <f>Z44*D45</f>
        <v>270</v>
      </c>
      <c r="AA45" s="324">
        <f>AA44*D45</f>
        <v>0</v>
      </c>
      <c r="AB45" s="324">
        <f>AB44*D45</f>
        <v>270</v>
      </c>
      <c r="AC45" s="324">
        <f>AC44*D45</f>
        <v>270</v>
      </c>
      <c r="AD45" s="324">
        <f>AD44*D45</f>
        <v>270</v>
      </c>
      <c r="AE45" s="324">
        <f>AE44*D45</f>
        <v>0</v>
      </c>
      <c r="AF45" s="324">
        <f>AF44*D45</f>
        <v>270</v>
      </c>
      <c r="AG45" s="324">
        <f>AG44*D45</f>
        <v>270</v>
      </c>
      <c r="AH45" s="324">
        <f>AH44*D45</f>
        <v>0</v>
      </c>
      <c r="AI45" s="326">
        <f t="shared" si="108"/>
        <v>2160</v>
      </c>
      <c r="AJ45" s="324">
        <f>AJ44*D45</f>
        <v>270</v>
      </c>
      <c r="AK45" s="324">
        <f>AK44*D45</f>
        <v>270</v>
      </c>
      <c r="AL45" s="324">
        <f t="shared" ref="AL45:AU45" si="118">AL44*$D$45</f>
        <v>270</v>
      </c>
      <c r="AM45" s="324">
        <f t="shared" si="118"/>
        <v>0</v>
      </c>
      <c r="AN45" s="324">
        <f t="shared" si="118"/>
        <v>270</v>
      </c>
      <c r="AO45" s="324">
        <f t="shared" si="118"/>
        <v>270</v>
      </c>
      <c r="AP45" s="324">
        <f t="shared" si="118"/>
        <v>270</v>
      </c>
      <c r="AQ45" s="324">
        <f t="shared" si="118"/>
        <v>0</v>
      </c>
      <c r="AR45" s="324">
        <f t="shared" si="118"/>
        <v>270</v>
      </c>
      <c r="AS45" s="324">
        <f t="shared" si="118"/>
        <v>0</v>
      </c>
      <c r="AT45" s="324">
        <f t="shared" si="118"/>
        <v>270</v>
      </c>
      <c r="AU45" s="324">
        <f t="shared" si="118"/>
        <v>270</v>
      </c>
      <c r="AV45" s="326">
        <f t="shared" si="109"/>
        <v>2430</v>
      </c>
      <c r="AW45" s="324">
        <f>AW44*D45</f>
        <v>0</v>
      </c>
      <c r="AX45" s="324">
        <f>AX44*D45</f>
        <v>0</v>
      </c>
      <c r="AY45" s="324">
        <f>AY44*D45</f>
        <v>270</v>
      </c>
      <c r="AZ45" s="324">
        <f>AZ44*D45</f>
        <v>0</v>
      </c>
      <c r="BA45" s="324">
        <f>BA44*D45</f>
        <v>270</v>
      </c>
      <c r="BB45" s="324">
        <f>BB44*D45</f>
        <v>0</v>
      </c>
      <c r="BC45" s="324">
        <f>BC44*D45</f>
        <v>0</v>
      </c>
      <c r="BD45" s="324">
        <f>BD44*D45</f>
        <v>0</v>
      </c>
      <c r="BE45" s="324">
        <f>BE44*D45</f>
        <v>0</v>
      </c>
      <c r="BF45" s="324">
        <f>BF44*D45</f>
        <v>0</v>
      </c>
      <c r="BG45" s="324">
        <f>BG44*D45</f>
        <v>0</v>
      </c>
      <c r="BH45" s="324">
        <f>BH44*D45</f>
        <v>0</v>
      </c>
      <c r="BI45" s="327">
        <f t="shared" ref="BI45:BI49" si="119">SUM(AW45:BH45)</f>
        <v>540</v>
      </c>
      <c r="BJ45" s="327"/>
      <c r="BK45" s="327"/>
      <c r="BL45" s="327"/>
      <c r="BM45" s="327"/>
      <c r="BN45" s="327"/>
      <c r="BO45" s="327"/>
      <c r="BP45" s="352">
        <f t="shared" si="116"/>
        <v>5400</v>
      </c>
    </row>
    <row r="46" spans="1:149" s="281" customFormat="1" ht="12.75" x14ac:dyDescent="0.15">
      <c r="A46" s="384"/>
      <c r="B46" s="385"/>
      <c r="C46" s="372" t="s">
        <v>1418</v>
      </c>
      <c r="D46" s="373"/>
      <c r="E46" s="347"/>
      <c r="F46" s="347"/>
      <c r="G46" s="347"/>
      <c r="H46" s="347"/>
      <c r="I46" s="330"/>
      <c r="J46" s="324"/>
      <c r="K46" s="324"/>
      <c r="L46" s="324"/>
      <c r="M46" s="324"/>
      <c r="N46" s="324"/>
      <c r="O46" s="324"/>
      <c r="P46" s="324">
        <v>14850</v>
      </c>
      <c r="Q46" s="324">
        <f t="shared" ref="Q46:U46" si="120">P46</f>
        <v>14850</v>
      </c>
      <c r="R46" s="324">
        <f>Q46+500</f>
        <v>15350</v>
      </c>
      <c r="S46" s="324">
        <f t="shared" si="120"/>
        <v>15350</v>
      </c>
      <c r="T46" s="324">
        <f t="shared" si="120"/>
        <v>15350</v>
      </c>
      <c r="U46" s="324">
        <f t="shared" si="120"/>
        <v>15350</v>
      </c>
      <c r="V46" s="326"/>
      <c r="W46" s="324">
        <v>15000</v>
      </c>
      <c r="X46" s="324">
        <f>V46</f>
        <v>0</v>
      </c>
      <c r="Y46" s="324">
        <f>W46</f>
        <v>15000</v>
      </c>
      <c r="Z46" s="324">
        <f t="shared" ref="Z46:AC46" si="121">Y46</f>
        <v>15000</v>
      </c>
      <c r="AA46" s="324">
        <f t="shared" si="121"/>
        <v>15000</v>
      </c>
      <c r="AB46" s="324">
        <f t="shared" si="121"/>
        <v>15000</v>
      </c>
      <c r="AC46" s="324">
        <f t="shared" si="121"/>
        <v>15000</v>
      </c>
      <c r="AD46" s="324">
        <f>AC46+500</f>
        <v>15500</v>
      </c>
      <c r="AE46" s="324">
        <f t="shared" ref="AE46:AH46" si="122">AD46</f>
        <v>15500</v>
      </c>
      <c r="AF46" s="324">
        <f t="shared" si="122"/>
        <v>15500</v>
      </c>
      <c r="AG46" s="324">
        <f t="shared" si="122"/>
        <v>15500</v>
      </c>
      <c r="AH46" s="324">
        <f t="shared" si="122"/>
        <v>15500</v>
      </c>
      <c r="AI46" s="326">
        <f>AI47/AI45*10000</f>
        <v>15187.5</v>
      </c>
      <c r="AJ46" s="324">
        <f>AH46</f>
        <v>15500</v>
      </c>
      <c r="AK46" s="324">
        <f>AJ46</f>
        <v>15500</v>
      </c>
      <c r="AL46" s="324">
        <f>AK46</f>
        <v>15500</v>
      </c>
      <c r="AM46" s="324">
        <f>AL46+500</f>
        <v>16000</v>
      </c>
      <c r="AN46" s="324">
        <f t="shared" ref="AN46:AU46" si="123">AM46</f>
        <v>16000</v>
      </c>
      <c r="AO46" s="324">
        <f t="shared" si="123"/>
        <v>16000</v>
      </c>
      <c r="AP46" s="324">
        <f t="shared" si="123"/>
        <v>16000</v>
      </c>
      <c r="AQ46" s="324">
        <f t="shared" si="123"/>
        <v>16000</v>
      </c>
      <c r="AR46" s="324">
        <f t="shared" si="123"/>
        <v>16000</v>
      </c>
      <c r="AS46" s="324">
        <f t="shared" si="123"/>
        <v>16000</v>
      </c>
      <c r="AT46" s="324">
        <f t="shared" si="123"/>
        <v>16000</v>
      </c>
      <c r="AU46" s="324">
        <f t="shared" si="123"/>
        <v>16000</v>
      </c>
      <c r="AV46" s="326"/>
      <c r="AW46" s="324">
        <f>AU46+500</f>
        <v>16500</v>
      </c>
      <c r="AX46" s="324">
        <f t="shared" ref="AX46:BA46" si="124">AV46</f>
        <v>0</v>
      </c>
      <c r="AY46" s="324">
        <f t="shared" si="124"/>
        <v>16500</v>
      </c>
      <c r="AZ46" s="324">
        <f t="shared" si="124"/>
        <v>0</v>
      </c>
      <c r="BA46" s="324">
        <f t="shared" si="124"/>
        <v>16500</v>
      </c>
      <c r="BB46" s="324"/>
      <c r="BC46" s="324"/>
      <c r="BD46" s="324"/>
      <c r="BE46" s="324"/>
      <c r="BF46" s="324"/>
      <c r="BG46" s="324"/>
      <c r="BH46" s="324"/>
      <c r="BI46" s="327"/>
      <c r="BJ46" s="327"/>
      <c r="BK46" s="327"/>
      <c r="BL46" s="327"/>
      <c r="BM46" s="327"/>
      <c r="BN46" s="327"/>
      <c r="BO46" s="327"/>
      <c r="BP46" s="352">
        <f>BP47/BP45*10000</f>
        <v>15592.5</v>
      </c>
    </row>
    <row r="47" spans="1:149" s="281" customFormat="1" ht="12.75" x14ac:dyDescent="0.15">
      <c r="A47" s="386"/>
      <c r="B47" s="387"/>
      <c r="C47" s="371" t="s">
        <v>1419</v>
      </c>
      <c r="D47" s="371"/>
      <c r="E47" s="347">
        <f>E45*E46/10000</f>
        <v>0</v>
      </c>
      <c r="F47" s="347">
        <f t="shared" ref="F47:H47" si="125">F46*F45/10000</f>
        <v>0</v>
      </c>
      <c r="G47" s="347">
        <f t="shared" si="125"/>
        <v>0</v>
      </c>
      <c r="H47" s="347">
        <f t="shared" si="125"/>
        <v>0</v>
      </c>
      <c r="I47" s="330">
        <f t="shared" si="117"/>
        <v>0</v>
      </c>
      <c r="J47" s="324">
        <f>J45*J46/10000</f>
        <v>0</v>
      </c>
      <c r="K47" s="324">
        <f t="shared" ref="K47:U47" si="126">K46*K45/10000</f>
        <v>0</v>
      </c>
      <c r="L47" s="324">
        <f t="shared" si="126"/>
        <v>0</v>
      </c>
      <c r="M47" s="324">
        <f t="shared" si="126"/>
        <v>0</v>
      </c>
      <c r="N47" s="324">
        <f t="shared" si="126"/>
        <v>0</v>
      </c>
      <c r="O47" s="324">
        <f t="shared" si="126"/>
        <v>0</v>
      </c>
      <c r="P47" s="324">
        <f t="shared" si="126"/>
        <v>400.95</v>
      </c>
      <c r="Q47" s="324">
        <f t="shared" si="126"/>
        <v>0</v>
      </c>
      <c r="R47" s="324">
        <f t="shared" si="126"/>
        <v>0</v>
      </c>
      <c r="S47" s="324">
        <f t="shared" si="126"/>
        <v>0</v>
      </c>
      <c r="T47" s="324">
        <f t="shared" si="126"/>
        <v>0</v>
      </c>
      <c r="U47" s="324">
        <f t="shared" si="126"/>
        <v>0</v>
      </c>
      <c r="V47" s="326">
        <f t="shared" ref="V47:V49" si="127">SUM(J47:U47)</f>
        <v>400.95</v>
      </c>
      <c r="W47" s="324">
        <f t="shared" ref="W47:AH47" si="128">W46*W45/10000</f>
        <v>405</v>
      </c>
      <c r="X47" s="324">
        <f t="shared" si="128"/>
        <v>0</v>
      </c>
      <c r="Y47" s="324">
        <f t="shared" si="128"/>
        <v>405</v>
      </c>
      <c r="Z47" s="324">
        <f t="shared" si="128"/>
        <v>405</v>
      </c>
      <c r="AA47" s="324">
        <f t="shared" si="128"/>
        <v>0</v>
      </c>
      <c r="AB47" s="324">
        <f t="shared" si="128"/>
        <v>405</v>
      </c>
      <c r="AC47" s="324">
        <f t="shared" si="128"/>
        <v>405</v>
      </c>
      <c r="AD47" s="324">
        <f t="shared" si="128"/>
        <v>418.5</v>
      </c>
      <c r="AE47" s="324">
        <f t="shared" si="128"/>
        <v>0</v>
      </c>
      <c r="AF47" s="324">
        <f t="shared" si="128"/>
        <v>418.5</v>
      </c>
      <c r="AG47" s="324">
        <f t="shared" si="128"/>
        <v>418.5</v>
      </c>
      <c r="AH47" s="324">
        <f t="shared" si="128"/>
        <v>0</v>
      </c>
      <c r="AI47" s="326">
        <f t="shared" ref="AI47:AI49" si="129">SUM(W47:AH47)</f>
        <v>3280.5</v>
      </c>
      <c r="AJ47" s="324">
        <f t="shared" ref="AJ47:AU47" si="130">AJ46*AJ45/10000</f>
        <v>418.5</v>
      </c>
      <c r="AK47" s="324">
        <f t="shared" si="130"/>
        <v>418.5</v>
      </c>
      <c r="AL47" s="324">
        <f t="shared" si="130"/>
        <v>418.5</v>
      </c>
      <c r="AM47" s="324">
        <f t="shared" si="130"/>
        <v>0</v>
      </c>
      <c r="AN47" s="324">
        <f t="shared" si="130"/>
        <v>432</v>
      </c>
      <c r="AO47" s="324">
        <f t="shared" si="130"/>
        <v>432</v>
      </c>
      <c r="AP47" s="324">
        <f t="shared" si="130"/>
        <v>432</v>
      </c>
      <c r="AQ47" s="324">
        <f t="shared" si="130"/>
        <v>0</v>
      </c>
      <c r="AR47" s="324">
        <f t="shared" si="130"/>
        <v>432</v>
      </c>
      <c r="AS47" s="324">
        <f t="shared" si="130"/>
        <v>0</v>
      </c>
      <c r="AT47" s="324">
        <f t="shared" si="130"/>
        <v>432</v>
      </c>
      <c r="AU47" s="324">
        <f t="shared" si="130"/>
        <v>432</v>
      </c>
      <c r="AV47" s="326">
        <f t="shared" ref="AV47:AV49" si="131">SUM(AJ47:AU47)</f>
        <v>3847.5</v>
      </c>
      <c r="AW47" s="324">
        <f>AW46*AW45/10000</f>
        <v>0</v>
      </c>
      <c r="AX47" s="324">
        <f t="shared" ref="AX47:BH47" si="132">AX46*AX45/10000</f>
        <v>0</v>
      </c>
      <c r="AY47" s="324">
        <f t="shared" si="132"/>
        <v>445.5</v>
      </c>
      <c r="AZ47" s="324">
        <f t="shared" si="132"/>
        <v>0</v>
      </c>
      <c r="BA47" s="324">
        <f t="shared" si="132"/>
        <v>445.5</v>
      </c>
      <c r="BB47" s="324">
        <f t="shared" si="132"/>
        <v>0</v>
      </c>
      <c r="BC47" s="324">
        <f t="shared" si="132"/>
        <v>0</v>
      </c>
      <c r="BD47" s="324">
        <f t="shared" si="132"/>
        <v>0</v>
      </c>
      <c r="BE47" s="324">
        <f t="shared" si="132"/>
        <v>0</v>
      </c>
      <c r="BF47" s="324">
        <f t="shared" si="132"/>
        <v>0</v>
      </c>
      <c r="BG47" s="324">
        <f t="shared" si="132"/>
        <v>0</v>
      </c>
      <c r="BH47" s="324">
        <f t="shared" si="132"/>
        <v>0</v>
      </c>
      <c r="BI47" s="327">
        <f t="shared" si="119"/>
        <v>891</v>
      </c>
      <c r="BJ47" s="327"/>
      <c r="BK47" s="327"/>
      <c r="BL47" s="327"/>
      <c r="BM47" s="327"/>
      <c r="BN47" s="327"/>
      <c r="BO47" s="327"/>
      <c r="BP47" s="352">
        <f t="shared" si="116"/>
        <v>8419.9500000000007</v>
      </c>
    </row>
    <row r="48" spans="1:149" x14ac:dyDescent="0.15">
      <c r="A48" s="370" t="s">
        <v>1430</v>
      </c>
      <c r="B48" s="371"/>
      <c r="C48" s="293" t="s">
        <v>1416</v>
      </c>
      <c r="D48" s="294"/>
      <c r="E48" s="295"/>
      <c r="F48" s="295"/>
      <c r="G48" s="295"/>
      <c r="H48" s="295"/>
      <c r="I48" s="296">
        <f t="shared" si="117"/>
        <v>0</v>
      </c>
      <c r="J48" s="295"/>
      <c r="K48" s="295"/>
      <c r="L48" s="295"/>
      <c r="M48" s="295"/>
      <c r="N48" s="295"/>
      <c r="O48" s="295"/>
      <c r="P48" s="295"/>
      <c r="Q48" s="295"/>
      <c r="R48" s="353"/>
      <c r="S48" s="295"/>
      <c r="T48" s="295"/>
      <c r="U48" s="295"/>
      <c r="V48" s="296">
        <f t="shared" si="127"/>
        <v>0</v>
      </c>
      <c r="W48" s="295"/>
      <c r="X48" s="295"/>
      <c r="Y48" s="295"/>
      <c r="Z48" s="295"/>
      <c r="AA48" s="295"/>
      <c r="AB48" s="295"/>
      <c r="AC48" s="295"/>
      <c r="AD48" s="295"/>
      <c r="AE48" s="295"/>
      <c r="AF48" s="295"/>
      <c r="AG48" s="295"/>
      <c r="AH48" s="295"/>
      <c r="AI48" s="296">
        <f t="shared" si="129"/>
        <v>0</v>
      </c>
      <c r="AJ48" s="295"/>
      <c r="AK48" s="295"/>
      <c r="AL48" s="295"/>
      <c r="AM48" s="295"/>
      <c r="AN48" s="295"/>
      <c r="AO48" s="295"/>
      <c r="AP48" s="295"/>
      <c r="AQ48" s="295"/>
      <c r="AR48" s="295"/>
      <c r="AS48" s="295"/>
      <c r="AT48" s="295"/>
      <c r="AU48" s="295"/>
      <c r="AV48" s="296">
        <f t="shared" si="131"/>
        <v>0</v>
      </c>
      <c r="AW48" s="295"/>
      <c r="AX48" s="295"/>
      <c r="AY48" s="295"/>
      <c r="AZ48" s="295"/>
      <c r="BA48" s="295"/>
      <c r="BB48" s="295"/>
      <c r="BC48" s="295"/>
      <c r="BD48" s="295"/>
      <c r="BE48" s="295"/>
      <c r="BF48" s="295"/>
      <c r="BG48" s="295"/>
      <c r="BH48" s="295"/>
      <c r="BI48" s="296">
        <f t="shared" si="119"/>
        <v>0</v>
      </c>
      <c r="BJ48" s="297"/>
      <c r="BK48" s="297"/>
      <c r="BL48" s="297"/>
      <c r="BM48" s="297"/>
      <c r="BN48" s="297"/>
      <c r="BO48" s="297"/>
      <c r="BP48" s="298">
        <f t="shared" si="116"/>
        <v>0</v>
      </c>
      <c r="BQ48" s="299"/>
      <c r="BR48" s="299"/>
      <c r="BS48" s="299"/>
      <c r="BT48" s="299"/>
      <c r="BU48" s="299"/>
      <c r="BV48" s="299"/>
      <c r="BW48" s="299"/>
      <c r="BX48" s="299"/>
      <c r="BY48" s="299"/>
      <c r="BZ48" s="299"/>
      <c r="CA48" s="299"/>
      <c r="CB48" s="299"/>
      <c r="CC48" s="299"/>
      <c r="CD48" s="299"/>
      <c r="CE48" s="299"/>
      <c r="CF48" s="299"/>
      <c r="CG48" s="299"/>
      <c r="CH48" s="299"/>
      <c r="CI48" s="299"/>
      <c r="CJ48" s="299"/>
      <c r="CK48" s="299"/>
      <c r="CL48" s="299"/>
      <c r="CM48" s="299"/>
      <c r="CN48" s="299"/>
      <c r="CO48" s="299"/>
      <c r="CP48" s="299"/>
      <c r="CQ48" s="299"/>
      <c r="CR48" s="299"/>
      <c r="CS48" s="299"/>
      <c r="CT48" s="299"/>
      <c r="CU48" s="299"/>
      <c r="CV48" s="299"/>
      <c r="CW48" s="299"/>
      <c r="CX48" s="299"/>
      <c r="CY48" s="299"/>
      <c r="CZ48" s="299"/>
      <c r="DA48" s="299"/>
      <c r="DB48" s="299"/>
      <c r="DC48" s="299"/>
      <c r="DD48" s="299"/>
      <c r="DE48" s="299"/>
      <c r="DF48" s="299"/>
      <c r="DG48" s="299"/>
      <c r="DH48" s="299"/>
      <c r="DI48" s="299"/>
      <c r="DJ48" s="299"/>
      <c r="DK48" s="299"/>
      <c r="DL48" s="299"/>
      <c r="DM48" s="299"/>
      <c r="DN48" s="299"/>
      <c r="DO48" s="299"/>
      <c r="DP48" s="299"/>
      <c r="DQ48" s="299"/>
      <c r="DR48" s="299"/>
      <c r="DS48" s="299"/>
      <c r="DT48" s="299"/>
      <c r="DU48" s="299"/>
      <c r="DV48" s="299"/>
      <c r="DW48" s="299"/>
      <c r="DX48" s="299"/>
      <c r="DY48" s="299"/>
      <c r="DZ48" s="299"/>
      <c r="EA48" s="299"/>
      <c r="EB48" s="299"/>
      <c r="EC48" s="299"/>
      <c r="ED48" s="299"/>
      <c r="EE48" s="299"/>
      <c r="EF48" s="299"/>
      <c r="EG48" s="299"/>
      <c r="EH48" s="299"/>
      <c r="EI48" s="299"/>
      <c r="EJ48" s="299"/>
      <c r="EK48" s="299"/>
      <c r="EL48" s="299"/>
      <c r="EM48" s="299"/>
      <c r="EN48" s="299"/>
      <c r="EO48" s="299"/>
      <c r="EP48" s="299"/>
      <c r="EQ48" s="299"/>
      <c r="ER48" s="299"/>
      <c r="ES48" s="299"/>
    </row>
    <row r="49" spans="1:149" x14ac:dyDescent="0.15">
      <c r="A49" s="370"/>
      <c r="B49" s="371"/>
      <c r="C49" s="293" t="s">
        <v>1417</v>
      </c>
      <c r="D49" s="294">
        <v>2240</v>
      </c>
      <c r="E49" s="295"/>
      <c r="F49" s="295"/>
      <c r="G49" s="295"/>
      <c r="H49" s="295"/>
      <c r="I49" s="296">
        <f t="shared" si="117"/>
        <v>0</v>
      </c>
      <c r="J49" s="295"/>
      <c r="K49" s="295"/>
      <c r="L49" s="295"/>
      <c r="M49" s="295"/>
      <c r="N49" s="295"/>
      <c r="O49" s="295"/>
      <c r="P49" s="295"/>
      <c r="Q49" s="295"/>
      <c r="R49" s="353"/>
      <c r="S49" s="295"/>
      <c r="T49" s="295"/>
      <c r="U49" s="295"/>
      <c r="V49" s="296">
        <f t="shared" si="127"/>
        <v>0</v>
      </c>
      <c r="W49" s="295"/>
      <c r="X49" s="295"/>
      <c r="Y49" s="295"/>
      <c r="Z49" s="295"/>
      <c r="AA49" s="295"/>
      <c r="AB49" s="295"/>
      <c r="AC49" s="295"/>
      <c r="AD49" s="295"/>
      <c r="AE49" s="295"/>
      <c r="AF49" s="295"/>
      <c r="AG49" s="295"/>
      <c r="AH49" s="295"/>
      <c r="AI49" s="296">
        <f t="shared" si="129"/>
        <v>0</v>
      </c>
      <c r="AJ49" s="295"/>
      <c r="AK49" s="295"/>
      <c r="AL49" s="295"/>
      <c r="AM49" s="295"/>
      <c r="AN49" s="295">
        <v>1120</v>
      </c>
      <c r="AO49" s="295"/>
      <c r="AP49" s="295"/>
      <c r="AQ49" s="295"/>
      <c r="AR49" s="295">
        <v>1120</v>
      </c>
      <c r="AS49" s="295"/>
      <c r="AT49" s="295"/>
      <c r="AU49" s="295"/>
      <c r="AV49" s="296">
        <f t="shared" si="131"/>
        <v>2240</v>
      </c>
      <c r="AW49" s="295"/>
      <c r="AX49" s="295"/>
      <c r="AY49" s="295"/>
      <c r="AZ49" s="295"/>
      <c r="BA49" s="295"/>
      <c r="BB49" s="295"/>
      <c r="BC49" s="295"/>
      <c r="BD49" s="295"/>
      <c r="BE49" s="295"/>
      <c r="BF49" s="295"/>
      <c r="BG49" s="295"/>
      <c r="BH49" s="295"/>
      <c r="BI49" s="296">
        <f t="shared" si="119"/>
        <v>0</v>
      </c>
      <c r="BJ49" s="300"/>
      <c r="BK49" s="300"/>
      <c r="BL49" s="300"/>
      <c r="BM49" s="300"/>
      <c r="BN49" s="300"/>
      <c r="BO49" s="300"/>
      <c r="BP49" s="301">
        <f t="shared" si="116"/>
        <v>2240</v>
      </c>
      <c r="BQ49" s="299">
        <f>BP49-D49</f>
        <v>0</v>
      </c>
      <c r="BR49" s="299"/>
      <c r="BS49" s="299"/>
      <c r="BT49" s="299"/>
      <c r="BU49" s="299"/>
      <c r="BV49" s="299"/>
      <c r="BW49" s="299"/>
      <c r="BX49" s="299"/>
      <c r="BY49" s="299"/>
      <c r="BZ49" s="299"/>
      <c r="CA49" s="299"/>
      <c r="CB49" s="299"/>
      <c r="CC49" s="299"/>
      <c r="CD49" s="299"/>
      <c r="CE49" s="299"/>
      <c r="CF49" s="299"/>
      <c r="CG49" s="299"/>
      <c r="CH49" s="299"/>
      <c r="CI49" s="299"/>
      <c r="CJ49" s="299"/>
      <c r="CK49" s="299"/>
      <c r="CL49" s="299"/>
      <c r="CM49" s="299"/>
      <c r="CN49" s="299"/>
      <c r="CO49" s="299"/>
      <c r="CP49" s="299"/>
      <c r="CQ49" s="299"/>
      <c r="CR49" s="299"/>
      <c r="CS49" s="299"/>
      <c r="CT49" s="299"/>
      <c r="CU49" s="299"/>
      <c r="CV49" s="299"/>
      <c r="CW49" s="299"/>
      <c r="CX49" s="299"/>
      <c r="CY49" s="299"/>
      <c r="CZ49" s="299"/>
      <c r="DA49" s="299"/>
      <c r="DB49" s="299"/>
      <c r="DC49" s="299"/>
      <c r="DD49" s="299"/>
      <c r="DE49" s="299"/>
      <c r="DF49" s="299"/>
      <c r="DG49" s="299"/>
      <c r="DH49" s="299"/>
      <c r="DI49" s="299"/>
      <c r="DJ49" s="299"/>
      <c r="DK49" s="299"/>
      <c r="DL49" s="299"/>
      <c r="DM49" s="299"/>
      <c r="DN49" s="299"/>
      <c r="DO49" s="299"/>
      <c r="DP49" s="299"/>
      <c r="DQ49" s="299"/>
      <c r="DR49" s="299"/>
      <c r="DS49" s="299"/>
      <c r="DT49" s="299"/>
      <c r="DU49" s="299"/>
      <c r="DV49" s="299"/>
      <c r="DW49" s="299"/>
      <c r="DX49" s="299"/>
      <c r="DY49" s="299"/>
      <c r="DZ49" s="299"/>
      <c r="EA49" s="299"/>
      <c r="EB49" s="299"/>
      <c r="EC49" s="299"/>
      <c r="ED49" s="299"/>
      <c r="EE49" s="299"/>
      <c r="EF49" s="299"/>
      <c r="EG49" s="299"/>
      <c r="EH49" s="299"/>
      <c r="EI49" s="299"/>
      <c r="EJ49" s="299"/>
      <c r="EK49" s="299"/>
      <c r="EL49" s="299"/>
      <c r="EM49" s="299"/>
      <c r="EN49" s="299"/>
      <c r="EO49" s="299"/>
      <c r="EP49" s="299"/>
      <c r="EQ49" s="299"/>
      <c r="ER49" s="299"/>
      <c r="ES49" s="299"/>
    </row>
    <row r="50" spans="1:149" x14ac:dyDescent="0.15">
      <c r="A50" s="370"/>
      <c r="B50" s="371"/>
      <c r="C50" s="372" t="s">
        <v>1418</v>
      </c>
      <c r="D50" s="373"/>
      <c r="E50" s="295"/>
      <c r="F50" s="295"/>
      <c r="G50" s="295"/>
      <c r="H50" s="295"/>
      <c r="I50" s="296" t="e">
        <f>I51/I49</f>
        <v>#DIV/0!</v>
      </c>
      <c r="J50" s="295"/>
      <c r="K50" s="295"/>
      <c r="L50" s="295"/>
      <c r="M50" s="295"/>
      <c r="N50" s="295"/>
      <c r="O50" s="295"/>
      <c r="P50" s="295"/>
      <c r="Q50" s="295"/>
      <c r="R50" s="353"/>
      <c r="S50" s="295"/>
      <c r="T50" s="295"/>
      <c r="U50" s="295"/>
      <c r="V50" s="296" t="e">
        <f>V51/V49*10000</f>
        <v>#DIV/0!</v>
      </c>
      <c r="W50" s="295"/>
      <c r="X50" s="295"/>
      <c r="Y50" s="295"/>
      <c r="Z50" s="295"/>
      <c r="AA50" s="295"/>
      <c r="AB50" s="295"/>
      <c r="AC50" s="295"/>
      <c r="AD50" s="295"/>
      <c r="AE50" s="295"/>
      <c r="AF50" s="295"/>
      <c r="AG50" s="295"/>
      <c r="AH50" s="295"/>
      <c r="AI50" s="354" t="e">
        <f>AI51/AI49*10000</f>
        <v>#DIV/0!</v>
      </c>
      <c r="AJ50" s="295"/>
      <c r="AK50" s="295"/>
      <c r="AL50" s="355"/>
      <c r="AM50" s="295"/>
      <c r="AN50" s="353">
        <v>20000</v>
      </c>
      <c r="AO50" s="295"/>
      <c r="AP50" s="295"/>
      <c r="AQ50" s="295"/>
      <c r="AR50" s="295">
        <f>AN50</f>
        <v>20000</v>
      </c>
      <c r="AS50" s="295"/>
      <c r="AT50" s="295"/>
      <c r="AU50" s="295"/>
      <c r="AV50" s="296">
        <f>AV51/AV49*10000</f>
        <v>20000</v>
      </c>
      <c r="AW50" s="295"/>
      <c r="AX50" s="295"/>
      <c r="AY50" s="295"/>
      <c r="AZ50" s="295"/>
      <c r="BA50" s="295"/>
      <c r="BB50" s="295"/>
      <c r="BC50" s="295"/>
      <c r="BD50" s="295"/>
      <c r="BE50" s="295"/>
      <c r="BF50" s="295"/>
      <c r="BG50" s="295"/>
      <c r="BH50" s="295"/>
      <c r="BI50" s="296" t="e">
        <f>BI51/BI49*10000</f>
        <v>#DIV/0!</v>
      </c>
      <c r="BJ50" s="297"/>
      <c r="BK50" s="297"/>
      <c r="BL50" s="297"/>
      <c r="BM50" s="297"/>
      <c r="BN50" s="297"/>
      <c r="BO50" s="297"/>
      <c r="BP50" s="356">
        <f>BP51/BP49*10000</f>
        <v>20000</v>
      </c>
      <c r="BQ50" s="299"/>
      <c r="BR50" s="299"/>
      <c r="BS50" s="299"/>
      <c r="BT50" s="299"/>
      <c r="BU50" s="299"/>
      <c r="BV50" s="299"/>
      <c r="BW50" s="299"/>
      <c r="BX50" s="299"/>
      <c r="BY50" s="299"/>
      <c r="BZ50" s="299"/>
      <c r="CA50" s="299"/>
      <c r="CB50" s="299"/>
      <c r="CC50" s="299"/>
      <c r="CD50" s="299"/>
      <c r="CE50" s="299"/>
      <c r="CF50" s="299"/>
      <c r="CG50" s="299"/>
      <c r="CH50" s="299"/>
      <c r="CI50" s="299"/>
      <c r="CJ50" s="299"/>
      <c r="CK50" s="299"/>
      <c r="CL50" s="299"/>
      <c r="CM50" s="299"/>
      <c r="CN50" s="299"/>
      <c r="CO50" s="299"/>
      <c r="CP50" s="299"/>
      <c r="CQ50" s="299"/>
      <c r="CR50" s="299"/>
      <c r="CS50" s="299"/>
      <c r="CT50" s="299"/>
      <c r="CU50" s="299"/>
      <c r="CV50" s="299"/>
      <c r="CW50" s="299"/>
      <c r="CX50" s="299"/>
      <c r="CY50" s="299"/>
      <c r="CZ50" s="299"/>
      <c r="DA50" s="299"/>
      <c r="DB50" s="299"/>
      <c r="DC50" s="299"/>
      <c r="DD50" s="299"/>
      <c r="DE50" s="299"/>
      <c r="DF50" s="299"/>
      <c r="DG50" s="299"/>
      <c r="DH50" s="299"/>
      <c r="DI50" s="299"/>
      <c r="DJ50" s="299"/>
      <c r="DK50" s="299"/>
      <c r="DL50" s="299"/>
      <c r="DM50" s="299"/>
      <c r="DN50" s="299"/>
      <c r="DO50" s="299"/>
      <c r="DP50" s="299"/>
      <c r="DQ50" s="299"/>
      <c r="DR50" s="299"/>
      <c r="DS50" s="299"/>
      <c r="DT50" s="299"/>
      <c r="DU50" s="299"/>
      <c r="DV50" s="299"/>
      <c r="DW50" s="299"/>
      <c r="DX50" s="299"/>
      <c r="DY50" s="299"/>
      <c r="DZ50" s="299"/>
      <c r="EA50" s="299"/>
      <c r="EB50" s="299"/>
      <c r="EC50" s="299"/>
      <c r="ED50" s="299"/>
      <c r="EE50" s="299"/>
      <c r="EF50" s="299"/>
      <c r="EG50" s="299"/>
      <c r="EH50" s="299"/>
      <c r="EI50" s="299"/>
      <c r="EJ50" s="299"/>
      <c r="EK50" s="299"/>
      <c r="EL50" s="299"/>
      <c r="EM50" s="299"/>
      <c r="EN50" s="299"/>
      <c r="EO50" s="299"/>
      <c r="EP50" s="299"/>
      <c r="EQ50" s="299"/>
      <c r="ER50" s="299"/>
      <c r="ES50" s="299"/>
    </row>
    <row r="51" spans="1:149" x14ac:dyDescent="0.15">
      <c r="A51" s="370"/>
      <c r="B51" s="371"/>
      <c r="C51" s="371" t="s">
        <v>1419</v>
      </c>
      <c r="D51" s="371"/>
      <c r="E51" s="295"/>
      <c r="F51" s="295"/>
      <c r="G51" s="295"/>
      <c r="H51" s="295"/>
      <c r="I51" s="296">
        <f t="shared" ref="I51:I53" si="133">SUM(E51:H51)</f>
        <v>0</v>
      </c>
      <c r="J51" s="295"/>
      <c r="K51" s="295"/>
      <c r="L51" s="295"/>
      <c r="M51" s="295"/>
      <c r="N51" s="295"/>
      <c r="O51" s="295"/>
      <c r="P51" s="295"/>
      <c r="Q51" s="295"/>
      <c r="R51" s="353"/>
      <c r="S51" s="295"/>
      <c r="T51" s="295"/>
      <c r="U51" s="295"/>
      <c r="V51" s="296">
        <f t="shared" ref="V51:V53" si="134">SUM(J51:U51)</f>
        <v>0</v>
      </c>
      <c r="W51" s="295"/>
      <c r="X51" s="295"/>
      <c r="Y51" s="295"/>
      <c r="Z51" s="295"/>
      <c r="AA51" s="295"/>
      <c r="AB51" s="295"/>
      <c r="AC51" s="295"/>
      <c r="AD51" s="295"/>
      <c r="AE51" s="295"/>
      <c r="AF51" s="295"/>
      <c r="AG51" s="295"/>
      <c r="AH51" s="295"/>
      <c r="AI51" s="296">
        <f t="shared" ref="AI51:AI53" si="135">SUM(W51:AH51)</f>
        <v>0</v>
      </c>
      <c r="AJ51" s="295"/>
      <c r="AK51" s="295"/>
      <c r="AL51" s="295"/>
      <c r="AM51" s="295"/>
      <c r="AN51" s="295">
        <f>AN49*AN50/10000</f>
        <v>2240</v>
      </c>
      <c r="AO51" s="295"/>
      <c r="AP51" s="295"/>
      <c r="AQ51" s="295"/>
      <c r="AR51" s="295">
        <f>AR49*AR50/10000</f>
        <v>2240</v>
      </c>
      <c r="AS51" s="295"/>
      <c r="AT51" s="295"/>
      <c r="AU51" s="295"/>
      <c r="AV51" s="296">
        <f t="shared" ref="AV51:AV53" si="136">SUM(AJ51:AU51)</f>
        <v>4480</v>
      </c>
      <c r="AW51" s="295"/>
      <c r="AX51" s="295"/>
      <c r="AY51" s="295"/>
      <c r="AZ51" s="295"/>
      <c r="BA51" s="295"/>
      <c r="BB51" s="295"/>
      <c r="BC51" s="295"/>
      <c r="BD51" s="295"/>
      <c r="BE51" s="295"/>
      <c r="BF51" s="295"/>
      <c r="BG51" s="295"/>
      <c r="BH51" s="295"/>
      <c r="BI51" s="296">
        <f t="shared" ref="BI51:BI53" si="137">SUM(AW51:BH51)</f>
        <v>0</v>
      </c>
      <c r="BJ51" s="300"/>
      <c r="BK51" s="300"/>
      <c r="BL51" s="300"/>
      <c r="BM51" s="300"/>
      <c r="BN51" s="300"/>
      <c r="BO51" s="300"/>
      <c r="BP51" s="301">
        <f t="shared" ref="BP51:BP53" si="138">I51+V51+AI51+AV51+BI51</f>
        <v>4480</v>
      </c>
      <c r="BQ51" s="299"/>
      <c r="BR51" s="299"/>
      <c r="BS51" s="299"/>
      <c r="BT51" s="299"/>
      <c r="BU51" s="299"/>
      <c r="BV51" s="299"/>
      <c r="BW51" s="299"/>
      <c r="BX51" s="299"/>
      <c r="BY51" s="299"/>
      <c r="BZ51" s="299"/>
      <c r="CA51" s="299"/>
      <c r="CB51" s="299"/>
      <c r="CC51" s="299"/>
      <c r="CD51" s="299"/>
      <c r="CE51" s="299"/>
      <c r="CF51" s="299"/>
      <c r="CG51" s="299"/>
      <c r="CH51" s="299"/>
      <c r="CI51" s="299"/>
      <c r="CJ51" s="299"/>
      <c r="CK51" s="299"/>
      <c r="CL51" s="299"/>
      <c r="CM51" s="299"/>
      <c r="CN51" s="299"/>
      <c r="CO51" s="299"/>
      <c r="CP51" s="299"/>
      <c r="CQ51" s="299"/>
      <c r="CR51" s="299"/>
      <c r="CS51" s="299"/>
      <c r="CT51" s="299"/>
      <c r="CU51" s="299"/>
      <c r="CV51" s="299"/>
      <c r="CW51" s="299"/>
      <c r="CX51" s="299"/>
      <c r="CY51" s="299"/>
      <c r="CZ51" s="299"/>
      <c r="DA51" s="299"/>
      <c r="DB51" s="299"/>
      <c r="DC51" s="299"/>
      <c r="DD51" s="299"/>
      <c r="DE51" s="299"/>
      <c r="DF51" s="299"/>
      <c r="DG51" s="299"/>
      <c r="DH51" s="299"/>
      <c r="DI51" s="299"/>
      <c r="DJ51" s="299"/>
      <c r="DK51" s="299"/>
      <c r="DL51" s="299"/>
      <c r="DM51" s="299"/>
      <c r="DN51" s="299"/>
      <c r="DO51" s="299"/>
      <c r="DP51" s="299"/>
      <c r="DQ51" s="299"/>
      <c r="DR51" s="299"/>
      <c r="DS51" s="299"/>
      <c r="DT51" s="299"/>
      <c r="DU51" s="299"/>
      <c r="DV51" s="299"/>
      <c r="DW51" s="299"/>
      <c r="DX51" s="299"/>
      <c r="DY51" s="299"/>
      <c r="DZ51" s="299"/>
      <c r="EA51" s="299"/>
      <c r="EB51" s="299"/>
      <c r="EC51" s="299"/>
      <c r="ED51" s="299"/>
      <c r="EE51" s="299"/>
      <c r="EF51" s="299"/>
      <c r="EG51" s="299"/>
      <c r="EH51" s="299"/>
      <c r="EI51" s="299"/>
      <c r="EJ51" s="299"/>
      <c r="EK51" s="299"/>
      <c r="EL51" s="299"/>
      <c r="EM51" s="299"/>
      <c r="EN51" s="299"/>
      <c r="EO51" s="299"/>
      <c r="EP51" s="299"/>
      <c r="EQ51" s="299"/>
      <c r="ER51" s="299"/>
      <c r="ES51" s="299"/>
    </row>
    <row r="52" spans="1:149" x14ac:dyDescent="0.15">
      <c r="A52" s="374" t="s">
        <v>1431</v>
      </c>
      <c r="B52" s="375"/>
      <c r="C52" s="357" t="s">
        <v>1416</v>
      </c>
      <c r="D52" s="358">
        <f t="shared" ref="D52:H53" si="139">D12+D24+D36+D40+D44+D48</f>
        <v>580</v>
      </c>
      <c r="E52" s="359">
        <f t="shared" si="139"/>
        <v>0</v>
      </c>
      <c r="F52" s="359">
        <f t="shared" si="139"/>
        <v>0</v>
      </c>
      <c r="G52" s="359">
        <f t="shared" si="139"/>
        <v>0</v>
      </c>
      <c r="H52" s="359">
        <f t="shared" si="139"/>
        <v>0</v>
      </c>
      <c r="I52" s="359">
        <f t="shared" si="133"/>
        <v>0</v>
      </c>
      <c r="J52" s="359">
        <f t="shared" ref="J52:U55" si="140">J12+J24+J36+J40+J44+J48</f>
        <v>0</v>
      </c>
      <c r="K52" s="359">
        <f t="shared" si="140"/>
        <v>0</v>
      </c>
      <c r="L52" s="359">
        <f t="shared" si="140"/>
        <v>0</v>
      </c>
      <c r="M52" s="359">
        <f t="shared" si="140"/>
        <v>0</v>
      </c>
      <c r="N52" s="359">
        <f t="shared" si="140"/>
        <v>0</v>
      </c>
      <c r="O52" s="359">
        <f t="shared" si="140"/>
        <v>0</v>
      </c>
      <c r="P52" s="359">
        <f t="shared" si="140"/>
        <v>45</v>
      </c>
      <c r="Q52" s="359">
        <f t="shared" si="140"/>
        <v>17</v>
      </c>
      <c r="R52" s="359">
        <f t="shared" si="140"/>
        <v>23</v>
      </c>
      <c r="S52" s="359">
        <f t="shared" si="140"/>
        <v>30</v>
      </c>
      <c r="T52" s="359">
        <f t="shared" si="140"/>
        <v>11</v>
      </c>
      <c r="U52" s="359">
        <f t="shared" si="140"/>
        <v>9</v>
      </c>
      <c r="V52" s="359">
        <f t="shared" si="134"/>
        <v>135</v>
      </c>
      <c r="W52" s="359">
        <f t="shared" ref="W52:AH55" si="141">W12+W24+W36+W40+W44+W48</f>
        <v>14</v>
      </c>
      <c r="X52" s="359">
        <f t="shared" si="141"/>
        <v>9</v>
      </c>
      <c r="Y52" s="359">
        <f t="shared" si="141"/>
        <v>14</v>
      </c>
      <c r="Z52" s="359">
        <f t="shared" si="141"/>
        <v>14</v>
      </c>
      <c r="AA52" s="359">
        <f t="shared" si="141"/>
        <v>21</v>
      </c>
      <c r="AB52" s="359">
        <f t="shared" si="141"/>
        <v>19</v>
      </c>
      <c r="AC52" s="359">
        <f t="shared" si="141"/>
        <v>19</v>
      </c>
      <c r="AD52" s="359">
        <f t="shared" si="141"/>
        <v>19</v>
      </c>
      <c r="AE52" s="359">
        <f t="shared" si="141"/>
        <v>20</v>
      </c>
      <c r="AF52" s="359">
        <f t="shared" si="141"/>
        <v>18</v>
      </c>
      <c r="AG52" s="359">
        <f t="shared" si="141"/>
        <v>17</v>
      </c>
      <c r="AH52" s="359">
        <f t="shared" si="141"/>
        <v>16</v>
      </c>
      <c r="AI52" s="359">
        <f t="shared" si="135"/>
        <v>200</v>
      </c>
      <c r="AJ52" s="359">
        <f t="shared" ref="AJ52:AU55" si="142">AJ12+AJ24+AJ36+AJ40+AJ44+AJ48</f>
        <v>15</v>
      </c>
      <c r="AK52" s="359">
        <f t="shared" si="142"/>
        <v>13</v>
      </c>
      <c r="AL52" s="359">
        <f t="shared" si="142"/>
        <v>15</v>
      </c>
      <c r="AM52" s="359">
        <f t="shared" si="142"/>
        <v>14</v>
      </c>
      <c r="AN52" s="359">
        <f t="shared" si="142"/>
        <v>18</v>
      </c>
      <c r="AO52" s="359">
        <f t="shared" si="142"/>
        <v>16</v>
      </c>
      <c r="AP52" s="359">
        <f t="shared" si="142"/>
        <v>17</v>
      </c>
      <c r="AQ52" s="359">
        <f t="shared" si="142"/>
        <v>14</v>
      </c>
      <c r="AR52" s="359">
        <f t="shared" si="142"/>
        <v>17</v>
      </c>
      <c r="AS52" s="359">
        <f t="shared" si="142"/>
        <v>16</v>
      </c>
      <c r="AT52" s="359">
        <f t="shared" si="142"/>
        <v>12</v>
      </c>
      <c r="AU52" s="359">
        <f t="shared" si="142"/>
        <v>13</v>
      </c>
      <c r="AV52" s="359">
        <f t="shared" si="136"/>
        <v>180</v>
      </c>
      <c r="AW52" s="359">
        <f t="shared" ref="AW52:BH55" si="143">AW12+AW24+AW36+AW40+AW44+AW48</f>
        <v>12</v>
      </c>
      <c r="AX52" s="359">
        <f t="shared" si="143"/>
        <v>9</v>
      </c>
      <c r="AY52" s="359">
        <f t="shared" si="143"/>
        <v>9</v>
      </c>
      <c r="AZ52" s="359">
        <f t="shared" si="143"/>
        <v>9</v>
      </c>
      <c r="BA52" s="359">
        <f t="shared" si="143"/>
        <v>10</v>
      </c>
      <c r="BB52" s="359">
        <f t="shared" si="143"/>
        <v>6</v>
      </c>
      <c r="BC52" s="359">
        <f t="shared" si="143"/>
        <v>5</v>
      </c>
      <c r="BD52" s="359">
        <f t="shared" si="143"/>
        <v>5</v>
      </c>
      <c r="BE52" s="359">
        <f t="shared" si="143"/>
        <v>0</v>
      </c>
      <c r="BF52" s="359">
        <f t="shared" si="143"/>
        <v>0</v>
      </c>
      <c r="BG52" s="359">
        <f t="shared" si="143"/>
        <v>0</v>
      </c>
      <c r="BH52" s="359">
        <f t="shared" si="143"/>
        <v>0</v>
      </c>
      <c r="BI52" s="359">
        <f t="shared" si="137"/>
        <v>65</v>
      </c>
      <c r="BJ52" s="360"/>
      <c r="BK52" s="360"/>
      <c r="BL52" s="360"/>
      <c r="BM52" s="360"/>
      <c r="BN52" s="360"/>
      <c r="BO52" s="360"/>
      <c r="BP52" s="361">
        <f t="shared" si="138"/>
        <v>580</v>
      </c>
      <c r="BQ52" s="299">
        <f>BP52-D52</f>
        <v>0</v>
      </c>
      <c r="BR52" s="299"/>
      <c r="BS52" s="299"/>
      <c r="BT52" s="299"/>
      <c r="BU52" s="299"/>
      <c r="BV52" s="299"/>
      <c r="BW52" s="299"/>
      <c r="BX52" s="299"/>
      <c r="BY52" s="299"/>
      <c r="BZ52" s="299"/>
      <c r="CA52" s="299"/>
      <c r="CB52" s="299"/>
      <c r="CC52" s="299"/>
      <c r="CD52" s="299"/>
      <c r="CE52" s="299"/>
      <c r="CF52" s="299"/>
      <c r="CG52" s="299"/>
      <c r="CH52" s="299"/>
      <c r="CI52" s="299"/>
      <c r="CJ52" s="299"/>
      <c r="CK52" s="299"/>
      <c r="CL52" s="299"/>
      <c r="CM52" s="299"/>
      <c r="CN52" s="299"/>
      <c r="CO52" s="299"/>
      <c r="CP52" s="299"/>
      <c r="CQ52" s="299"/>
      <c r="CR52" s="299"/>
      <c r="CS52" s="299"/>
      <c r="CT52" s="299"/>
      <c r="CU52" s="299"/>
      <c r="CV52" s="299"/>
      <c r="CW52" s="299"/>
      <c r="CX52" s="299"/>
      <c r="CY52" s="299"/>
      <c r="CZ52" s="299"/>
      <c r="DA52" s="299"/>
      <c r="DB52" s="299"/>
      <c r="DC52" s="299"/>
      <c r="DD52" s="299"/>
      <c r="DE52" s="299"/>
      <c r="DF52" s="299"/>
      <c r="DG52" s="299"/>
      <c r="DH52" s="299"/>
      <c r="DI52" s="299"/>
      <c r="DJ52" s="299"/>
      <c r="DK52" s="299"/>
      <c r="DL52" s="299"/>
      <c r="DM52" s="299"/>
      <c r="DN52" s="299"/>
      <c r="DO52" s="299"/>
      <c r="DP52" s="299"/>
      <c r="DQ52" s="299"/>
      <c r="DR52" s="299"/>
      <c r="DS52" s="299"/>
      <c r="DT52" s="299"/>
      <c r="DU52" s="299"/>
      <c r="DV52" s="299"/>
      <c r="DW52" s="299"/>
      <c r="DX52" s="299"/>
      <c r="DY52" s="299"/>
      <c r="DZ52" s="299"/>
      <c r="EA52" s="299"/>
      <c r="EB52" s="299"/>
      <c r="EC52" s="299"/>
      <c r="ED52" s="299"/>
      <c r="EE52" s="299"/>
      <c r="EF52" s="299"/>
      <c r="EG52" s="299"/>
      <c r="EH52" s="299"/>
      <c r="EI52" s="299"/>
      <c r="EJ52" s="299"/>
      <c r="EK52" s="299"/>
      <c r="EL52" s="299"/>
      <c r="EM52" s="299"/>
      <c r="EN52" s="299"/>
      <c r="EO52" s="299"/>
      <c r="EP52" s="299"/>
      <c r="EQ52" s="299"/>
      <c r="ER52" s="299"/>
      <c r="ES52" s="299"/>
    </row>
    <row r="53" spans="1:149" x14ac:dyDescent="0.15">
      <c r="A53" s="374"/>
      <c r="B53" s="375"/>
      <c r="C53" s="357" t="s">
        <v>1417</v>
      </c>
      <c r="D53" s="358"/>
      <c r="E53" s="359">
        <f t="shared" si="139"/>
        <v>0</v>
      </c>
      <c r="F53" s="359">
        <f t="shared" si="139"/>
        <v>0</v>
      </c>
      <c r="G53" s="359">
        <f t="shared" si="139"/>
        <v>0</v>
      </c>
      <c r="H53" s="359">
        <f t="shared" si="139"/>
        <v>0</v>
      </c>
      <c r="I53" s="359">
        <f t="shared" si="133"/>
        <v>0</v>
      </c>
      <c r="J53" s="359">
        <f t="shared" si="140"/>
        <v>0</v>
      </c>
      <c r="K53" s="359">
        <f t="shared" si="140"/>
        <v>0</v>
      </c>
      <c r="L53" s="359">
        <f t="shared" si="140"/>
        <v>0</v>
      </c>
      <c r="M53" s="359">
        <f t="shared" si="140"/>
        <v>0</v>
      </c>
      <c r="N53" s="359">
        <f t="shared" si="140"/>
        <v>0</v>
      </c>
      <c r="O53" s="359">
        <f t="shared" si="140"/>
        <v>0</v>
      </c>
      <c r="P53" s="359">
        <f t="shared" si="140"/>
        <v>7659.9</v>
      </c>
      <c r="Q53" s="359">
        <f t="shared" si="140"/>
        <v>2546.9499999999998</v>
      </c>
      <c r="R53" s="359">
        <f t="shared" si="140"/>
        <v>3709.7200000000003</v>
      </c>
      <c r="S53" s="359">
        <f t="shared" si="140"/>
        <v>4291.8999999999996</v>
      </c>
      <c r="T53" s="359">
        <f t="shared" si="140"/>
        <v>1533.31</v>
      </c>
      <c r="U53" s="359">
        <f t="shared" si="140"/>
        <v>1410.77</v>
      </c>
      <c r="V53" s="359">
        <f t="shared" si="134"/>
        <v>21152.550000000003</v>
      </c>
      <c r="W53" s="359">
        <f t="shared" si="141"/>
        <v>2252.77</v>
      </c>
      <c r="X53" s="359">
        <f t="shared" si="141"/>
        <v>1315.3600000000001</v>
      </c>
      <c r="Y53" s="359">
        <f t="shared" si="141"/>
        <v>2289.9499999999998</v>
      </c>
      <c r="Z53" s="359">
        <f t="shared" si="141"/>
        <v>2289.9499999999998</v>
      </c>
      <c r="AA53" s="359">
        <f t="shared" si="141"/>
        <v>3157.36</v>
      </c>
      <c r="AB53" s="359">
        <f t="shared" si="141"/>
        <v>3027.36</v>
      </c>
      <c r="AC53" s="359">
        <f t="shared" si="141"/>
        <v>3118.36</v>
      </c>
      <c r="AD53" s="359">
        <f t="shared" si="141"/>
        <v>3118.36</v>
      </c>
      <c r="AE53" s="359">
        <f t="shared" si="141"/>
        <v>2995.95</v>
      </c>
      <c r="AF53" s="359">
        <f t="shared" si="141"/>
        <v>2875.95</v>
      </c>
      <c r="AG53" s="359">
        <f t="shared" si="141"/>
        <v>2737.36</v>
      </c>
      <c r="AH53" s="359">
        <f t="shared" si="141"/>
        <v>2416.9499999999998</v>
      </c>
      <c r="AI53" s="359">
        <f t="shared" si="135"/>
        <v>31595.680000000004</v>
      </c>
      <c r="AJ53" s="359">
        <f t="shared" si="142"/>
        <v>2444.36</v>
      </c>
      <c r="AK53" s="359">
        <f t="shared" si="142"/>
        <v>2112.36</v>
      </c>
      <c r="AL53" s="359">
        <f t="shared" si="142"/>
        <v>2444.36</v>
      </c>
      <c r="AM53" s="359">
        <f t="shared" si="142"/>
        <v>2132.77</v>
      </c>
      <c r="AN53" s="359">
        <f t="shared" si="142"/>
        <v>4513.51</v>
      </c>
      <c r="AO53" s="359">
        <f t="shared" si="142"/>
        <v>2582.9499999999998</v>
      </c>
      <c r="AP53" s="359">
        <f t="shared" si="142"/>
        <v>2771.95</v>
      </c>
      <c r="AQ53" s="359">
        <f t="shared" si="142"/>
        <v>2256.9499999999998</v>
      </c>
      <c r="AR53" s="359">
        <f t="shared" si="142"/>
        <v>4274.51</v>
      </c>
      <c r="AS53" s="359">
        <f t="shared" si="142"/>
        <v>2588.9499999999998</v>
      </c>
      <c r="AT53" s="359">
        <f t="shared" si="142"/>
        <v>1957.95</v>
      </c>
      <c r="AU53" s="359">
        <f t="shared" si="142"/>
        <v>2100.9499999999998</v>
      </c>
      <c r="AV53" s="359">
        <f t="shared" si="136"/>
        <v>32181.570000000003</v>
      </c>
      <c r="AW53" s="359">
        <f t="shared" si="143"/>
        <v>1830.95</v>
      </c>
      <c r="AX53" s="359">
        <f t="shared" si="143"/>
        <v>1447.95</v>
      </c>
      <c r="AY53" s="359">
        <f t="shared" si="143"/>
        <v>1574.95</v>
      </c>
      <c r="AZ53" s="359">
        <f t="shared" si="143"/>
        <v>1493.95</v>
      </c>
      <c r="BA53" s="359">
        <f t="shared" si="143"/>
        <v>1763.95</v>
      </c>
      <c r="BB53" s="359">
        <f t="shared" si="143"/>
        <v>926.95</v>
      </c>
      <c r="BC53" s="359">
        <f t="shared" si="143"/>
        <v>692.95</v>
      </c>
      <c r="BD53" s="359">
        <f t="shared" si="143"/>
        <v>692.95</v>
      </c>
      <c r="BE53" s="359">
        <f t="shared" si="143"/>
        <v>0</v>
      </c>
      <c r="BF53" s="359">
        <f t="shared" si="143"/>
        <v>0</v>
      </c>
      <c r="BG53" s="359">
        <f t="shared" si="143"/>
        <v>0</v>
      </c>
      <c r="BH53" s="359">
        <f t="shared" si="143"/>
        <v>0</v>
      </c>
      <c r="BI53" s="359">
        <f t="shared" si="137"/>
        <v>10424.600000000002</v>
      </c>
      <c r="BJ53" s="360"/>
      <c r="BK53" s="360"/>
      <c r="BL53" s="360"/>
      <c r="BM53" s="360"/>
      <c r="BN53" s="360"/>
      <c r="BO53" s="360"/>
      <c r="BP53" s="361">
        <f t="shared" si="138"/>
        <v>95354.400000000023</v>
      </c>
      <c r="BQ53" s="299"/>
      <c r="BR53" s="299"/>
      <c r="BS53" s="299"/>
      <c r="BT53" s="299"/>
      <c r="BU53" s="299"/>
      <c r="BV53" s="299"/>
      <c r="BW53" s="299"/>
      <c r="BX53" s="299"/>
      <c r="BY53" s="299"/>
      <c r="BZ53" s="299"/>
      <c r="CA53" s="299"/>
      <c r="CB53" s="299"/>
      <c r="CC53" s="299"/>
      <c r="CD53" s="299"/>
      <c r="CE53" s="299"/>
      <c r="CF53" s="299"/>
      <c r="CG53" s="299"/>
      <c r="CH53" s="299"/>
      <c r="CI53" s="299"/>
      <c r="CJ53" s="299"/>
      <c r="CK53" s="299"/>
      <c r="CL53" s="299"/>
      <c r="CM53" s="299"/>
      <c r="CN53" s="299"/>
      <c r="CO53" s="299"/>
      <c r="CP53" s="299"/>
      <c r="CQ53" s="299"/>
      <c r="CR53" s="299"/>
      <c r="CS53" s="299"/>
      <c r="CT53" s="299"/>
      <c r="CU53" s="299"/>
      <c r="CV53" s="299"/>
      <c r="CW53" s="299"/>
      <c r="CX53" s="299"/>
      <c r="CY53" s="299"/>
      <c r="CZ53" s="299"/>
      <c r="DA53" s="299"/>
      <c r="DB53" s="299"/>
      <c r="DC53" s="299"/>
      <c r="DD53" s="299"/>
      <c r="DE53" s="299"/>
      <c r="DF53" s="299"/>
      <c r="DG53" s="299"/>
      <c r="DH53" s="299"/>
      <c r="DI53" s="299"/>
      <c r="DJ53" s="299"/>
      <c r="DK53" s="299"/>
      <c r="DL53" s="299"/>
      <c r="DM53" s="299"/>
      <c r="DN53" s="299"/>
      <c r="DO53" s="299"/>
      <c r="DP53" s="299"/>
      <c r="DQ53" s="299"/>
      <c r="DR53" s="299"/>
      <c r="DS53" s="299"/>
      <c r="DT53" s="299"/>
      <c r="DU53" s="299"/>
      <c r="DV53" s="299"/>
      <c r="DW53" s="299"/>
      <c r="DX53" s="299"/>
      <c r="DY53" s="299"/>
      <c r="DZ53" s="299"/>
      <c r="EA53" s="299"/>
      <c r="EB53" s="299"/>
      <c r="EC53" s="299"/>
      <c r="ED53" s="299"/>
      <c r="EE53" s="299"/>
      <c r="EF53" s="299"/>
      <c r="EG53" s="299"/>
      <c r="EH53" s="299"/>
      <c r="EI53" s="299"/>
      <c r="EJ53" s="299"/>
      <c r="EK53" s="299"/>
      <c r="EL53" s="299"/>
      <c r="EM53" s="299"/>
      <c r="EN53" s="299"/>
      <c r="EO53" s="299"/>
      <c r="EP53" s="299"/>
      <c r="EQ53" s="299"/>
      <c r="ER53" s="299"/>
      <c r="ES53" s="299"/>
    </row>
    <row r="54" spans="1:149" s="346" customFormat="1" x14ac:dyDescent="0.15">
      <c r="A54" s="374"/>
      <c r="B54" s="375"/>
      <c r="C54" s="378" t="s">
        <v>1418</v>
      </c>
      <c r="D54" s="379"/>
      <c r="E54" s="362" t="e">
        <f t="shared" ref="E54:BI54" si="144">E55/E53*10000</f>
        <v>#DIV/0!</v>
      </c>
      <c r="F54" s="362" t="e">
        <f t="shared" si="144"/>
        <v>#DIV/0!</v>
      </c>
      <c r="G54" s="362" t="e">
        <f t="shared" si="144"/>
        <v>#DIV/0!</v>
      </c>
      <c r="H54" s="362" t="e">
        <f t="shared" si="144"/>
        <v>#DIV/0!</v>
      </c>
      <c r="I54" s="362" t="e">
        <f t="shared" si="144"/>
        <v>#DIV/0!</v>
      </c>
      <c r="J54" s="362" t="e">
        <f t="shared" si="144"/>
        <v>#DIV/0!</v>
      </c>
      <c r="K54" s="362" t="e">
        <f t="shared" si="144"/>
        <v>#DIV/0!</v>
      </c>
      <c r="L54" s="362" t="e">
        <f t="shared" si="144"/>
        <v>#DIV/0!</v>
      </c>
      <c r="M54" s="362" t="e">
        <f t="shared" si="144"/>
        <v>#DIV/0!</v>
      </c>
      <c r="N54" s="362" t="e">
        <f t="shared" si="144"/>
        <v>#DIV/0!</v>
      </c>
      <c r="O54" s="362" t="e">
        <f t="shared" si="144"/>
        <v>#DIV/0!</v>
      </c>
      <c r="P54" s="362">
        <f t="shared" si="144"/>
        <v>11744.8999334195</v>
      </c>
      <c r="Q54" s="362">
        <f t="shared" si="144"/>
        <v>11094.931781150006</v>
      </c>
      <c r="R54" s="362">
        <f t="shared" si="144"/>
        <v>11557.124796480593</v>
      </c>
      <c r="S54" s="362">
        <f t="shared" si="144"/>
        <v>11496.602437149051</v>
      </c>
      <c r="T54" s="362">
        <f t="shared" si="144"/>
        <v>10938.389823323398</v>
      </c>
      <c r="U54" s="362">
        <f t="shared" si="144"/>
        <v>11846.253110003758</v>
      </c>
      <c r="V54" s="362">
        <f t="shared" si="144"/>
        <v>11531.623444927443</v>
      </c>
      <c r="W54" s="362">
        <f t="shared" si="144"/>
        <v>12631.180058328193</v>
      </c>
      <c r="X54" s="362">
        <f t="shared" si="144"/>
        <v>11954.220137452865</v>
      </c>
      <c r="Y54" s="362">
        <f t="shared" si="144"/>
        <v>12615.476975479816</v>
      </c>
      <c r="Z54" s="362">
        <f t="shared" si="144"/>
        <v>12615.476975479816</v>
      </c>
      <c r="AA54" s="362">
        <f t="shared" si="144"/>
        <v>12608.924227835914</v>
      </c>
      <c r="AB54" s="362">
        <f t="shared" si="144"/>
        <v>12879.910549125309</v>
      </c>
      <c r="AC54" s="362">
        <f t="shared" si="144"/>
        <v>13013.091496812425</v>
      </c>
      <c r="AD54" s="362">
        <f t="shared" si="144"/>
        <v>13056.383483626007</v>
      </c>
      <c r="AE54" s="362">
        <f t="shared" si="144"/>
        <v>12732.294764598877</v>
      </c>
      <c r="AF54" s="362">
        <f t="shared" si="144"/>
        <v>13064.827796032616</v>
      </c>
      <c r="AG54" s="362">
        <f t="shared" si="144"/>
        <v>13136.459216179093</v>
      </c>
      <c r="AH54" s="362">
        <f t="shared" si="144"/>
        <v>12719.898425701816</v>
      </c>
      <c r="AI54" s="362">
        <f t="shared" si="144"/>
        <v>12801.61094807898</v>
      </c>
      <c r="AJ54" s="362">
        <f t="shared" si="144"/>
        <v>13164.434862295242</v>
      </c>
      <c r="AK54" s="362">
        <f t="shared" si="144"/>
        <v>13130.860743433885</v>
      </c>
      <c r="AL54" s="362">
        <f t="shared" si="144"/>
        <v>13164.434862295242</v>
      </c>
      <c r="AM54" s="362">
        <f t="shared" si="144"/>
        <v>13025.3733407728</v>
      </c>
      <c r="AN54" s="362">
        <f t="shared" si="144"/>
        <v>15670.219961847873</v>
      </c>
      <c r="AO54" s="362">
        <f t="shared" si="144"/>
        <v>13332.616388238257</v>
      </c>
      <c r="AP54" s="362">
        <f t="shared" si="144"/>
        <v>13398.371002362959</v>
      </c>
      <c r="AQ54" s="362">
        <f t="shared" si="144"/>
        <v>13166.157646381178</v>
      </c>
      <c r="AR54" s="362">
        <f t="shared" si="144"/>
        <v>15898.860571153185</v>
      </c>
      <c r="AS54" s="362">
        <f t="shared" si="144"/>
        <v>13400.553313119219</v>
      </c>
      <c r="AT54" s="362">
        <f t="shared" si="144"/>
        <v>13458.340866722849</v>
      </c>
      <c r="AU54" s="362">
        <f t="shared" si="144"/>
        <v>13424.421571193983</v>
      </c>
      <c r="AV54" s="362">
        <f t="shared" si="144"/>
        <v>13955.273608465963</v>
      </c>
      <c r="AW54" s="362">
        <f t="shared" si="144"/>
        <v>13229.377372402307</v>
      </c>
      <c r="AX54" s="362">
        <f t="shared" si="144"/>
        <v>13435.299216133155</v>
      </c>
      <c r="AY54" s="362">
        <f t="shared" si="144"/>
        <v>13985.689386964666</v>
      </c>
      <c r="AZ54" s="362">
        <f t="shared" si="144"/>
        <v>13608.617758291777</v>
      </c>
      <c r="BA54" s="362">
        <f t="shared" si="144"/>
        <v>14051.188809206607</v>
      </c>
      <c r="BB54" s="362">
        <f t="shared" si="144"/>
        <v>13004.040671017852</v>
      </c>
      <c r="BC54" s="362">
        <f t="shared" si="144"/>
        <v>12249.999999999998</v>
      </c>
      <c r="BD54" s="362">
        <f t="shared" si="144"/>
        <v>12249.999999999998</v>
      </c>
      <c r="BE54" s="362" t="e">
        <f t="shared" si="144"/>
        <v>#DIV/0!</v>
      </c>
      <c r="BF54" s="362" t="e">
        <f t="shared" si="144"/>
        <v>#DIV/0!</v>
      </c>
      <c r="BG54" s="362" t="e">
        <f t="shared" si="144"/>
        <v>#DIV/0!</v>
      </c>
      <c r="BH54" s="362" t="e">
        <f t="shared" si="144"/>
        <v>#DIV/0!</v>
      </c>
      <c r="BI54" s="362">
        <f t="shared" si="144"/>
        <v>13415.410759165819</v>
      </c>
      <c r="BJ54" s="362"/>
      <c r="BK54" s="362"/>
      <c r="BL54" s="362"/>
      <c r="BM54" s="362"/>
      <c r="BN54" s="362"/>
      <c r="BO54" s="362"/>
      <c r="BP54" s="363">
        <f>BP55/BP53*10000</f>
        <v>12976.346660458246</v>
      </c>
    </row>
    <row r="55" spans="1:149" ht="12.75" thickBot="1" x14ac:dyDescent="0.2">
      <c r="A55" s="376"/>
      <c r="B55" s="377"/>
      <c r="C55" s="380" t="s">
        <v>1432</v>
      </c>
      <c r="D55" s="380"/>
      <c r="E55" s="364">
        <f t="shared" ref="E55:H55" si="145">E15+E27+E39+E43+E47+E51</f>
        <v>0</v>
      </c>
      <c r="F55" s="364">
        <f t="shared" si="145"/>
        <v>0</v>
      </c>
      <c r="G55" s="364">
        <f t="shared" si="145"/>
        <v>0</v>
      </c>
      <c r="H55" s="364">
        <f t="shared" si="145"/>
        <v>0</v>
      </c>
      <c r="I55" s="364">
        <f>SUM(E55:H55)</f>
        <v>0</v>
      </c>
      <c r="J55" s="364">
        <f t="shared" si="140"/>
        <v>0</v>
      </c>
      <c r="K55" s="364">
        <f t="shared" si="140"/>
        <v>0</v>
      </c>
      <c r="L55" s="364">
        <f t="shared" si="140"/>
        <v>0</v>
      </c>
      <c r="M55" s="364">
        <f t="shared" si="140"/>
        <v>0</v>
      </c>
      <c r="N55" s="364">
        <f t="shared" si="140"/>
        <v>0</v>
      </c>
      <c r="O55" s="364">
        <f t="shared" si="140"/>
        <v>0</v>
      </c>
      <c r="P55" s="364">
        <f t="shared" si="140"/>
        <v>8996.4759000000013</v>
      </c>
      <c r="Q55" s="364">
        <f t="shared" si="140"/>
        <v>2825.8236500000003</v>
      </c>
      <c r="R55" s="364">
        <f t="shared" si="140"/>
        <v>4287.3696999999993</v>
      </c>
      <c r="S55" s="364">
        <f t="shared" si="140"/>
        <v>4934.2268000000004</v>
      </c>
      <c r="T55" s="364">
        <f t="shared" si="140"/>
        <v>1677.19425</v>
      </c>
      <c r="U55" s="364">
        <f t="shared" si="140"/>
        <v>1671.2338500000001</v>
      </c>
      <c r="V55" s="365">
        <f>SUM(J55:U55)</f>
        <v>24392.324150000004</v>
      </c>
      <c r="W55" s="364">
        <f t="shared" si="141"/>
        <v>2845.5143500000004</v>
      </c>
      <c r="X55" s="364">
        <f t="shared" si="141"/>
        <v>1572.4103</v>
      </c>
      <c r="Y55" s="364">
        <f t="shared" si="141"/>
        <v>2888.8811500000002</v>
      </c>
      <c r="Z55" s="364">
        <f t="shared" si="141"/>
        <v>2888.8811500000002</v>
      </c>
      <c r="AA55" s="364">
        <f t="shared" si="141"/>
        <v>3981.0913</v>
      </c>
      <c r="AB55" s="364">
        <f t="shared" si="141"/>
        <v>3899.2125999999998</v>
      </c>
      <c r="AC55" s="364">
        <f t="shared" si="141"/>
        <v>4057.9503999999997</v>
      </c>
      <c r="AD55" s="364">
        <f t="shared" si="141"/>
        <v>4071.4503999999997</v>
      </c>
      <c r="AE55" s="364">
        <f t="shared" si="141"/>
        <v>3814.5318500000003</v>
      </c>
      <c r="AF55" s="364">
        <f t="shared" si="141"/>
        <v>3757.3791500000002</v>
      </c>
      <c r="AG55" s="364">
        <f t="shared" si="141"/>
        <v>3595.9218000000001</v>
      </c>
      <c r="AH55" s="364">
        <f t="shared" si="141"/>
        <v>3074.3358500000004</v>
      </c>
      <c r="AI55" s="364">
        <f>SUM(W55:AH55)</f>
        <v>40447.560300000012</v>
      </c>
      <c r="AJ55" s="364">
        <f t="shared" si="142"/>
        <v>3217.8618000000001</v>
      </c>
      <c r="AK55" s="364">
        <f t="shared" si="142"/>
        <v>2773.7105000000001</v>
      </c>
      <c r="AL55" s="364">
        <f t="shared" si="142"/>
        <v>3217.8618000000001</v>
      </c>
      <c r="AM55" s="364">
        <f t="shared" si="142"/>
        <v>2778.0125500000004</v>
      </c>
      <c r="AN55" s="364">
        <f t="shared" si="142"/>
        <v>7072.7694499999998</v>
      </c>
      <c r="AO55" s="364">
        <f t="shared" si="142"/>
        <v>3443.7481500000004</v>
      </c>
      <c r="AP55" s="364">
        <f t="shared" si="142"/>
        <v>3713.9614500000002</v>
      </c>
      <c r="AQ55" s="364">
        <f t="shared" si="142"/>
        <v>2971.53595</v>
      </c>
      <c r="AR55" s="364">
        <f t="shared" si="142"/>
        <v>6795.9838500000005</v>
      </c>
      <c r="AS55" s="364">
        <f t="shared" si="142"/>
        <v>3469.3362499999998</v>
      </c>
      <c r="AT55" s="364">
        <f t="shared" si="142"/>
        <v>2635.0758500000002</v>
      </c>
      <c r="AU55" s="364">
        <f t="shared" si="142"/>
        <v>2820.4038499999997</v>
      </c>
      <c r="AV55" s="364">
        <f>SUM(AJ55:AU55)</f>
        <v>44910.261450000005</v>
      </c>
      <c r="AW55" s="364">
        <f t="shared" si="143"/>
        <v>2422.2328500000003</v>
      </c>
      <c r="AX55" s="364">
        <f t="shared" si="143"/>
        <v>1945.3641500000001</v>
      </c>
      <c r="AY55" s="364">
        <f t="shared" si="143"/>
        <v>2202.6761500000002</v>
      </c>
      <c r="AZ55" s="364">
        <f t="shared" si="143"/>
        <v>2033.05945</v>
      </c>
      <c r="BA55" s="364">
        <f t="shared" si="143"/>
        <v>2478.5594499999997</v>
      </c>
      <c r="BB55" s="364">
        <f t="shared" si="143"/>
        <v>1205.4095499999999</v>
      </c>
      <c r="BC55" s="364">
        <f t="shared" si="143"/>
        <v>848.86374999999998</v>
      </c>
      <c r="BD55" s="364">
        <f t="shared" si="143"/>
        <v>848.86374999999998</v>
      </c>
      <c r="BE55" s="364">
        <f t="shared" si="143"/>
        <v>0</v>
      </c>
      <c r="BF55" s="364">
        <f t="shared" si="143"/>
        <v>0</v>
      </c>
      <c r="BG55" s="364">
        <f t="shared" si="143"/>
        <v>0</v>
      </c>
      <c r="BH55" s="364">
        <f t="shared" si="143"/>
        <v>0</v>
      </c>
      <c r="BI55" s="364">
        <f>SUM(AW55:BH55)</f>
        <v>13985.029100000003</v>
      </c>
      <c r="BJ55" s="366"/>
      <c r="BK55" s="366"/>
      <c r="BL55" s="366"/>
      <c r="BM55" s="366"/>
      <c r="BN55" s="366"/>
      <c r="BO55" s="366"/>
      <c r="BP55" s="367">
        <f>I55+V55+AI55+AV55+BI55</f>
        <v>123735.17500000002</v>
      </c>
      <c r="BQ55" s="299"/>
      <c r="BR55" s="299">
        <v>118237.8316</v>
      </c>
      <c r="BS55" s="299"/>
      <c r="BT55" s="299"/>
      <c r="BU55" s="299"/>
      <c r="BV55" s="299"/>
      <c r="BW55" s="299"/>
      <c r="BX55" s="299"/>
      <c r="BY55" s="299"/>
      <c r="BZ55" s="299"/>
      <c r="CA55" s="299"/>
      <c r="CB55" s="299"/>
      <c r="CC55" s="299"/>
      <c r="CD55" s="299"/>
      <c r="CE55" s="299"/>
      <c r="CF55" s="299"/>
      <c r="CG55" s="299"/>
      <c r="CH55" s="299"/>
      <c r="CI55" s="299"/>
      <c r="CJ55" s="299"/>
      <c r="CK55" s="299"/>
      <c r="CL55" s="299"/>
      <c r="CM55" s="299"/>
      <c r="CN55" s="299"/>
      <c r="CO55" s="299"/>
      <c r="CP55" s="299"/>
      <c r="CQ55" s="299"/>
      <c r="CR55" s="299"/>
      <c r="CS55" s="299"/>
      <c r="CT55" s="299"/>
      <c r="CU55" s="299"/>
      <c r="CV55" s="299"/>
      <c r="CW55" s="299"/>
      <c r="CX55" s="299"/>
      <c r="CY55" s="299"/>
      <c r="CZ55" s="299"/>
      <c r="DA55" s="299"/>
      <c r="DB55" s="299"/>
      <c r="DC55" s="299"/>
      <c r="DD55" s="299"/>
      <c r="DE55" s="299"/>
      <c r="DF55" s="299"/>
      <c r="DG55" s="299"/>
      <c r="DH55" s="299"/>
      <c r="DI55" s="299"/>
      <c r="DJ55" s="299"/>
      <c r="DK55" s="299"/>
      <c r="DL55" s="299"/>
      <c r="DM55" s="299"/>
      <c r="DN55" s="299"/>
      <c r="DO55" s="299"/>
      <c r="DP55" s="299"/>
      <c r="DQ55" s="299"/>
      <c r="DR55" s="299"/>
      <c r="DS55" s="299"/>
      <c r="DT55" s="299"/>
      <c r="DU55" s="299"/>
      <c r="DV55" s="299"/>
      <c r="DW55" s="299"/>
      <c r="DX55" s="299"/>
      <c r="DY55" s="299"/>
      <c r="DZ55" s="299"/>
      <c r="EA55" s="299"/>
      <c r="EB55" s="299"/>
      <c r="EC55" s="299"/>
      <c r="ED55" s="299"/>
      <c r="EE55" s="299"/>
      <c r="EF55" s="299"/>
      <c r="EG55" s="299"/>
      <c r="EH55" s="299"/>
      <c r="EI55" s="299"/>
      <c r="EJ55" s="299"/>
      <c r="EK55" s="299"/>
      <c r="EL55" s="299"/>
      <c r="EM55" s="299"/>
      <c r="EN55" s="299"/>
      <c r="EO55" s="299"/>
      <c r="EP55" s="299"/>
      <c r="EQ55" s="299"/>
      <c r="ER55" s="299"/>
      <c r="ES55" s="299"/>
    </row>
  </sheetData>
  <mergeCells count="49">
    <mergeCell ref="BJ1:BO1"/>
    <mergeCell ref="E1:I1"/>
    <mergeCell ref="J1:V1"/>
    <mergeCell ref="W1:AI1"/>
    <mergeCell ref="AJ1:AV1"/>
    <mergeCell ref="AW1:BI1"/>
    <mergeCell ref="A3:D3"/>
    <mergeCell ref="A4:A15"/>
    <mergeCell ref="B4:B7"/>
    <mergeCell ref="C6:D6"/>
    <mergeCell ref="C7:D7"/>
    <mergeCell ref="B8:B11"/>
    <mergeCell ref="C10:D10"/>
    <mergeCell ref="C11:D11"/>
    <mergeCell ref="B12:B15"/>
    <mergeCell ref="C14:D14"/>
    <mergeCell ref="C15:D15"/>
    <mergeCell ref="A16:A27"/>
    <mergeCell ref="B16:B19"/>
    <mergeCell ref="C18:D18"/>
    <mergeCell ref="C19:D19"/>
    <mergeCell ref="B20:B23"/>
    <mergeCell ref="C22:D22"/>
    <mergeCell ref="C23:D23"/>
    <mergeCell ref="B24:B27"/>
    <mergeCell ref="C26:D26"/>
    <mergeCell ref="C27:D27"/>
    <mergeCell ref="A28:A39"/>
    <mergeCell ref="B28:B31"/>
    <mergeCell ref="C30:D30"/>
    <mergeCell ref="C31:D31"/>
    <mergeCell ref="B32:B35"/>
    <mergeCell ref="C34:D34"/>
    <mergeCell ref="C35:D35"/>
    <mergeCell ref="B36:B39"/>
    <mergeCell ref="C38:D38"/>
    <mergeCell ref="C39:D39"/>
    <mergeCell ref="A40:B43"/>
    <mergeCell ref="C42:D42"/>
    <mergeCell ref="C43:D43"/>
    <mergeCell ref="A44:B47"/>
    <mergeCell ref="C46:D46"/>
    <mergeCell ref="C47:D47"/>
    <mergeCell ref="A48:B51"/>
    <mergeCell ref="C50:D50"/>
    <mergeCell ref="C51:D51"/>
    <mergeCell ref="A52:B55"/>
    <mergeCell ref="C54:D54"/>
    <mergeCell ref="C55:D55"/>
  </mergeCells>
  <phoneticPr fontId="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  <outlinePr summaryBelow="0"/>
  </sheetPr>
  <dimension ref="A1:M658"/>
  <sheetViews>
    <sheetView zoomScale="85" zoomScaleNormal="85" workbookViewId="0">
      <pane xSplit="4" ySplit="3" topLeftCell="E502" activePane="bottomRight" state="frozen"/>
      <selection pane="topRight"/>
      <selection pane="bottomLeft"/>
      <selection pane="bottomRight" activeCell="B510" sqref="B510"/>
    </sheetView>
  </sheetViews>
  <sheetFormatPr defaultColWidth="9" defaultRowHeight="12" outlineLevelRow="4" x14ac:dyDescent="0.15"/>
  <cols>
    <col min="1" max="1" width="12.625" style="116" customWidth="1"/>
    <col min="2" max="2" width="30.625" style="116" customWidth="1"/>
    <col min="3" max="3" width="12.625" style="117" customWidth="1"/>
    <col min="4" max="4" width="12" style="263" customWidth="1"/>
    <col min="5" max="5" width="16.625" style="263" customWidth="1"/>
    <col min="6" max="6" width="14.625" style="263" customWidth="1"/>
    <col min="7" max="7" width="16.125" style="263" customWidth="1"/>
    <col min="8" max="8" width="14.125" style="263" customWidth="1"/>
    <col min="9" max="9" width="16.5" style="263" customWidth="1"/>
    <col min="10" max="10" width="9.5" style="119" customWidth="1"/>
    <col min="11" max="11" width="18.375" style="117" customWidth="1"/>
    <col min="12" max="12" width="15.625" style="116" customWidth="1"/>
    <col min="13" max="16384" width="9" style="116"/>
  </cols>
  <sheetData>
    <row r="1" spans="1:11" s="115" customFormat="1" ht="25.5" x14ac:dyDescent="0.15">
      <c r="A1" s="407" t="s">
        <v>940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</row>
    <row r="2" spans="1:11" x14ac:dyDescent="0.15">
      <c r="D2" s="408"/>
      <c r="E2" s="408"/>
      <c r="F2" s="408"/>
      <c r="G2" s="408"/>
      <c r="H2" s="118" t="s">
        <v>941</v>
      </c>
      <c r="I2" s="118"/>
      <c r="J2" s="119" t="s">
        <v>942</v>
      </c>
      <c r="K2" s="120">
        <v>116363.22</v>
      </c>
    </row>
    <row r="3" spans="1:11" ht="22.5" x14ac:dyDescent="0.15">
      <c r="A3" s="121" t="s">
        <v>943</v>
      </c>
      <c r="B3" s="122" t="s">
        <v>944</v>
      </c>
      <c r="C3" s="123" t="s">
        <v>945</v>
      </c>
      <c r="D3" s="124" t="s">
        <v>946</v>
      </c>
      <c r="E3" s="125" t="s">
        <v>947</v>
      </c>
      <c r="F3" s="126" t="s">
        <v>948</v>
      </c>
      <c r="G3" s="127" t="s">
        <v>949</v>
      </c>
      <c r="H3" s="128" t="s">
        <v>950</v>
      </c>
      <c r="I3" s="129" t="s">
        <v>951</v>
      </c>
      <c r="J3" s="127" t="s">
        <v>952</v>
      </c>
      <c r="K3" s="130" t="s">
        <v>953</v>
      </c>
    </row>
    <row r="4" spans="1:11" s="137" customFormat="1" ht="12.75" x14ac:dyDescent="0.15">
      <c r="A4" s="131"/>
      <c r="B4" s="132" t="s">
        <v>954</v>
      </c>
      <c r="C4" s="133" t="s">
        <v>955</v>
      </c>
      <c r="D4" s="134">
        <f t="shared" ref="D4:H4" si="0">D5+D9+D13+D16+D19+D22+D25</f>
        <v>3604.2576253905663</v>
      </c>
      <c r="E4" s="134">
        <f t="shared" si="0"/>
        <v>41940.302300000003</v>
      </c>
      <c r="F4" s="134">
        <f t="shared" si="0"/>
        <v>419667097.56999999</v>
      </c>
      <c r="G4" s="134" t="e">
        <f t="shared" si="0"/>
        <v>#VALUE!</v>
      </c>
      <c r="H4" s="134">
        <f t="shared" si="0"/>
        <v>421131497.56999999</v>
      </c>
      <c r="I4" s="135">
        <f>F4-E4*10000</f>
        <v>264074.56999993324</v>
      </c>
      <c r="J4" s="134" t="e">
        <f>G4-D4</f>
        <v>#VALUE!</v>
      </c>
      <c r="K4" s="136"/>
    </row>
    <row r="5" spans="1:11" s="144" customFormat="1" ht="12.75" outlineLevel="1" x14ac:dyDescent="0.15">
      <c r="A5" s="138"/>
      <c r="B5" s="139" t="s">
        <v>956</v>
      </c>
      <c r="C5" s="140" t="s">
        <v>957</v>
      </c>
      <c r="D5" s="141">
        <f>E5/K2*10000</f>
        <v>3146.1831324365207</v>
      </c>
      <c r="E5" s="141">
        <v>36610</v>
      </c>
      <c r="F5" s="141">
        <f t="shared" ref="F5:H5" si="1">SUM(F6:F8)</f>
        <v>366100000</v>
      </c>
      <c r="G5" s="141">
        <f t="shared" si="1"/>
        <v>3146.1831324365207</v>
      </c>
      <c r="H5" s="141">
        <f t="shared" si="1"/>
        <v>366100000</v>
      </c>
      <c r="I5" s="142">
        <f>F5-E5*10000</f>
        <v>0</v>
      </c>
      <c r="J5" s="143">
        <f>G5-D5</f>
        <v>0</v>
      </c>
      <c r="K5" s="136"/>
    </row>
    <row r="6" spans="1:11" s="154" customFormat="1" ht="12.75" outlineLevel="2" x14ac:dyDescent="0.15">
      <c r="A6" s="145" t="s">
        <v>958</v>
      </c>
      <c r="B6" s="146" t="str">
        <f>IF(A6&lt;&gt;0,VLOOKUP(A6,[1]合同台帐!$A$4:$D$893,4,1),"")</f>
        <v>天津市国有建设用地使用权出让合同</v>
      </c>
      <c r="C6" s="147"/>
      <c r="D6" s="148"/>
      <c r="E6" s="149"/>
      <c r="F6" s="150">
        <f>IF(A6&lt;&gt;0,VLOOKUP(A6,[1]合同台帐!$A$4:$J$893,6,1),"")</f>
        <v>366100000</v>
      </c>
      <c r="G6" s="151">
        <f>F6/K2</f>
        <v>3146.1831324365207</v>
      </c>
      <c r="H6" s="149">
        <f>IF(A6&lt;&gt;0,IF($H$2="元",VLOOKUP(A6,[1]合同台帐!$A$4:$K$1093,11,1),VLOOKUP(A6,[1]合同台帐!$A$4:$K$1093,11,1)),0)</f>
        <v>366100000</v>
      </c>
      <c r="I6" s="150"/>
      <c r="J6" s="152"/>
      <c r="K6" s="153"/>
    </row>
    <row r="7" spans="1:11" s="144" customFormat="1" ht="12.75" outlineLevel="2" x14ac:dyDescent="0.15">
      <c r="A7" s="155"/>
      <c r="B7" s="156"/>
      <c r="C7" s="157"/>
      <c r="D7" s="158"/>
      <c r="E7" s="159"/>
      <c r="F7" s="160"/>
      <c r="G7" s="161"/>
      <c r="H7" s="149">
        <f>IF(A7&lt;&gt;0,IF($H$2="元",VLOOKUP(A7,[1]合同台帐!$A$4:$K$1093,11,1),VLOOKUP(A7,[1]合同台帐!$A$4:$K$1093,11,1)),0)</f>
        <v>0</v>
      </c>
      <c r="I7" s="160"/>
      <c r="J7" s="162"/>
      <c r="K7" s="136"/>
    </row>
    <row r="8" spans="1:11" s="144" customFormat="1" ht="12.75" outlineLevel="2" x14ac:dyDescent="0.15">
      <c r="A8" s="155"/>
      <c r="B8" s="156"/>
      <c r="C8" s="157"/>
      <c r="D8" s="158"/>
      <c r="E8" s="159"/>
      <c r="F8" s="160"/>
      <c r="G8" s="161"/>
      <c r="H8" s="149">
        <f>IF(A8&lt;&gt;0,IF($H$2="元",VLOOKUP(A8,[1]合同台帐!$A$4:$K$1093,11,1),VLOOKUP(A8,[1]合同台帐!$A$4:$K$1093,11,1)),0)</f>
        <v>0</v>
      </c>
      <c r="I8" s="160"/>
      <c r="J8" s="162"/>
      <c r="K8" s="136"/>
    </row>
    <row r="9" spans="1:11" s="144" customFormat="1" ht="12.75" outlineLevel="1" x14ac:dyDescent="0.15">
      <c r="A9" s="138"/>
      <c r="B9" s="139" t="s">
        <v>959</v>
      </c>
      <c r="C9" s="140" t="s">
        <v>960</v>
      </c>
      <c r="D9" s="163">
        <f>E9/K$2*10000</f>
        <v>208.2450279392406</v>
      </c>
      <c r="E9" s="164">
        <v>2423.2062000000001</v>
      </c>
      <c r="F9" s="165">
        <f>SUM(F10:F12)</f>
        <v>24392833.399999999</v>
      </c>
      <c r="G9" s="165" t="e">
        <f t="shared" ref="G9:J9" si="2">SUM(G10:G12)</f>
        <v>#VALUE!</v>
      </c>
      <c r="H9" s="165">
        <f t="shared" si="2"/>
        <v>24392833.399999999</v>
      </c>
      <c r="I9" s="165">
        <f t="shared" si="2"/>
        <v>0</v>
      </c>
      <c r="J9" s="165">
        <f t="shared" si="2"/>
        <v>0</v>
      </c>
      <c r="K9" s="136"/>
    </row>
    <row r="10" spans="1:11" s="154" customFormat="1" ht="12.75" outlineLevel="2" x14ac:dyDescent="0.15">
      <c r="A10" s="166" t="s">
        <v>961</v>
      </c>
      <c r="B10" s="146" t="str">
        <f>IF(A10&lt;&gt;0,VLOOKUP(A10,[1]合同台帐!$A$4:$D$893,4,1),"")</f>
        <v>大配套费（一期）</v>
      </c>
      <c r="C10" s="147"/>
      <c r="D10" s="150"/>
      <c r="E10" s="150"/>
      <c r="F10" s="150">
        <f>IF(A10&lt;&gt;0,VLOOKUP(A10,[1]合同台帐!$A$4:$J$893,6,1),"")</f>
        <v>12515936.4</v>
      </c>
      <c r="G10" s="151">
        <f>F10/K2</f>
        <v>107.55921329781009</v>
      </c>
      <c r="H10" s="149">
        <f>IF(A10&lt;&gt;0,IF($H$2="元",VLOOKUP(A10,[1]合同台帐!$A$4:$K$1093,11,1),VLOOKUP(A10,[1]合同台帐!$A$4:$K$1093,11,1)),0)</f>
        <v>12515936.4</v>
      </c>
      <c r="I10" s="150" t="str">
        <f>IF(D10&lt;&gt;0,VLOOKUP(D10,[1]合同台帐!$A$4:$J$893,6,1),"")</f>
        <v/>
      </c>
      <c r="J10" s="150" t="str">
        <f>IF(E10&lt;&gt;0,VLOOKUP(E10,[1]合同台帐!$A$4:$J$893,6,1),"")</f>
        <v/>
      </c>
      <c r="K10" s="153"/>
    </row>
    <row r="11" spans="1:11" s="154" customFormat="1" ht="12.75" outlineLevel="2" x14ac:dyDescent="0.15">
      <c r="A11" s="167" t="s">
        <v>962</v>
      </c>
      <c r="B11" s="146" t="str">
        <f>IF(A11&lt;&gt;0,VLOOKUP(A11,[1]合同台帐!$A$4:$D$893,4,1),"")</f>
        <v>（二、三期）大配套费</v>
      </c>
      <c r="C11" s="147"/>
      <c r="D11" s="150"/>
      <c r="E11" s="150"/>
      <c r="F11" s="150">
        <f>IF(A11&lt;&gt;0,VLOOKUP(A11,[1]合同台帐!$A$4:$J$893,6,1),"")</f>
        <v>11876897</v>
      </c>
      <c r="G11" s="151" t="e">
        <f>F11/K3</f>
        <v>#VALUE!</v>
      </c>
      <c r="H11" s="149">
        <f>IF(A11&lt;&gt;0,IF($H$2="元",VLOOKUP(A11,[1]合同台帐!$A$4:$K$1093,11,1),VLOOKUP(A11,[1]合同台帐!$A$4:$K$1093,11,1)),0)</f>
        <v>11876897</v>
      </c>
      <c r="I11" s="150" t="str">
        <f>IF(D11&lt;&gt;0,VLOOKUP(D11,[1]合同台帐!$A$4:$J$893,6,1),"")</f>
        <v/>
      </c>
      <c r="J11" s="150" t="str">
        <f>IF(E11&lt;&gt;0,VLOOKUP(E11,[1]合同台帐!$A$4:$J$893,6,1),"")</f>
        <v/>
      </c>
      <c r="K11" s="153"/>
    </row>
    <row r="12" spans="1:11" s="144" customFormat="1" ht="12.75" outlineLevel="2" x14ac:dyDescent="0.15">
      <c r="A12" s="155"/>
      <c r="B12" s="156"/>
      <c r="C12" s="157"/>
      <c r="D12" s="158"/>
      <c r="E12" s="159"/>
      <c r="F12" s="160"/>
      <c r="G12" s="161"/>
      <c r="H12" s="149">
        <f>IF(A12&lt;&gt;0,IF($H$2="元",VLOOKUP(A12,[1]合同台帐!$A$4:$K$1093,11,1),VLOOKUP(A12,[1]合同台帐!$A$4:$K$1093,11,1)),0)</f>
        <v>0</v>
      </c>
      <c r="I12" s="168"/>
      <c r="J12" s="162"/>
      <c r="K12" s="136"/>
    </row>
    <row r="13" spans="1:11" s="144" customFormat="1" ht="12.75" outlineLevel="1" x14ac:dyDescent="0.15">
      <c r="A13" s="138"/>
      <c r="B13" s="139" t="s">
        <v>963</v>
      </c>
      <c r="C13" s="140" t="s">
        <v>964</v>
      </c>
      <c r="D13" s="163">
        <f>E13/K$2*10000</f>
        <v>100.28019162756067</v>
      </c>
      <c r="E13" s="164">
        <v>1166.8925999999999</v>
      </c>
      <c r="F13" s="165">
        <f>SUM(F14:F15)</f>
        <v>11967564.17</v>
      </c>
      <c r="G13" s="165">
        <f t="shared" ref="G13:H13" si="3">SUM(G14:G15)</f>
        <v>102.84662258400893</v>
      </c>
      <c r="H13" s="165">
        <f t="shared" si="3"/>
        <v>11967564.17</v>
      </c>
      <c r="I13" s="142">
        <f>F13-E13*10000</f>
        <v>298638.17000000179</v>
      </c>
      <c r="J13" s="143">
        <f>G13-D13</f>
        <v>2.5664309564482579</v>
      </c>
      <c r="K13" s="136"/>
    </row>
    <row r="14" spans="1:11" s="154" customFormat="1" ht="12.75" outlineLevel="2" x14ac:dyDescent="0.15">
      <c r="A14" s="166" t="s">
        <v>965</v>
      </c>
      <c r="B14" s="146" t="str">
        <f>IF(A14&lt;&gt;0,VLOOKUP(A14,[1]合同台帐!$A$4:$D$893,4,1),"")</f>
        <v>土地契税</v>
      </c>
      <c r="C14" s="147"/>
      <c r="D14" s="150"/>
      <c r="E14" s="150"/>
      <c r="F14" s="150">
        <f>IF(A14&lt;&gt;0,VLOOKUP(A14,[1]合同台帐!$A$4:$J$893,6,1),"")</f>
        <v>11967564.17</v>
      </c>
      <c r="G14" s="151">
        <f>F14/K2</f>
        <v>102.84662258400893</v>
      </c>
      <c r="H14" s="149">
        <f>IF(A14&lt;&gt;0,IF($H$2="元",VLOOKUP(A14,[1]合同台帐!$A$4:$K$1093,11,1),VLOOKUP(A14,[1]合同台帐!$A$4:$K$1093,11,1)),0)</f>
        <v>11967564.17</v>
      </c>
      <c r="I14" s="150" t="str">
        <f>IF(D14&lt;&gt;0,VLOOKUP(D14,[1]合同台帐!$A$4:$J$893,6,1),"")</f>
        <v/>
      </c>
      <c r="J14" s="150" t="str">
        <f>IF(E14&lt;&gt;0,VLOOKUP(E14,[1]合同台帐!$A$4:$J$893,6,1),"")</f>
        <v/>
      </c>
      <c r="K14" s="153"/>
    </row>
    <row r="15" spans="1:11" s="144" customFormat="1" ht="12.75" outlineLevel="2" x14ac:dyDescent="0.15">
      <c r="A15" s="169"/>
      <c r="B15" s="170"/>
      <c r="C15" s="171"/>
      <c r="D15" s="158"/>
      <c r="E15" s="159"/>
      <c r="F15" s="160"/>
      <c r="G15" s="161"/>
      <c r="H15" s="149">
        <f>IF(A15&lt;&gt;0,IF($H$2="元",VLOOKUP(A15,[1]合同台帐!$A$4:$K$1093,11,1),VLOOKUP(A15,[1]合同台帐!$A$4:$K$1093,11,1)),0)</f>
        <v>0</v>
      </c>
      <c r="I15" s="168"/>
      <c r="J15" s="162"/>
      <c r="K15" s="136"/>
    </row>
    <row r="16" spans="1:11" s="144" customFormat="1" ht="12.75" outlineLevel="1" x14ac:dyDescent="0.15">
      <c r="A16" s="138"/>
      <c r="B16" s="139" t="s">
        <v>966</v>
      </c>
      <c r="C16" s="140" t="s">
        <v>967</v>
      </c>
      <c r="D16" s="163">
        <f>E16/K$2*10000</f>
        <v>15.732368011129291</v>
      </c>
      <c r="E16" s="164">
        <v>183.0669</v>
      </c>
      <c r="F16" s="165">
        <f>SUM(F17:F18)</f>
        <v>1830500</v>
      </c>
      <c r="G16" s="165">
        <f t="shared" ref="G16:J16" si="4">SUM(G17:G23)</f>
        <v>28.315648191928688</v>
      </c>
      <c r="H16" s="165">
        <f t="shared" si="4"/>
        <v>3294900</v>
      </c>
      <c r="I16" s="165">
        <f t="shared" si="4"/>
        <v>0</v>
      </c>
      <c r="J16" s="165">
        <f t="shared" si="4"/>
        <v>0</v>
      </c>
      <c r="K16" s="136"/>
    </row>
    <row r="17" spans="1:12" s="154" customFormat="1" ht="15.75" customHeight="1" outlineLevel="2" x14ac:dyDescent="0.15">
      <c r="A17" s="166" t="s">
        <v>968</v>
      </c>
      <c r="B17" s="146" t="str">
        <f>IF(A17&lt;&gt;0,VLOOKUP(A17,[1]合同台帐!$A$4:$D$893,4,1),"")</f>
        <v>代理代办费（蓟县国土收取）</v>
      </c>
      <c r="C17" s="147"/>
      <c r="D17" s="148"/>
      <c r="E17" s="149"/>
      <c r="F17" s="150">
        <f>IF(A17&lt;&gt;0,VLOOKUP(A17,[1]合同台帐!$A$4:$J$893,6,1),"")</f>
        <v>366100</v>
      </c>
      <c r="G17" s="151">
        <f>F17/K2</f>
        <v>3.1461831324365206</v>
      </c>
      <c r="H17" s="149">
        <f>IF(A17&lt;&gt;0,IF($H$2="元",VLOOKUP(A17,[1]合同台帐!$A$4:$K$1093,11,1),VLOOKUP(A17,[1]合同台帐!$A$4:$K$1093,11,1)),0)</f>
        <v>366100</v>
      </c>
      <c r="I17" s="150"/>
      <c r="J17" s="152"/>
      <c r="K17" s="153"/>
    </row>
    <row r="18" spans="1:12" s="154" customFormat="1" ht="12.75" outlineLevel="2" x14ac:dyDescent="0.15">
      <c r="A18" s="166" t="s">
        <v>969</v>
      </c>
      <c r="B18" s="146" t="str">
        <f>IF(A18&lt;&gt;0,VLOOKUP(A18,[1]合同台帐!$A$4:$D$893,4,1),"")</f>
        <v>土地交易代理代办费</v>
      </c>
      <c r="C18" s="147"/>
      <c r="D18" s="148"/>
      <c r="E18" s="149"/>
      <c r="F18" s="150">
        <f>IF(A18&lt;&gt;0,VLOOKUP(A18,[1]合同台帐!$A$4:$J$893,6,1),"")</f>
        <v>1464400</v>
      </c>
      <c r="G18" s="151">
        <f>F18/K2</f>
        <v>12.584732529746082</v>
      </c>
      <c r="H18" s="149">
        <f>IF(A18&lt;&gt;0,IF($H$2="元",VLOOKUP(A18,[1]合同台帐!$A$4:$K$1093,11,1),VLOOKUP(A18,[1]合同台帐!$A$4:$K$1093,11,1)),0)</f>
        <v>1464400</v>
      </c>
      <c r="I18" s="150"/>
      <c r="J18" s="152"/>
      <c r="K18" s="153"/>
    </row>
    <row r="19" spans="1:12" s="144" customFormat="1" ht="12.75" outlineLevel="1" x14ac:dyDescent="0.15">
      <c r="A19" s="138"/>
      <c r="B19" s="139" t="s">
        <v>970</v>
      </c>
      <c r="C19" s="140" t="s">
        <v>971</v>
      </c>
      <c r="D19" s="163">
        <f>E19/K$2*10000</f>
        <v>1.6772138137806774</v>
      </c>
      <c r="E19" s="164">
        <v>19.5166</v>
      </c>
      <c r="F19" s="165">
        <f>SUM(F20:F21)</f>
        <v>0</v>
      </c>
      <c r="G19" s="165">
        <f t="shared" ref="G19:J19" si="5">SUM(G20:G21)</f>
        <v>0</v>
      </c>
      <c r="H19" s="165">
        <f t="shared" si="5"/>
        <v>0</v>
      </c>
      <c r="I19" s="165">
        <f t="shared" si="5"/>
        <v>0</v>
      </c>
      <c r="J19" s="165">
        <f t="shared" si="5"/>
        <v>0</v>
      </c>
      <c r="K19" s="136"/>
    </row>
    <row r="20" spans="1:12" s="144" customFormat="1" ht="12.75" outlineLevel="2" x14ac:dyDescent="0.15">
      <c r="A20" s="169"/>
      <c r="B20" s="170"/>
      <c r="C20" s="157"/>
      <c r="D20" s="158"/>
      <c r="E20" s="159"/>
      <c r="F20" s="160"/>
      <c r="G20" s="161"/>
      <c r="H20" s="149">
        <f>IF(A20&lt;&gt;0,IF($H$2="元",VLOOKUP(A20,[1]合同台帐!$A$4:$K$1093,11,1),VLOOKUP(A20,[1]合同台帐!$A$4:$K$1093,11,1)),0)</f>
        <v>0</v>
      </c>
      <c r="I20" s="172"/>
      <c r="J20" s="162"/>
      <c r="K20" s="136"/>
    </row>
    <row r="21" spans="1:12" s="144" customFormat="1" ht="12.75" outlineLevel="2" x14ac:dyDescent="0.15">
      <c r="A21" s="169"/>
      <c r="B21" s="170"/>
      <c r="C21" s="157"/>
      <c r="D21" s="158"/>
      <c r="E21" s="159"/>
      <c r="F21" s="160"/>
      <c r="G21" s="161"/>
      <c r="H21" s="149">
        <f>IF(A21&lt;&gt;0,IF($H$2="元",VLOOKUP(A21,[1]合同台帐!$A$4:$K$1093,11,1),VLOOKUP(A21,[1]合同台帐!$A$4:$K$1093,11,1)),0)</f>
        <v>0</v>
      </c>
      <c r="I21" s="172"/>
      <c r="J21" s="162"/>
      <c r="K21" s="136"/>
    </row>
    <row r="22" spans="1:12" s="144" customFormat="1" ht="12.75" outlineLevel="1" x14ac:dyDescent="0.15">
      <c r="A22" s="138"/>
      <c r="B22" s="139" t="s">
        <v>972</v>
      </c>
      <c r="C22" s="140" t="s">
        <v>971</v>
      </c>
      <c r="D22" s="163">
        <f>E22/K$2*10000</f>
        <v>6.2923662648730412</v>
      </c>
      <c r="E22" s="164">
        <v>73.22</v>
      </c>
      <c r="F22" s="165">
        <f>SUM(F23:F24)</f>
        <v>732200</v>
      </c>
      <c r="G22" s="165">
        <f t="shared" ref="G22:H22" si="6">SUM(G23:G24)</f>
        <v>6.2923662648730412</v>
      </c>
      <c r="H22" s="165">
        <f t="shared" si="6"/>
        <v>732200</v>
      </c>
      <c r="I22" s="142">
        <f>F22-E22*10000</f>
        <v>0</v>
      </c>
      <c r="J22" s="143">
        <f>G22-D22</f>
        <v>0</v>
      </c>
      <c r="K22" s="136"/>
    </row>
    <row r="23" spans="1:12" s="154" customFormat="1" ht="12.75" outlineLevel="2" x14ac:dyDescent="0.15">
      <c r="A23" s="166" t="s">
        <v>973</v>
      </c>
      <c r="B23" s="146" t="str">
        <f>IF(A23&lt;&gt;0,VLOOKUP(A23,[1]合同台帐!$A$4:$D$893,4,1),"")</f>
        <v>土地交易手续费</v>
      </c>
      <c r="C23" s="147"/>
      <c r="D23" s="148"/>
      <c r="E23" s="149"/>
      <c r="F23" s="150">
        <f>IF(A23&lt;&gt;0,VLOOKUP(A23,[1]合同台帐!$A$4:$J$893,6,1),"")</f>
        <v>732200</v>
      </c>
      <c r="G23" s="151">
        <f>F23/K2</f>
        <v>6.2923662648730412</v>
      </c>
      <c r="H23" s="149">
        <f>IF(A23&lt;&gt;0,IF($H$2="元",VLOOKUP(A23,[1]合同台帐!$A$4:$K$1093,11,1),VLOOKUP(A23,[1]合同台帐!$A$4:$K$1093,11,1)),0)</f>
        <v>732200</v>
      </c>
      <c r="I23" s="150"/>
      <c r="J23" s="152"/>
      <c r="K23" s="153"/>
    </row>
    <row r="24" spans="1:12" s="144" customFormat="1" ht="12.75" outlineLevel="2" x14ac:dyDescent="0.15">
      <c r="A24" s="169"/>
      <c r="B24" s="170"/>
      <c r="C24" s="157"/>
      <c r="D24" s="158"/>
      <c r="E24" s="159"/>
      <c r="F24" s="160"/>
      <c r="G24" s="161"/>
      <c r="H24" s="149">
        <f>IF(A24&lt;&gt;0,IF($H$2="元",VLOOKUP(A24,[1]合同台帐!$A$4:$K$1093,11,1),VLOOKUP(A24,[1]合同台帐!$A$4:$K$1093,11,1)),0)</f>
        <v>0</v>
      </c>
      <c r="I24" s="172"/>
      <c r="J24" s="162"/>
      <c r="K24" s="136"/>
    </row>
    <row r="25" spans="1:12" s="144" customFormat="1" ht="12.75" outlineLevel="1" x14ac:dyDescent="0.15">
      <c r="A25" s="138"/>
      <c r="B25" s="139" t="s">
        <v>974</v>
      </c>
      <c r="C25" s="140" t="s">
        <v>971</v>
      </c>
      <c r="D25" s="163">
        <f>E25/K$2*10000</f>
        <v>125.84732529746083</v>
      </c>
      <c r="E25" s="164">
        <v>1464.4</v>
      </c>
      <c r="F25" s="165">
        <f>SUM(F26:F27)</f>
        <v>14644000</v>
      </c>
      <c r="G25" s="165">
        <f t="shared" ref="G25:H25" si="7">SUM(G26:G27)</f>
        <v>125.84732529746083</v>
      </c>
      <c r="H25" s="165">
        <f t="shared" si="7"/>
        <v>14644000</v>
      </c>
      <c r="I25" s="142">
        <f>F25-E25*10000</f>
        <v>0</v>
      </c>
      <c r="J25" s="143">
        <f>G25-D25</f>
        <v>0</v>
      </c>
      <c r="K25" s="136"/>
    </row>
    <row r="26" spans="1:12" s="154" customFormat="1" ht="12.75" outlineLevel="2" x14ac:dyDescent="0.15">
      <c r="A26" s="166" t="s">
        <v>975</v>
      </c>
      <c r="B26" s="146" t="str">
        <f>IF(A26&lt;&gt;0,VLOOKUP(A26,[1]合同台帐!$A$4:$D$893,4,1),"")</f>
        <v>土地拍卖佣金（蓟县063号）</v>
      </c>
      <c r="C26" s="147"/>
      <c r="D26" s="148"/>
      <c r="E26" s="149"/>
      <c r="F26" s="150">
        <f>IF(A26&lt;&gt;0,VLOOKUP(A26,[1]合同台帐!$A$4:$J$893,6,1),"")</f>
        <v>14644000</v>
      </c>
      <c r="G26" s="151">
        <f>F26/K2</f>
        <v>125.84732529746083</v>
      </c>
      <c r="H26" s="149">
        <f>IF(A26&lt;&gt;0,IF($H$2="元",VLOOKUP(A26,[1]合同台帐!$A$4:$K$1093,11,1),VLOOKUP(A26,[1]合同台帐!$A$4:$K$1093,11,1)),0)</f>
        <v>14644000</v>
      </c>
      <c r="I26" s="150"/>
      <c r="J26" s="152"/>
      <c r="K26" s="153"/>
    </row>
    <row r="27" spans="1:12" s="144" customFormat="1" ht="13.5" customHeight="1" outlineLevel="2" x14ac:dyDescent="0.15">
      <c r="A27" s="169"/>
      <c r="B27" s="170"/>
      <c r="C27" s="171"/>
      <c r="D27" s="158"/>
      <c r="E27" s="159"/>
      <c r="F27" s="160"/>
      <c r="G27" s="161"/>
      <c r="H27" s="149">
        <f>IF(A27&lt;&gt;0,IF($H$2="元",VLOOKUP(A27,[1]合同台帐!$A$4:$K$1093,11,1),VLOOKUP(A27,[1]合同台帐!$A$4:$K$1093,11,1)),0)</f>
        <v>0</v>
      </c>
      <c r="I27" s="168"/>
      <c r="J27" s="162"/>
      <c r="K27" s="136"/>
    </row>
    <row r="28" spans="1:12" s="137" customFormat="1" ht="12.75" x14ac:dyDescent="0.15">
      <c r="A28" s="131"/>
      <c r="B28" s="132" t="s">
        <v>976</v>
      </c>
      <c r="C28" s="133" t="s">
        <v>977</v>
      </c>
      <c r="D28" s="173">
        <f t="shared" ref="D28:H28" si="8">D29+D45+D75+D108+D133+D147+D168+D187+D218</f>
        <v>226.0688729651861</v>
      </c>
      <c r="E28" s="173">
        <f t="shared" si="8"/>
        <v>2630.6102000000005</v>
      </c>
      <c r="F28" s="173">
        <f t="shared" si="8"/>
        <v>25082587.280000001</v>
      </c>
      <c r="G28" s="173" t="e">
        <f t="shared" si="8"/>
        <v>#VALUE!</v>
      </c>
      <c r="H28" s="173">
        <f t="shared" si="8"/>
        <v>18901209.740000002</v>
      </c>
      <c r="I28" s="173" t="e">
        <f>I29+I45+I75+#REF!+#REF!+I108+I218</f>
        <v>#REF!</v>
      </c>
      <c r="J28" s="173" t="e">
        <f>J29+J45+J75+#REF!+#REF!+J108+J218</f>
        <v>#REF!</v>
      </c>
      <c r="K28" s="136"/>
    </row>
    <row r="29" spans="1:12" ht="12.75" outlineLevel="1" x14ac:dyDescent="0.15">
      <c r="A29" s="138"/>
      <c r="B29" s="139" t="s">
        <v>978</v>
      </c>
      <c r="C29" s="140" t="s">
        <v>979</v>
      </c>
      <c r="D29" s="165">
        <f>D30+D34+D41</f>
        <v>11.849611930642689</v>
      </c>
      <c r="E29" s="165">
        <f>E30+E34+E41</f>
        <v>137.88589999999999</v>
      </c>
      <c r="F29" s="165">
        <f t="shared" ref="F29:H29" si="9">F30+F34+F41</f>
        <v>1306563</v>
      </c>
      <c r="G29" s="165">
        <f t="shared" si="9"/>
        <v>11.228315957568036</v>
      </c>
      <c r="H29" s="165">
        <f t="shared" si="9"/>
        <v>991963</v>
      </c>
      <c r="I29" s="142">
        <f>F29-E29*10000</f>
        <v>-72296</v>
      </c>
      <c r="J29" s="143">
        <f>G29-D29</f>
        <v>-0.62129597307465367</v>
      </c>
      <c r="K29" s="136"/>
    </row>
    <row r="30" spans="1:12" ht="15" customHeight="1" outlineLevel="2" x14ac:dyDescent="0.15">
      <c r="A30" s="174"/>
      <c r="B30" s="175" t="s">
        <v>980</v>
      </c>
      <c r="C30" s="176"/>
      <c r="D30" s="158">
        <f>E30/K$2*10000</f>
        <v>10.395037194742462</v>
      </c>
      <c r="E30" s="159">
        <v>120.96</v>
      </c>
      <c r="F30" s="160">
        <f>SUM(F31:F33)</f>
        <v>1132375</v>
      </c>
      <c r="G30" s="160">
        <f t="shared" ref="G30:H30" si="10">SUM(G31:G33)</f>
        <v>9.7313824763529233</v>
      </c>
      <c r="H30" s="160">
        <f t="shared" si="10"/>
        <v>823375</v>
      </c>
      <c r="I30" s="177"/>
      <c r="J30" s="162"/>
      <c r="K30" s="136"/>
      <c r="L30" s="154"/>
    </row>
    <row r="31" spans="1:12" s="154" customFormat="1" ht="12.75" outlineLevel="3" x14ac:dyDescent="0.15">
      <c r="A31" s="145" t="s">
        <v>981</v>
      </c>
      <c r="B31" s="146" t="str">
        <f>IF(A31&lt;&gt;0,VLOOKUP(A31,[1]合同台帐!$A$4:$D$195,4,1),"")</f>
        <v>初勘合同</v>
      </c>
      <c r="C31" s="147"/>
      <c r="D31" s="148"/>
      <c r="E31" s="149"/>
      <c r="F31" s="150">
        <f>IF(A31&lt;&gt;0,IF(VLOOKUP(A31,[1]合同台帐!$A$4:$G$195,7,1),IF($H$2="元",VLOOKUP(A31,[1]合同台帐!$A$4:$G$195,7,1),VLOOKUP(A31,[1]合同台帐!$A$4:$G$195,7,1)),IF($H$2="元",VLOOKUP(A31,[1]合同台帐!$A$4:$F$195,6,1),VLOOKUP(A31,[1]合同台帐!$A$4:$F$195,6,1))),0)</f>
        <v>102375</v>
      </c>
      <c r="G31" s="151">
        <f>F31/K$2</f>
        <v>0.87978830424252608</v>
      </c>
      <c r="H31" s="149">
        <f>IF(A31&lt;&gt;0,IF($H$2="元",VLOOKUP(A31,[1]合同台帐!$A$4:$K$1093,11,1),VLOOKUP(A31,[1]合同台帐!$A$4:$K$1093,11,1)),0)</f>
        <v>102375</v>
      </c>
      <c r="I31" s="177"/>
      <c r="J31" s="152"/>
      <c r="K31" s="178"/>
    </row>
    <row r="32" spans="1:12" s="144" customFormat="1" ht="12.75" outlineLevel="3" x14ac:dyDescent="0.15">
      <c r="A32" s="145" t="s">
        <v>982</v>
      </c>
      <c r="B32" s="146" t="str">
        <f>IF(A32&lt;&gt;0,VLOOKUP(A32,[1]合同台帐!$A$4:$D$195,4,1),"")</f>
        <v>建设工程勘察合同(详勘）</v>
      </c>
      <c r="C32" s="147"/>
      <c r="D32" s="148"/>
      <c r="E32" s="149"/>
      <c r="F32" s="150">
        <f>IF(A32&lt;&gt;0,IF(VLOOKUP(A32,[1]合同台帐!$A$4:$G$195,7,1),IF($H$2="元",VLOOKUP(A32,[1]合同台帐!$A$4:$G$195,7,1),VLOOKUP(A32,[1]合同台帐!$A$4:$G$195,7,1)),IF($H$2="元",VLOOKUP(A32,[1]合同台帐!$A$4:$F$195,6,1),VLOOKUP(A32,[1]合同台帐!$A$4:$F$195,6,1))),0)</f>
        <v>1030000</v>
      </c>
      <c r="G32" s="151">
        <f t="shared" ref="G32:G33" si="11">F32/K$2</f>
        <v>8.8515941721103975</v>
      </c>
      <c r="H32" s="149">
        <f>IF(A32&lt;&gt;0,IF($H$2="元",VLOOKUP(A32,[1]合同台帐!$A$4:$K$1093,11,1),VLOOKUP(A32,[1]合同台帐!$A$4:$K$1093,11,1)),0)</f>
        <v>721000</v>
      </c>
      <c r="I32" s="168"/>
      <c r="J32" s="162"/>
      <c r="K32" s="179"/>
    </row>
    <row r="33" spans="1:11" s="144" customFormat="1" ht="12.75" outlineLevel="3" x14ac:dyDescent="0.15">
      <c r="A33" s="180"/>
      <c r="B33" s="156" t="str">
        <f>IF(A33&lt;&gt;0,VLOOKUP(A33,[1]合同台帐!$A$4:$D$195,4,1),"")</f>
        <v/>
      </c>
      <c r="C33" s="157"/>
      <c r="D33" s="158"/>
      <c r="E33" s="159"/>
      <c r="F33" s="160">
        <f>IF(A33&lt;&gt;0,IF(VLOOKUP(A33,[1]合同台帐!$A$4:$G$195,7,1),IF($H$2="元",VLOOKUP(A33,[1]合同台帐!$A$4:$G$195,7,1),VLOOKUP(A33,[1]合同台帐!$A$4:$G$195,7,1)),IF($H$2="元",VLOOKUP(A33,[1]合同台帐!$A$4:$F$195,6,1),VLOOKUP(A33,[1]合同台帐!$A$4:$F$195,6,1))),0)</f>
        <v>0</v>
      </c>
      <c r="G33" s="161">
        <f t="shared" si="11"/>
        <v>0</v>
      </c>
      <c r="H33" s="149">
        <f>IF(A33&lt;&gt;0,IF($H$2="元",VLOOKUP(A33,[1]合同台帐!$A$4:$K$1093,11,1),VLOOKUP(A33,[1]合同台帐!$A$4:$K$1093,11,1)),0)</f>
        <v>0</v>
      </c>
      <c r="I33" s="168"/>
      <c r="J33" s="162"/>
      <c r="K33" s="136"/>
    </row>
    <row r="34" spans="1:11" s="144" customFormat="1" ht="12.75" outlineLevel="2" x14ac:dyDescent="0.15">
      <c r="A34" s="174"/>
      <c r="B34" s="175" t="s">
        <v>983</v>
      </c>
      <c r="C34" s="176"/>
      <c r="D34" s="158">
        <f>E34/K$2*10000</f>
        <v>1.3683017709547742</v>
      </c>
      <c r="E34" s="159">
        <v>15.922000000000001</v>
      </c>
      <c r="F34" s="160">
        <f t="shared" ref="F34:H34" si="12">SUM(F35:F40)</f>
        <v>164188</v>
      </c>
      <c r="G34" s="160">
        <f t="shared" si="12"/>
        <v>1.4109956737188951</v>
      </c>
      <c r="H34" s="160">
        <f t="shared" si="12"/>
        <v>158588</v>
      </c>
      <c r="I34" s="177"/>
      <c r="J34" s="162"/>
      <c r="K34" s="136"/>
    </row>
    <row r="35" spans="1:11" s="154" customFormat="1" ht="12.75" outlineLevel="3" x14ac:dyDescent="0.15">
      <c r="A35" s="145" t="s">
        <v>984</v>
      </c>
      <c r="B35" s="146" t="str">
        <f>IF(A35&lt;&gt;0,VLOOKUP(A35,[1]合同台帐!$A$4:$D$195,4,1),"")</f>
        <v>天津蓟县项目地形图测绘合同</v>
      </c>
      <c r="C35" s="147"/>
      <c r="D35" s="148"/>
      <c r="E35" s="149"/>
      <c r="F35" s="150">
        <f>IF(A35&lt;&gt;0,IF(VLOOKUP(A35,[1]合同台帐!$A$4:$G$195,7,1),IF($H$2="元",VLOOKUP(A35,[1]合同台帐!$A$4:$G$195,7,1),VLOOKUP(A35,[1]合同台帐!$A$4:$G$195,7,1)),IF($H$2="元",VLOOKUP(A35,[1]合同台帐!$A$4:$F$195,6,1),VLOOKUP(A35,[1]合同台帐!$A$4:$F$195,6,1))),0)</f>
        <v>44110</v>
      </c>
      <c r="G35" s="151">
        <f>F35/K$2</f>
        <v>0.37907166886581517</v>
      </c>
      <c r="H35" s="149">
        <f>IF(A35&lt;&gt;0,IF($H$2="元",VLOOKUP(A35,[1]合同台帐!$A$4:$K$1093,11,1),VLOOKUP(A35,[1]合同台帐!$A$4:$K$1093,11,1)),0)</f>
        <v>44110</v>
      </c>
      <c r="I35" s="177"/>
      <c r="J35" s="152"/>
      <c r="K35" s="178"/>
    </row>
    <row r="36" spans="1:11" s="154" customFormat="1" ht="12" customHeight="1" outlineLevel="3" x14ac:dyDescent="0.15">
      <c r="A36" s="181" t="s">
        <v>985</v>
      </c>
      <c r="B36" s="146" t="str">
        <f>IF(A36&lt;&gt;0,VLOOKUP(A36,[1]合同台帐!$A$4:$D$195,4,1),"")</f>
        <v>管线实测费（买图）</v>
      </c>
      <c r="C36" s="147"/>
      <c r="D36" s="148"/>
      <c r="E36" s="149"/>
      <c r="F36" s="150">
        <f>IF(A36&lt;&gt;0,IF(VLOOKUP(A36,[1]合同台帐!$A$4:$G$195,7,1),IF($H$2="元",VLOOKUP(A36,[1]合同台帐!$A$4:$G$195,7,1),VLOOKUP(A36,[1]合同台帐!$A$4:$G$195,7,1)),IF($H$2="元",VLOOKUP(A36,[1]合同台帐!$A$4:$F$195,6,1),VLOOKUP(A36,[1]合同台帐!$A$4:$F$195,6,1))),0)</f>
        <v>12600</v>
      </c>
      <c r="G36" s="151">
        <f t="shared" ref="G36:G39" si="13">F36/K$2</f>
        <v>0.10828163744523399</v>
      </c>
      <c r="H36" s="149">
        <f>IF(A36&lt;&gt;0,IF($H$2="元",VLOOKUP(A36,[1]合同台帐!$A$4:$K$1093,11,1),VLOOKUP(A36,[1]合同台帐!$A$4:$K$1093,11,1)),0)</f>
        <v>12600</v>
      </c>
      <c r="I36" s="177"/>
      <c r="J36" s="152"/>
      <c r="K36" s="178"/>
    </row>
    <row r="37" spans="1:11" s="154" customFormat="1" ht="12.75" outlineLevel="3" x14ac:dyDescent="0.15">
      <c r="A37" s="181" t="s">
        <v>986</v>
      </c>
      <c r="B37" s="146" t="str">
        <f>IF(A37&lt;&gt;0,VLOOKUP(A37,[1]合同台帐!$A$4:$D$195,4,1),"")</f>
        <v>管线实测费</v>
      </c>
      <c r="C37" s="147"/>
      <c r="D37" s="148"/>
      <c r="E37" s="149"/>
      <c r="F37" s="150">
        <f>IF(A37&lt;&gt;0,IF(VLOOKUP(A37,[1]合同台帐!$A$4:$G$195,7,1),IF($H$2="元",VLOOKUP(A37,[1]合同台帐!$A$4:$G$195,7,1),VLOOKUP(A37,[1]合同台帐!$A$4:$G$195,7,1)),IF($H$2="元",VLOOKUP(A37,[1]合同台帐!$A$4:$F$195,6,1),VLOOKUP(A37,[1]合同台帐!$A$4:$F$195,6,1))),0)</f>
        <v>61713</v>
      </c>
      <c r="G37" s="151">
        <f t="shared" si="13"/>
        <v>0.53034799140140676</v>
      </c>
      <c r="H37" s="149">
        <f>IF(A37&lt;&gt;0,IF($H$2="元",VLOOKUP(A37,[1]合同台帐!$A$4:$K$1093,11,1),VLOOKUP(A37,[1]合同台帐!$A$4:$K$1093,11,1)),0)</f>
        <v>61713</v>
      </c>
      <c r="I37" s="177"/>
      <c r="J37" s="152"/>
      <c r="K37" s="178"/>
    </row>
    <row r="38" spans="1:11" s="144" customFormat="1" ht="12.75" outlineLevel="3" x14ac:dyDescent="0.15">
      <c r="A38" s="181" t="s">
        <v>987</v>
      </c>
      <c r="B38" s="146" t="str">
        <f>IF(A38&lt;&gt;0,VLOOKUP(A38,[1]合同台帐!$A$4:$D$195,4,1),"")</f>
        <v>拨地定桩（红线测绘）</v>
      </c>
      <c r="C38" s="147"/>
      <c r="D38" s="148"/>
      <c r="E38" s="149"/>
      <c r="F38" s="150">
        <f>IF(A38&lt;&gt;0,IF(VLOOKUP(A38,[1]合同台帐!$A$4:$G$195,7,1),IF($H$2="元",VLOOKUP(A38,[1]合同台帐!$A$4:$G$195,7,1),VLOOKUP(A38,[1]合同台帐!$A$4:$G$195,7,1)),IF($H$2="元",VLOOKUP(A38,[1]合同台帐!$A$4:$F$195,6,1),VLOOKUP(A38,[1]合同台帐!$A$4:$F$195,6,1))),0)</f>
        <v>40165</v>
      </c>
      <c r="G38" s="151">
        <f t="shared" si="13"/>
        <v>0.34516920380855737</v>
      </c>
      <c r="H38" s="149">
        <f>IF(A38&lt;&gt;0,IF($H$2="元",VLOOKUP(A38,[1]合同台帐!$A$4:$K$1093,11,1),VLOOKUP(A38,[1]合同台帐!$A$4:$K$1093,11,1)),0)</f>
        <v>40165</v>
      </c>
      <c r="I38" s="177"/>
      <c r="J38" s="152"/>
      <c r="K38" s="178"/>
    </row>
    <row r="39" spans="1:11" s="144" customFormat="1" ht="12.75" outlineLevel="3" x14ac:dyDescent="0.15">
      <c r="A39" s="182" t="s">
        <v>988</v>
      </c>
      <c r="B39" s="146" t="str">
        <f>IF(A39&lt;&gt;0,VLOOKUP(A39,[1]合同台帐!$A$4:$D$195,4,1),"")</f>
        <v>三期桩基测绘费</v>
      </c>
      <c r="C39" s="147"/>
      <c r="D39" s="148"/>
      <c r="E39" s="149"/>
      <c r="F39" s="150">
        <f>IF(A39&lt;&gt;0,IF(VLOOKUP(A39,[1]合同台帐!$A$4:$G$195,7,1),IF($H$2="元",VLOOKUP(A39,[1]合同台帐!$A$4:$G$195,7,1),VLOOKUP(A39,[1]合同台帐!$A$4:$G$195,7,1)),IF($H$2="元",VLOOKUP(A39,[1]合同台帐!$A$4:$F$195,6,1),VLOOKUP(A39,[1]合同台帐!$A$4:$F$195,6,1))),0)</f>
        <v>5600</v>
      </c>
      <c r="G39" s="151">
        <f t="shared" si="13"/>
        <v>4.8125172197881767E-2</v>
      </c>
      <c r="H39" s="149">
        <f>IF(A39&lt;&gt;0,IF($H$2="元",VLOOKUP(A39,[1]合同台帐!$A$4:$K$1093,11,1),VLOOKUP(A39,[1]合同台帐!$A$4:$K$1093,11,1)),0)</f>
        <v>0</v>
      </c>
      <c r="I39" s="177"/>
      <c r="J39" s="152"/>
      <c r="K39" s="178"/>
    </row>
    <row r="40" spans="1:11" s="144" customFormat="1" ht="12.75" outlineLevel="3" x14ac:dyDescent="0.15">
      <c r="A40" s="183"/>
      <c r="B40" s="146"/>
      <c r="C40" s="147"/>
      <c r="D40" s="148"/>
      <c r="E40" s="184"/>
      <c r="F40" s="150"/>
      <c r="G40" s="177"/>
      <c r="H40" s="184"/>
      <c r="I40" s="177"/>
      <c r="J40" s="152"/>
      <c r="K40" s="178"/>
    </row>
    <row r="41" spans="1:11" s="144" customFormat="1" ht="12.75" outlineLevel="2" x14ac:dyDescent="0.15">
      <c r="A41" s="174"/>
      <c r="B41" s="175" t="s">
        <v>989</v>
      </c>
      <c r="C41" s="176"/>
      <c r="D41" s="158">
        <f>E41/K$2*10000</f>
        <v>8.627296494545271E-2</v>
      </c>
      <c r="E41" s="159">
        <v>1.0039</v>
      </c>
      <c r="F41" s="160">
        <f>SUM(F42:F44)</f>
        <v>10000</v>
      </c>
      <c r="G41" s="160">
        <f t="shared" ref="G41:H41" si="14">SUM(G42:G44)</f>
        <v>8.5937807496217447E-2</v>
      </c>
      <c r="H41" s="160">
        <f t="shared" si="14"/>
        <v>10000</v>
      </c>
      <c r="I41" s="177"/>
      <c r="J41" s="162"/>
      <c r="K41" s="136"/>
    </row>
    <row r="42" spans="1:11" s="154" customFormat="1" ht="13.5" customHeight="1" outlineLevel="2" x14ac:dyDescent="0.15">
      <c r="A42" s="166" t="s">
        <v>990</v>
      </c>
      <c r="B42" s="146" t="str">
        <f>IF(A42&lt;&gt;0,VLOOKUP(A42,[1]合同台帐!$A$4:$D$893,4,1),"")</f>
        <v>国有土地使用权登记费</v>
      </c>
      <c r="C42" s="147"/>
      <c r="D42" s="148"/>
      <c r="E42" s="149"/>
      <c r="F42" s="150">
        <f>IF(A42&lt;&gt;0,VLOOKUP(A42,[1]合同台帐!$A$4:$J$893,6,1),"")</f>
        <v>10000</v>
      </c>
      <c r="G42" s="151">
        <f>F42/K2</f>
        <v>8.5937807496217447E-2</v>
      </c>
      <c r="H42" s="149">
        <f>IF(A42&lt;&gt;0,IF($H$2="元",VLOOKUP(A42,[1]合同台帐!$A$4:$K$1093,11,1),VLOOKUP(A42,[1]合同台帐!$A$4:$K$1093,11,1)),0)</f>
        <v>10000</v>
      </c>
      <c r="I42" s="150"/>
      <c r="J42" s="152"/>
      <c r="K42" s="153"/>
    </row>
    <row r="43" spans="1:11" s="154" customFormat="1" ht="12.75" outlineLevel="3" x14ac:dyDescent="0.15">
      <c r="A43" s="185"/>
      <c r="B43" s="146" t="str">
        <f>IF(A43&lt;&gt;0,VLOOKUP(A43,[1]合同台帐!$A$4:$D$195,4,1),"")</f>
        <v/>
      </c>
      <c r="C43" s="147"/>
      <c r="D43" s="148"/>
      <c r="E43" s="149"/>
      <c r="F43" s="150">
        <f>IF(A43&lt;&gt;0,IF(VLOOKUP(A43,[1]合同台帐!$A$4:$G$195,7,1),IF($H$2="元",VLOOKUP(A43,[1]合同台帐!$A$4:$G$195,7,1),VLOOKUP(A43,[1]合同台帐!$A$4:$G$195,7,1)),IF($H$2="元",VLOOKUP(A43,[1]合同台帐!$A$4:$F$195,6,1),VLOOKUP(A43,[1]合同台帐!$A$4:$F$195,6,1))),0)</f>
        <v>0</v>
      </c>
      <c r="G43" s="151">
        <f>F43/K$2</f>
        <v>0</v>
      </c>
      <c r="H43" s="149">
        <f>IF(A43&lt;&gt;0,IF($H$2="元",VLOOKUP(A43,[1]合同台帐!$A$4:$K$1093,11,1),VLOOKUP(A43,[1]合同台帐!$A$4:$K$1093,11,1)),0)</f>
        <v>0</v>
      </c>
      <c r="I43" s="177"/>
      <c r="J43" s="152"/>
      <c r="K43" s="178"/>
    </row>
    <row r="44" spans="1:11" s="154" customFormat="1" ht="12" customHeight="1" outlineLevel="3" x14ac:dyDescent="0.15">
      <c r="A44" s="183"/>
      <c r="B44" s="146" t="str">
        <f>IF(A44&lt;&gt;0,VLOOKUP(A44,[1]合同台帐!$A$4:$D$195,4,1),"")</f>
        <v/>
      </c>
      <c r="C44" s="147"/>
      <c r="D44" s="148"/>
      <c r="E44" s="149"/>
      <c r="F44" s="150">
        <f>IF(A44&lt;&gt;0,IF(VLOOKUP(A44,[1]合同台帐!$A$4:$G$195,7,1),IF($H$2="元",VLOOKUP(A44,[1]合同台帐!$A$4:$G$195,7,1),VLOOKUP(A44,[1]合同台帐!$A$4:$G$195,7,1)),IF($H$2="元",VLOOKUP(A44,[1]合同台帐!$A$4:$F$195,6,1),VLOOKUP(A44,[1]合同台帐!$A$4:$F$195,6,1))),0)</f>
        <v>0</v>
      </c>
      <c r="G44" s="151">
        <f t="shared" ref="G44" si="15">F44/K$2</f>
        <v>0</v>
      </c>
      <c r="H44" s="149">
        <f>IF(A44&lt;&gt;0,IF($H$2="元",VLOOKUP(A44,[1]合同台帐!$A$4:$K$1093,11,1),VLOOKUP(A44,[1]合同台帐!$A$4:$K$1093,11,1)),0)</f>
        <v>0</v>
      </c>
      <c r="I44" s="177"/>
      <c r="J44" s="152"/>
      <c r="K44" s="178"/>
    </row>
    <row r="45" spans="1:11" ht="12.75" outlineLevel="1" x14ac:dyDescent="0.15">
      <c r="A45" s="138"/>
      <c r="B45" s="139" t="s">
        <v>991</v>
      </c>
      <c r="C45" s="140" t="s">
        <v>992</v>
      </c>
      <c r="D45" s="165">
        <f>D46+D49+D52+D55+D59+D64+D70</f>
        <v>107.75828479136278</v>
      </c>
      <c r="E45" s="165">
        <f t="shared" ref="E45:H45" si="16">E46+E49+E52+E55+E59+E64+E70</f>
        <v>1253.9101000000001</v>
      </c>
      <c r="F45" s="165">
        <f t="shared" si="16"/>
        <v>12828059</v>
      </c>
      <c r="G45" s="165">
        <f t="shared" si="16"/>
        <v>110.24152648921196</v>
      </c>
      <c r="H45" s="165">
        <f t="shared" si="16"/>
        <v>9749906.75</v>
      </c>
      <c r="I45" s="142">
        <f>F45-E45*10000</f>
        <v>288958</v>
      </c>
      <c r="J45" s="143">
        <f>G45-D45</f>
        <v>2.4832416978491807</v>
      </c>
      <c r="K45" s="136"/>
    </row>
    <row r="46" spans="1:11" ht="24" outlineLevel="2" x14ac:dyDescent="0.15">
      <c r="A46" s="174"/>
      <c r="B46" s="175" t="s">
        <v>993</v>
      </c>
      <c r="C46" s="176"/>
      <c r="D46" s="158">
        <f>E46/K$2*10000</f>
        <v>65.748868070168569</v>
      </c>
      <c r="E46" s="159">
        <v>765.07500000000005</v>
      </c>
      <c r="F46" s="160">
        <f>SUM(F47:F48)</f>
        <v>7800000</v>
      </c>
      <c r="G46" s="160">
        <f t="shared" ref="G46:H46" si="17">SUM(G47:G48)</f>
        <v>67.031489847049613</v>
      </c>
      <c r="H46" s="160">
        <f t="shared" si="17"/>
        <v>6327629</v>
      </c>
      <c r="I46" s="177"/>
      <c r="J46" s="162"/>
      <c r="K46" s="136"/>
    </row>
    <row r="47" spans="1:11" s="154" customFormat="1" ht="12.75" outlineLevel="3" x14ac:dyDescent="0.15">
      <c r="A47" s="145" t="s">
        <v>994</v>
      </c>
      <c r="B47" s="146" t="str">
        <f>IF(A47&lt;&gt;0,VLOOKUP(A47,[1]合同台帐!$A$4:$D$195,4,1),"")</f>
        <v>建筑方案及施工图设计合同</v>
      </c>
      <c r="C47" s="147"/>
      <c r="D47" s="148"/>
      <c r="E47" s="149"/>
      <c r="F47" s="150">
        <f>IF(A47&lt;&gt;0,IF(VLOOKUP(A47,[1]合同台帐!$A$4:$G$195,7,1),IF($H$2="元",VLOOKUP(A47,[1]合同台帐!$A$4:$G$195,7,1),VLOOKUP(A47,[1]合同台帐!$A$4:$G$195,7,1)),IF($H$2="元",VLOOKUP(A47,[1]合同台帐!$A$4:$F$195,6,1),VLOOKUP(A47,[1]合同台帐!$A$4:$F$195,6,1))),0)</f>
        <v>7800000</v>
      </c>
      <c r="G47" s="151">
        <f>F47/K$2</f>
        <v>67.031489847049613</v>
      </c>
      <c r="H47" s="149">
        <f>IF(A47&lt;&gt;0,IF($H$2="元",VLOOKUP(A47,[1]合同台帐!$A$4:$K$1093,11,1),VLOOKUP(A47,[1]合同台帐!$A$4:$K$1093,11,1)),0)</f>
        <v>6327629</v>
      </c>
      <c r="I47" s="177"/>
      <c r="J47" s="152"/>
      <c r="K47" s="178"/>
    </row>
    <row r="48" spans="1:11" s="154" customFormat="1" ht="12.75" outlineLevel="3" x14ac:dyDescent="0.15">
      <c r="A48" s="145" t="s">
        <v>995</v>
      </c>
      <c r="B48" s="146" t="str">
        <f>IF(A48&lt;&gt;0,VLOOKUP(A48,[1]合同台帐!$A$4:$D$195,4,1),"")</f>
        <v>施工图优化技术服务合同</v>
      </c>
      <c r="C48" s="147"/>
      <c r="D48" s="148"/>
      <c r="E48" s="149"/>
      <c r="F48" s="150">
        <f>IF(A48&lt;&gt;0,IF(VLOOKUP(A48,[1]合同台帐!$A$4:$G$195,7,1),IF($H$2="元",VLOOKUP(A48,[1]合同台帐!$A$4:$G$195,7,1),VLOOKUP(A48,[1]合同台帐!$A$4:$G$195,7,1)),IF($H$2="元",VLOOKUP(A48,[1]合同台帐!$A$4:$F$195,6,1),VLOOKUP(A48,[1]合同台帐!$A$4:$F$195,6,1))),0)</f>
        <v>0</v>
      </c>
      <c r="G48" s="151">
        <f>F48/K$2</f>
        <v>0</v>
      </c>
      <c r="H48" s="149">
        <f>IF(A48&lt;&gt;0,IF($H$2="元",VLOOKUP(A48,[1]合同台帐!$A$4:$K$1093,11,1),VLOOKUP(A48,[1]合同台帐!$A$4:$K$1093,11,1)),0)</f>
        <v>0</v>
      </c>
      <c r="I48" s="177"/>
      <c r="J48" s="152"/>
      <c r="K48" s="178"/>
    </row>
    <row r="49" spans="1:11" ht="12.75" outlineLevel="2" x14ac:dyDescent="0.15">
      <c r="A49" s="174"/>
      <c r="B49" s="175" t="s">
        <v>996</v>
      </c>
      <c r="C49" s="176"/>
      <c r="D49" s="158">
        <f>E49/K$2*10000</f>
        <v>6.0527372824505887</v>
      </c>
      <c r="E49" s="159">
        <v>70.431600000000003</v>
      </c>
      <c r="F49" s="160">
        <f>SUM(F50:F51)</f>
        <v>737340</v>
      </c>
      <c r="G49" s="160">
        <f t="shared" ref="G49:J49" si="18">SUM(G50:G51)</f>
        <v>6.3365382979260971</v>
      </c>
      <c r="H49" s="160">
        <f t="shared" si="18"/>
        <v>737340</v>
      </c>
      <c r="I49" s="160">
        <f t="shared" si="18"/>
        <v>0</v>
      </c>
      <c r="J49" s="160">
        <f t="shared" si="18"/>
        <v>0</v>
      </c>
      <c r="K49" s="136"/>
    </row>
    <row r="50" spans="1:11" s="154" customFormat="1" ht="12.75" outlineLevel="3" x14ac:dyDescent="0.15">
      <c r="A50" s="145" t="s">
        <v>997</v>
      </c>
      <c r="B50" s="146" t="str">
        <f>IF(A50&lt;&gt;0,VLOOKUP(A50,[1]合同台帐!$A$4:$D$195,4,1),"")</f>
        <v>售楼处样板间精装设计合同</v>
      </c>
      <c r="C50" s="147"/>
      <c r="D50" s="148"/>
      <c r="E50" s="149"/>
      <c r="F50" s="150">
        <f>IF(A50&lt;&gt;0,IF(VLOOKUP(A50,[1]合同台帐!$A$4:$G$195,7,1),IF($H$2="元",VLOOKUP(A50,[1]合同台帐!$A$4:$G$195,7,1),VLOOKUP(A50,[1]合同台帐!$A$4:$G$195,7,1)),IF($H$2="元",VLOOKUP(A50,[1]合同台帐!$A$4:$F$195,6,1),VLOOKUP(A50,[1]合同台帐!$A$4:$F$195,6,1))),0)</f>
        <v>737340</v>
      </c>
      <c r="G50" s="151">
        <f>F50/K$2</f>
        <v>6.3365382979260971</v>
      </c>
      <c r="H50" s="149">
        <f>IF(A50&lt;&gt;0,IF($H$2="元",VLOOKUP(A50,[1]合同台帐!$A$4:$K$1093,11,1),VLOOKUP(A50,[1]合同台帐!$A$4:$K$1093,11,1)),0)</f>
        <v>737340</v>
      </c>
      <c r="I50" s="177"/>
      <c r="J50" s="152"/>
      <c r="K50" s="178"/>
    </row>
    <row r="51" spans="1:11" s="144" customFormat="1" ht="12.75" outlineLevel="3" x14ac:dyDescent="0.15">
      <c r="A51" s="155"/>
      <c r="B51" s="156"/>
      <c r="C51" s="157"/>
      <c r="D51" s="158"/>
      <c r="E51" s="159"/>
      <c r="F51" s="160"/>
      <c r="G51" s="186"/>
      <c r="H51" s="149">
        <f>IF(A51&lt;&gt;0,IF($H$2="元",VLOOKUP(A51,[1]合同台帐!$A$4:$K$1093,11,1),VLOOKUP(A51,[1]合同台帐!$A$4:$K$1093,11,1)),0)</f>
        <v>0</v>
      </c>
      <c r="I51" s="168"/>
      <c r="J51" s="162"/>
      <c r="K51" s="136"/>
    </row>
    <row r="52" spans="1:11" s="144" customFormat="1" ht="12.75" outlineLevel="2" x14ac:dyDescent="0.15">
      <c r="A52" s="174"/>
      <c r="B52" s="175" t="s">
        <v>998</v>
      </c>
      <c r="C52" s="176"/>
      <c r="D52" s="158">
        <f>E52/K$2*10000</f>
        <v>23.062055175166176</v>
      </c>
      <c r="E52" s="159">
        <v>268.35750000000002</v>
      </c>
      <c r="F52" s="160">
        <f t="shared" ref="F52:H52" si="19">SUM(F53:F54)</f>
        <v>2683575</v>
      </c>
      <c r="G52" s="160">
        <f t="shared" si="19"/>
        <v>23.062055175166172</v>
      </c>
      <c r="H52" s="160">
        <f t="shared" si="19"/>
        <v>1744323.75</v>
      </c>
      <c r="I52" s="177"/>
      <c r="J52" s="162"/>
      <c r="K52" s="136"/>
    </row>
    <row r="53" spans="1:11" s="154" customFormat="1" ht="12.75" outlineLevel="3" x14ac:dyDescent="0.15">
      <c r="A53" s="145" t="s">
        <v>999</v>
      </c>
      <c r="B53" s="146" t="str">
        <f>IF(A53&lt;&gt;0,VLOOKUP(A53,[1]合同台帐!$A$4:$D$195,4,1),"")</f>
        <v>景观设计合同</v>
      </c>
      <c r="C53" s="147"/>
      <c r="D53" s="148"/>
      <c r="E53" s="149"/>
      <c r="F53" s="150">
        <f>IF(A53&lt;&gt;0,IF(VLOOKUP(A53,[1]合同台帐!$A$4:$G$195,7,1),IF($H$2="元",VLOOKUP(A53,[1]合同台帐!$A$4:$G$195,7,1),VLOOKUP(A53,[1]合同台帐!$A$4:$G$195,7,1)),IF($H$2="元",VLOOKUP(A53,[1]合同台帐!$A$4:$F$195,6,1),VLOOKUP(A53,[1]合同台帐!$A$4:$F$195,6,1))),0)</f>
        <v>2683575</v>
      </c>
      <c r="G53" s="151">
        <f>F53/K$2</f>
        <v>23.062055175166172</v>
      </c>
      <c r="H53" s="149">
        <f>IF(A53&lt;&gt;0,IF($H$2="元",VLOOKUP(A53,[1]合同台帐!$A$4:$K$1093,11,1),VLOOKUP(A53,[1]合同台帐!$A$4:$K$1093,11,1)),0)</f>
        <v>1744323.75</v>
      </c>
      <c r="I53" s="177"/>
      <c r="J53" s="152"/>
      <c r="K53" s="178"/>
    </row>
    <row r="54" spans="1:11" ht="12.75" outlineLevel="3" x14ac:dyDescent="0.15">
      <c r="A54" s="174"/>
      <c r="B54" s="175"/>
      <c r="C54" s="176"/>
      <c r="D54" s="158"/>
      <c r="E54" s="159"/>
      <c r="F54" s="160"/>
      <c r="G54" s="161"/>
      <c r="H54" s="149">
        <f>IF(A54&lt;&gt;0,IF($H$2="元",VLOOKUP(A54,[1]合同台帐!$A$4:$K$1093,11,1),VLOOKUP(A54,[1]合同台帐!$A$4:$K$1093,11,1)),0)</f>
        <v>0</v>
      </c>
      <c r="I54" s="168"/>
      <c r="J54" s="162"/>
      <c r="K54" s="136"/>
    </row>
    <row r="55" spans="1:11" ht="12.75" outlineLevel="2" x14ac:dyDescent="0.15">
      <c r="A55" s="174"/>
      <c r="B55" s="175" t="s">
        <v>1000</v>
      </c>
      <c r="C55" s="176"/>
      <c r="D55" s="158">
        <f>E55/K$2*10000</f>
        <v>4.2932981744575303</v>
      </c>
      <c r="E55" s="159">
        <v>49.958199999999998</v>
      </c>
      <c r="F55" s="160">
        <f t="shared" ref="F55:H55" si="20">SUM(F56:F58)</f>
        <v>497800</v>
      </c>
      <c r="G55" s="160">
        <f t="shared" si="20"/>
        <v>4.2779840571617047</v>
      </c>
      <c r="H55" s="160">
        <f t="shared" si="20"/>
        <v>257300</v>
      </c>
      <c r="I55" s="177"/>
      <c r="J55" s="162"/>
      <c r="K55" s="136"/>
    </row>
    <row r="56" spans="1:11" s="154" customFormat="1" ht="12.75" outlineLevel="3" x14ac:dyDescent="0.15">
      <c r="A56" s="145" t="s">
        <v>1001</v>
      </c>
      <c r="B56" s="146" t="str">
        <f>IF(A56&lt;&gt;0,VLOOKUP(A56,[1]合同台帐!$A$4:$D$195,4,1),"")</f>
        <v>蓟县项目综合管网设计合同（方案）</v>
      </c>
      <c r="C56" s="147"/>
      <c r="D56" s="148"/>
      <c r="E56" s="149"/>
      <c r="F56" s="150">
        <f>IF(A56&lt;&gt;0,IF(VLOOKUP(A56,[1]合同台帐!$A$4:$G$195,7,1),IF($H$2="元",VLOOKUP(A56,[1]合同台帐!$A$4:$G$195,7,1),VLOOKUP(A56,[1]合同台帐!$A$4:$G$195,7,1)),IF($H$2="元",VLOOKUP(A56,[1]合同台帐!$A$4:$F$195,6,1),VLOOKUP(A56,[1]合同台帐!$A$4:$F$195,6,1))),0)</f>
        <v>150000</v>
      </c>
      <c r="G56" s="151">
        <f>F56/K$2</f>
        <v>1.2890671124432618</v>
      </c>
      <c r="H56" s="149">
        <f>IF(A56&lt;&gt;0,IF($H$2="元",VLOOKUP(A56,[1]合同台帐!$A$4:$K$1093,11,1),VLOOKUP(A56,[1]合同台帐!$A$4:$K$1093,11,1)),0)</f>
        <v>120000</v>
      </c>
      <c r="I56" s="177"/>
      <c r="J56" s="152"/>
      <c r="K56" s="178"/>
    </row>
    <row r="57" spans="1:11" s="154" customFormat="1" ht="24" outlineLevel="3" x14ac:dyDescent="0.15">
      <c r="A57" s="145" t="s">
        <v>1002</v>
      </c>
      <c r="B57" s="146" t="str">
        <f>IF(A57&lt;&gt;0,VLOOKUP(A57,[1]合同台帐!$A$4:$D$195,4,1),"")</f>
        <v>综合管网（给水、中水、雨水、污水配套工程设计）（施工图）</v>
      </c>
      <c r="C57" s="147"/>
      <c r="D57" s="148"/>
      <c r="E57" s="149"/>
      <c r="F57" s="150">
        <f>IF(A57&lt;&gt;0,IF(VLOOKUP(A57,[1]合同台帐!$A$4:$G$195,7,1),IF($H$2="元",VLOOKUP(A57,[1]合同台帐!$A$4:$G$195,7,1),VLOOKUP(A57,[1]合同台帐!$A$4:$G$195,7,1)),IF($H$2="元",VLOOKUP(A57,[1]合同台帐!$A$4:$F$195,6,1),VLOOKUP(A57,[1]合同台帐!$A$4:$F$195,6,1))),0)</f>
        <v>347800</v>
      </c>
      <c r="G57" s="151">
        <f>F57/K$2</f>
        <v>2.9889169447184427</v>
      </c>
      <c r="H57" s="149">
        <f>IF(A57&lt;&gt;0,IF($H$2="元",VLOOKUP(A57,[1]合同台帐!$A$4:$K$1093,11,1),VLOOKUP(A57,[1]合同台帐!$A$4:$K$1093,11,1)),0)</f>
        <v>137300</v>
      </c>
      <c r="I57" s="177"/>
      <c r="J57" s="152"/>
      <c r="K57" s="178"/>
    </row>
    <row r="58" spans="1:11" ht="12.75" outlineLevel="3" x14ac:dyDescent="0.15">
      <c r="A58" s="174"/>
      <c r="B58" s="175"/>
      <c r="C58" s="176"/>
      <c r="D58" s="158"/>
      <c r="E58" s="159"/>
      <c r="F58" s="160"/>
      <c r="G58" s="161"/>
      <c r="H58" s="149">
        <f>IF(A58&lt;&gt;0,IF($H$2="元",VLOOKUP(A58,[1]合同台帐!$A$4:$K$1093,11,1),VLOOKUP(A58,[1]合同台帐!$A$4:$K$1093,11,1)),0)</f>
        <v>0</v>
      </c>
      <c r="I58" s="168"/>
      <c r="J58" s="162"/>
      <c r="K58" s="136"/>
    </row>
    <row r="59" spans="1:11" ht="32.25" customHeight="1" outlineLevel="2" x14ac:dyDescent="0.15">
      <c r="A59" s="174"/>
      <c r="B59" s="175" t="s">
        <v>1003</v>
      </c>
      <c r="C59" s="176"/>
      <c r="D59" s="158">
        <f>E59/K$2*10000</f>
        <v>6.6478909744848931</v>
      </c>
      <c r="E59" s="159">
        <v>77.356999999999999</v>
      </c>
      <c r="F59" s="160">
        <f>SUM(F60:F63)</f>
        <v>899680</v>
      </c>
      <c r="G59" s="160">
        <f t="shared" ref="G59:H59" si="21">SUM(G60:G63)</f>
        <v>7.7316526648196913</v>
      </c>
      <c r="H59" s="160">
        <f t="shared" si="21"/>
        <v>473650</v>
      </c>
      <c r="I59" s="177"/>
      <c r="J59" s="162"/>
      <c r="K59" s="136"/>
    </row>
    <row r="60" spans="1:11" s="154" customFormat="1" ht="12.75" outlineLevel="3" x14ac:dyDescent="0.15">
      <c r="A60" s="145" t="s">
        <v>1004</v>
      </c>
      <c r="B60" s="146" t="str">
        <f>IF(A60&lt;&gt;0,VLOOKUP(A60,[1]合同台帐!$A$4:$D$195,4,1),"")</f>
        <v>地库及人防设计合同</v>
      </c>
      <c r="C60" s="147"/>
      <c r="D60" s="148"/>
      <c r="E60" s="149"/>
      <c r="F60" s="150">
        <f>IF(A60&lt;&gt;0,IF(VLOOKUP(A60,[1]合同台帐!$A$4:$G$195,7,1),IF($H$2="元",VLOOKUP(A60,[1]合同台帐!$A$4:$G$195,7,1),VLOOKUP(A60,[1]合同台帐!$A$4:$G$195,7,1)),IF($H$2="元",VLOOKUP(A60,[1]合同台帐!$A$4:$F$195,6,1),VLOOKUP(A60,[1]合同台帐!$A$4:$F$195,6,1))),0)</f>
        <v>449680</v>
      </c>
      <c r="G60" s="151">
        <f>F60/K$2</f>
        <v>3.8644513274899062</v>
      </c>
      <c r="H60" s="149">
        <f>IF(A60&lt;&gt;0,IF($H$2="元",VLOOKUP(A60,[1]合同台帐!$A$4:$K$1093,11,1),VLOOKUP(A60,[1]合同台帐!$A$4:$K$1093,11,1)),0)</f>
        <v>338650</v>
      </c>
      <c r="I60" s="177"/>
      <c r="J60" s="152"/>
      <c r="K60" s="178"/>
    </row>
    <row r="61" spans="1:11" s="154" customFormat="1" ht="12.75" outlineLevel="3" x14ac:dyDescent="0.15">
      <c r="A61" s="145" t="s">
        <v>1005</v>
      </c>
      <c r="B61" s="146" t="str">
        <f>IF(A61&lt;&gt;0,VLOOKUP(A61,[1]合同台帐!$A$4:$D$195,4,1),"")</f>
        <v>区内外挡土墙及边坡支护设计合同</v>
      </c>
      <c r="C61" s="147"/>
      <c r="D61" s="148"/>
      <c r="E61" s="149"/>
      <c r="F61" s="150">
        <f>IF(A61&lt;&gt;0,IF(VLOOKUP(A61,[1]合同台帐!$A$4:$G$195,7,1),IF($H$2="元",VLOOKUP(A61,[1]合同台帐!$A$4:$G$195,7,1),VLOOKUP(A61,[1]合同台帐!$A$4:$G$195,7,1)),IF($H$2="元",VLOOKUP(A61,[1]合同台帐!$A$4:$F$195,6,1),VLOOKUP(A61,[1]合同台帐!$A$4:$F$195,6,1))),0)</f>
        <v>450000</v>
      </c>
      <c r="G61" s="151">
        <f>F61/K$2</f>
        <v>3.8672013373297851</v>
      </c>
      <c r="H61" s="149">
        <f>IF(A61&lt;&gt;0,IF($H$2="元",VLOOKUP(A61,[1]合同台帐!$A$4:$K$1093,11,1),VLOOKUP(A61,[1]合同台帐!$A$4:$K$1093,11,1)),0)</f>
        <v>135000</v>
      </c>
      <c r="I61" s="177"/>
      <c r="J61" s="152"/>
      <c r="K61" s="178"/>
    </row>
    <row r="62" spans="1:11" s="154" customFormat="1" ht="12.75" outlineLevel="3" x14ac:dyDescent="0.15">
      <c r="A62" s="145" t="s">
        <v>1006</v>
      </c>
      <c r="B62" s="146" t="str">
        <f>IF(A62&lt;&gt;0,VLOOKUP(A62,[1]合同台帐!$A$4:$D$195,4,1),"")</f>
        <v>智能化设计合同</v>
      </c>
      <c r="C62" s="147"/>
      <c r="D62" s="148"/>
      <c r="E62" s="149"/>
      <c r="F62" s="150">
        <f>IF(A62&lt;&gt;0,IF(VLOOKUP(A62,[1]合同台帐!$A$4:$G$195,7,1),IF($H$2="元",VLOOKUP(A62,[1]合同台帐!$A$4:$G$195,7,1),VLOOKUP(A62,[1]合同台帐!$A$4:$G$195,7,1)),IF($H$2="元",VLOOKUP(A62,[1]合同台帐!$A$4:$F$195,6,1),VLOOKUP(A62,[1]合同台帐!$A$4:$F$195,6,1))),0)</f>
        <v>0</v>
      </c>
      <c r="G62" s="151">
        <f>F62/K$2</f>
        <v>0</v>
      </c>
      <c r="H62" s="149">
        <f>IF(A62&lt;&gt;0,IF($H$2="元",VLOOKUP(A62,[1]合同台帐!$A$4:$K$1093,11,1),VLOOKUP(A62,[1]合同台帐!$A$4:$K$1093,11,1)),0)</f>
        <v>0</v>
      </c>
      <c r="I62" s="177"/>
      <c r="J62" s="152"/>
      <c r="K62" s="178"/>
    </row>
    <row r="63" spans="1:11" ht="12.75" outlineLevel="3" x14ac:dyDescent="0.15">
      <c r="A63" s="155"/>
      <c r="B63" s="156"/>
      <c r="C63" s="157"/>
      <c r="D63" s="158"/>
      <c r="E63" s="159"/>
      <c r="F63" s="160"/>
      <c r="G63" s="161"/>
      <c r="H63" s="149">
        <f>IF(A63&lt;&gt;0,IF($H$2="元",VLOOKUP(A63,[1]合同台帐!$A$4:$K$1093,11,1),VLOOKUP(A63,[1]合同台帐!$A$4:$K$1093,11,1)),0)</f>
        <v>0</v>
      </c>
      <c r="I63" s="177"/>
      <c r="J63" s="162"/>
      <c r="K63" s="136"/>
    </row>
    <row r="64" spans="1:11" ht="12.75" outlineLevel="2" x14ac:dyDescent="0.15">
      <c r="A64" s="174"/>
      <c r="B64" s="175" t="s">
        <v>1007</v>
      </c>
      <c r="C64" s="176"/>
      <c r="D64" s="158">
        <f>E64/K$2*10000</f>
        <v>1.9534351146350195</v>
      </c>
      <c r="E64" s="159">
        <v>22.730799999999999</v>
      </c>
      <c r="F64" s="160">
        <f>SUM(F65:F69)</f>
        <v>203589</v>
      </c>
      <c r="G64" s="160">
        <f t="shared" ref="G64:J64" si="22">SUM(G65:G69)</f>
        <v>1.7495992290347413</v>
      </c>
      <c r="H64" s="160">
        <f t="shared" si="22"/>
        <v>203589</v>
      </c>
      <c r="I64" s="160">
        <f t="shared" si="22"/>
        <v>0</v>
      </c>
      <c r="J64" s="160">
        <f t="shared" si="22"/>
        <v>0</v>
      </c>
      <c r="K64" s="136"/>
    </row>
    <row r="65" spans="1:11" s="154" customFormat="1" ht="12.75" outlineLevel="3" x14ac:dyDescent="0.15">
      <c r="A65" s="181" t="s">
        <v>1008</v>
      </c>
      <c r="B65" s="146" t="str">
        <f>IF(A65&lt;&gt;0,VLOOKUP(A65,[1]合同台帐!$A$4:$D$195,4,1),"")</f>
        <v>博御园施工图审查（一期）</v>
      </c>
      <c r="C65" s="147"/>
      <c r="D65" s="148"/>
      <c r="E65" s="149"/>
      <c r="F65" s="150">
        <f>IF(A65&lt;&gt;0,IF(VLOOKUP(A65,[1]合同台帐!$A$4:$G$195,7,1),IF($H$2="元",VLOOKUP(A65,[1]合同台帐!$A$4:$G$195,7,1),VLOOKUP(A65,[1]合同台帐!$A$4:$G$195,7,1)),IF($H$2="元",VLOOKUP(A65,[1]合同台帐!$A$4:$F$195,6,1),VLOOKUP(A65,[1]合同台帐!$A$4:$F$195,6,1))),0)</f>
        <v>65619</v>
      </c>
      <c r="G65" s="151">
        <f t="shared" ref="G65:G69" si="23">F65/K$2</f>
        <v>0.56391529900942927</v>
      </c>
      <c r="H65" s="149">
        <f>IF(A65&lt;&gt;0,IF($H$2="元",VLOOKUP(A65,[1]合同台帐!$A$4:$K$1093,11,1),VLOOKUP(A65,[1]合同台帐!$A$4:$K$1093,11,1)),0)</f>
        <v>65619</v>
      </c>
      <c r="I65" s="177"/>
      <c r="J65" s="152"/>
      <c r="K65" s="178"/>
    </row>
    <row r="66" spans="1:11" s="154" customFormat="1" ht="12.75" outlineLevel="3" x14ac:dyDescent="0.15">
      <c r="A66" s="181" t="s">
        <v>1009</v>
      </c>
      <c r="B66" s="146" t="str">
        <f>IF(A66&lt;&gt;0,VLOOKUP(A66,[1]合同台帐!$A$4:$D$195,4,1),"")</f>
        <v>一期施工图审查变更补充协议</v>
      </c>
      <c r="C66" s="147"/>
      <c r="D66" s="148"/>
      <c r="E66" s="149"/>
      <c r="F66" s="150">
        <f>IF(A66&lt;&gt;0,IF(VLOOKUP(A66,[1]合同台帐!$A$4:$G$195,7,1),IF($H$2="元",VLOOKUP(A66,[1]合同台帐!$A$4:$G$195,7,1),VLOOKUP(A66,[1]合同台帐!$A$4:$G$195,7,1)),IF($H$2="元",VLOOKUP(A66,[1]合同台帐!$A$4:$F$195,6,1),VLOOKUP(A66,[1]合同台帐!$A$4:$F$195,6,1))),0)</f>
        <v>9381</v>
      </c>
      <c r="G66" s="151">
        <f t="shared" si="23"/>
        <v>8.0618257212201588E-2</v>
      </c>
      <c r="H66" s="149">
        <f>IF(A66&lt;&gt;0,IF($H$2="元",VLOOKUP(A66,[1]合同台帐!$A$4:$K$1093,11,1),VLOOKUP(A66,[1]合同台帐!$A$4:$K$1093,11,1)),0)</f>
        <v>9381</v>
      </c>
      <c r="I66" s="177"/>
      <c r="J66" s="152"/>
      <c r="K66" s="178"/>
    </row>
    <row r="67" spans="1:11" s="154" customFormat="1" ht="12.75" outlineLevel="3" x14ac:dyDescent="0.15">
      <c r="A67" s="181" t="s">
        <v>1010</v>
      </c>
      <c r="B67" s="146" t="str">
        <f>IF(A67&lt;&gt;0,VLOOKUP(A67,[1]合同台帐!$A$4:$D$195,4,1),"")</f>
        <v>一期施工图审查（中部地下室变更）</v>
      </c>
      <c r="C67" s="147"/>
      <c r="D67" s="148"/>
      <c r="E67" s="149"/>
      <c r="F67" s="150">
        <f>IF(A67&lt;&gt;0,IF(VLOOKUP(A67,[1]合同台帐!$A$4:$G$195,7,1),IF($H$2="元",VLOOKUP(A67,[1]合同台帐!$A$4:$G$195,7,1),VLOOKUP(A67,[1]合同台帐!$A$4:$G$195,7,1)),IF($H$2="元",VLOOKUP(A67,[1]合同台帐!$A$4:$F$195,6,1),VLOOKUP(A67,[1]合同台帐!$A$4:$F$195,6,1))),0)</f>
        <v>2100</v>
      </c>
      <c r="G67" s="151">
        <f t="shared" si="23"/>
        <v>1.8046939574205664E-2</v>
      </c>
      <c r="H67" s="149">
        <f>IF(A67&lt;&gt;0,IF($H$2="元",VLOOKUP(A67,[1]合同台帐!$A$4:$K$1093,11,1),VLOOKUP(A67,[1]合同台帐!$A$4:$K$1093,11,1)),0)</f>
        <v>2100</v>
      </c>
      <c r="I67" s="177"/>
      <c r="J67" s="152"/>
      <c r="K67" s="178"/>
    </row>
    <row r="68" spans="1:11" s="154" customFormat="1" ht="12.75" outlineLevel="3" x14ac:dyDescent="0.15">
      <c r="A68" s="181" t="s">
        <v>1011</v>
      </c>
      <c r="B68" s="146" t="str">
        <f>IF(A68&lt;&gt;0,VLOOKUP(A68,[1]合同台帐!$A$4:$D$195,4,1),"")</f>
        <v>一期施工图审查（1.2.3.23#变更）</v>
      </c>
      <c r="C68" s="147"/>
      <c r="D68" s="148"/>
      <c r="E68" s="149"/>
      <c r="F68" s="150">
        <f>IF(A68&lt;&gt;0,IF(VLOOKUP(A68,[1]合同台帐!$A$4:$G$195,7,1),IF($H$2="元",VLOOKUP(A68,[1]合同台帐!$A$4:$G$195,7,1),VLOOKUP(A68,[1]合同台帐!$A$4:$G$195,7,1)),IF($H$2="元",VLOOKUP(A68,[1]合同台帐!$A$4:$F$195,6,1),VLOOKUP(A68,[1]合同台帐!$A$4:$F$195,6,1))),0)</f>
        <v>2326</v>
      </c>
      <c r="G68" s="151">
        <f t="shared" si="23"/>
        <v>1.9989134023620177E-2</v>
      </c>
      <c r="H68" s="149">
        <f>IF(A68&lt;&gt;0,IF($H$2="元",VLOOKUP(A68,[1]合同台帐!$A$4:$K$1093,11,1),VLOOKUP(A68,[1]合同台帐!$A$4:$K$1093,11,1)),0)</f>
        <v>2326</v>
      </c>
      <c r="I68" s="177"/>
      <c r="J68" s="152"/>
      <c r="K68" s="178"/>
    </row>
    <row r="69" spans="1:11" s="154" customFormat="1" ht="12.75" outlineLevel="3" x14ac:dyDescent="0.15">
      <c r="A69" s="181" t="s">
        <v>1012</v>
      </c>
      <c r="B69" s="146" t="str">
        <f>IF(A69&lt;&gt;0,VLOOKUP(A69,[1]合同台帐!$A$4:$D$195,4,1),"")</f>
        <v>二、三期图审合同</v>
      </c>
      <c r="C69" s="147"/>
      <c r="D69" s="148"/>
      <c r="E69" s="149"/>
      <c r="F69" s="150">
        <f>IF(A69&lt;&gt;0,IF(VLOOKUP(A69,[1]合同台帐!$A$4:$G$195,7,1),IF($H$2="元",VLOOKUP(A69,[1]合同台帐!$A$4:$G$195,7,1),VLOOKUP(A69,[1]合同台帐!$A$4:$G$195,7,1)),IF($H$2="元",VLOOKUP(A69,[1]合同台帐!$A$4:$F$195,6,1),VLOOKUP(A69,[1]合同台帐!$A$4:$F$195,6,1))),0)</f>
        <v>124163</v>
      </c>
      <c r="G69" s="151">
        <f t="shared" si="23"/>
        <v>1.0670295992152847</v>
      </c>
      <c r="H69" s="149">
        <f>IF(A69&lt;&gt;0,IF($H$2="元",VLOOKUP(A69,[1]合同台帐!$A$4:$K$1093,11,1),VLOOKUP(A69,[1]合同台帐!$A$4:$K$1093,11,1)),0)</f>
        <v>124163</v>
      </c>
      <c r="I69" s="177"/>
      <c r="J69" s="152"/>
      <c r="K69" s="178"/>
    </row>
    <row r="70" spans="1:11" ht="12.75" outlineLevel="2" x14ac:dyDescent="0.15">
      <c r="A70" s="174"/>
      <c r="B70" s="175" t="s">
        <v>1013</v>
      </c>
      <c r="C70" s="176"/>
      <c r="D70" s="158">
        <f>E70/K$2*10000</f>
        <v>0</v>
      </c>
      <c r="E70" s="159">
        <v>0</v>
      </c>
      <c r="F70" s="160">
        <f>SUM(F71:F74)</f>
        <v>6075</v>
      </c>
      <c r="G70" s="160">
        <f t="shared" ref="G70:H70" si="24">SUM(G71:G74)</f>
        <v>5.2207218053952099E-2</v>
      </c>
      <c r="H70" s="160">
        <f t="shared" si="24"/>
        <v>6075</v>
      </c>
      <c r="I70" s="160">
        <f>SUM(I72:I74)</f>
        <v>0</v>
      </c>
      <c r="J70" s="160">
        <f>SUM(J72:J74)</f>
        <v>0</v>
      </c>
      <c r="K70" s="136"/>
    </row>
    <row r="71" spans="1:11" s="154" customFormat="1" ht="12.75" outlineLevel="3" x14ac:dyDescent="0.15">
      <c r="A71" s="181" t="s">
        <v>1014</v>
      </c>
      <c r="B71" s="146" t="str">
        <f>IF(A71&lt;&gt;0,VLOOKUP(A71,[1]合同台帐!$A$4:$D$195,4,1),"")</f>
        <v>图纸打印</v>
      </c>
      <c r="C71" s="147"/>
      <c r="D71" s="148"/>
      <c r="E71" s="149"/>
      <c r="F71" s="150">
        <f>IF(A71&lt;&gt;0,IF(VLOOKUP(A71,[1]合同台帐!$A$4:$G$195,7,1),IF($H$2="元",VLOOKUP(A71,[1]合同台帐!$A$4:$G$195,7,1),VLOOKUP(A71,[1]合同台帐!$A$4:$G$195,7,1)),IF($H$2="元",VLOOKUP(A71,[1]合同台帐!$A$4:$F$195,6,1),VLOOKUP(A71,[1]合同台帐!$A$4:$F$195,6,1))),0)</f>
        <v>1000</v>
      </c>
      <c r="G71" s="151">
        <f>F71/K$2</f>
        <v>8.5937807496217454E-3</v>
      </c>
      <c r="H71" s="149">
        <f>IF(A71&lt;&gt;0,IF($H$2="元",VLOOKUP(A71,[1]合同台帐!$A$4:$K$1093,11,1),VLOOKUP(A71,[1]合同台帐!$A$4:$K$1093,11,1)),0)</f>
        <v>1000</v>
      </c>
      <c r="I71" s="177"/>
      <c r="J71" s="152"/>
      <c r="K71" s="178"/>
    </row>
    <row r="72" spans="1:11" s="154" customFormat="1" ht="12.75" outlineLevel="3" x14ac:dyDescent="0.15">
      <c r="A72" s="181" t="s">
        <v>1015</v>
      </c>
      <c r="B72" s="146" t="str">
        <f>IF(A72&lt;&gt;0,VLOOKUP(A72,[1]合同台帐!$A$4:$D$195,4,1),"")</f>
        <v>彩色打印效果图39张</v>
      </c>
      <c r="C72" s="147"/>
      <c r="D72" s="148"/>
      <c r="E72" s="149"/>
      <c r="F72" s="150">
        <f>IF(A72&lt;&gt;0,IF(VLOOKUP(A72,[1]合同台帐!$A$4:$G$195,7,1),IF($H$2="元",VLOOKUP(A72,[1]合同台帐!$A$4:$G$195,7,1),VLOOKUP(A72,[1]合同台帐!$A$4:$G$195,7,1)),IF($H$2="元",VLOOKUP(A72,[1]合同台帐!$A$4:$F$195,6,1),VLOOKUP(A72,[1]合同台帐!$A$4:$F$195,6,1))),0)</f>
        <v>390</v>
      </c>
      <c r="G72" s="151">
        <f>F72/K$2</f>
        <v>3.3515744923524804E-3</v>
      </c>
      <c r="H72" s="149">
        <f>IF(A72&lt;&gt;0,IF($H$2="元",VLOOKUP(A72,[1]合同台帐!$A$4:$K$1093,11,1),VLOOKUP(A72,[1]合同台帐!$A$4:$K$1093,11,1)),0)</f>
        <v>390</v>
      </c>
      <c r="I72" s="177"/>
      <c r="J72" s="152"/>
      <c r="K72" s="178"/>
    </row>
    <row r="73" spans="1:11" s="154" customFormat="1" ht="12.75" outlineLevel="3" x14ac:dyDescent="0.15">
      <c r="A73" s="181" t="s">
        <v>1016</v>
      </c>
      <c r="B73" s="146" t="str">
        <f>IF(A73&lt;&gt;0,VLOOKUP(A73,[1]合同台帐!$A$4:$D$195,4,1),"")</f>
        <v>图纸打印</v>
      </c>
      <c r="C73" s="147"/>
      <c r="D73" s="148"/>
      <c r="E73" s="149"/>
      <c r="F73" s="150">
        <f>IF(A73&lt;&gt;0,IF(VLOOKUP(A73,[1]合同台帐!$A$4:$G$195,7,1),IF($H$2="元",VLOOKUP(A73,[1]合同台帐!$A$4:$G$195,7,1),VLOOKUP(A73,[1]合同台帐!$A$4:$G$195,7,1)),IF($H$2="元",VLOOKUP(A73,[1]合同台帐!$A$4:$F$195,6,1),VLOOKUP(A73,[1]合同台帐!$A$4:$F$195,6,1))),0)</f>
        <v>1000</v>
      </c>
      <c r="G73" s="151">
        <f>F73/K$2</f>
        <v>8.5937807496217454E-3</v>
      </c>
      <c r="H73" s="149">
        <f>IF(A73&lt;&gt;0,IF($H$2="元",VLOOKUP(A73,[1]合同台帐!$A$4:$K$1093,11,1),VLOOKUP(A73,[1]合同台帐!$A$4:$K$1093,11,1)),0)</f>
        <v>1000</v>
      </c>
      <c r="I73" s="177"/>
      <c r="J73" s="152"/>
      <c r="K73" s="178"/>
    </row>
    <row r="74" spans="1:11" s="154" customFormat="1" ht="12.75" outlineLevel="3" x14ac:dyDescent="0.15">
      <c r="A74" s="181" t="s">
        <v>1017</v>
      </c>
      <c r="B74" s="146" t="str">
        <f>IF(A74&lt;&gt;0,VLOOKUP(A74,[1]合同台帐!$A$4:$D$195,4,1),"")</f>
        <v>图纸打印</v>
      </c>
      <c r="C74" s="147"/>
      <c r="D74" s="148"/>
      <c r="E74" s="149"/>
      <c r="F74" s="150">
        <f>IF(A74&lt;&gt;0,IF(VLOOKUP(A74,[1]合同台帐!$A$4:$G$195,7,1),IF($H$2="元",VLOOKUP(A74,[1]合同台帐!$A$4:$G$195,7,1),VLOOKUP(A74,[1]合同台帐!$A$4:$G$195,7,1)),IF($H$2="元",VLOOKUP(A74,[1]合同台帐!$A$4:$F$195,6,1),VLOOKUP(A74,[1]合同台帐!$A$4:$F$195,6,1))),0)</f>
        <v>3685</v>
      </c>
      <c r="G74" s="151">
        <f>F74/K$2</f>
        <v>3.1668082062356127E-2</v>
      </c>
      <c r="H74" s="149">
        <f>IF(A74&lt;&gt;0,IF($H$2="元",VLOOKUP(A74,[1]合同台帐!$A$4:$K$1093,11,1),VLOOKUP(A74,[1]合同台帐!$A$4:$K$1093,11,1)),0)</f>
        <v>3685</v>
      </c>
      <c r="I74" s="177"/>
      <c r="J74" s="152"/>
      <c r="K74" s="178"/>
    </row>
    <row r="75" spans="1:11" ht="18" customHeight="1" outlineLevel="1" x14ac:dyDescent="0.15">
      <c r="A75" s="138"/>
      <c r="B75" s="139" t="s">
        <v>1018</v>
      </c>
      <c r="C75" s="140" t="s">
        <v>1019</v>
      </c>
      <c r="D75" s="165">
        <f t="shared" ref="D75:H75" si="25">D98+D84+D88+D76+D91+D103+D94</f>
        <v>73.632200965219084</v>
      </c>
      <c r="E75" s="165">
        <f t="shared" si="25"/>
        <v>856.80799999999999</v>
      </c>
      <c r="F75" s="165">
        <f t="shared" si="25"/>
        <v>8349707</v>
      </c>
      <c r="G75" s="165">
        <f t="shared" si="25"/>
        <v>12.458464109191892</v>
      </c>
      <c r="H75" s="165">
        <f t="shared" si="25"/>
        <v>6099695</v>
      </c>
      <c r="I75" s="142">
        <f>F75-E75*10000</f>
        <v>-218373</v>
      </c>
      <c r="J75" s="143">
        <f>G75-D75</f>
        <v>-61.17373685602719</v>
      </c>
      <c r="K75" s="136"/>
    </row>
    <row r="76" spans="1:11" ht="24" outlineLevel="2" x14ac:dyDescent="0.15">
      <c r="A76" s="174"/>
      <c r="B76" s="156" t="s">
        <v>1020</v>
      </c>
      <c r="C76" s="157"/>
      <c r="D76" s="158">
        <f>E76/K$2*10000</f>
        <v>4.366998438166287</v>
      </c>
      <c r="E76" s="159">
        <v>50.815800000000003</v>
      </c>
      <c r="F76" s="160">
        <f>SUM(F77:F83)</f>
        <v>656177</v>
      </c>
      <c r="G76" s="160">
        <f t="shared" ref="G76:H76" si="26">SUM(G77:G83)</f>
        <v>5.6390412709445483</v>
      </c>
      <c r="H76" s="160">
        <f t="shared" si="26"/>
        <v>506177</v>
      </c>
      <c r="I76" s="177"/>
      <c r="J76" s="162"/>
      <c r="K76" s="136"/>
    </row>
    <row r="77" spans="1:11" s="154" customFormat="1" ht="12.75" outlineLevel="3" x14ac:dyDescent="0.15">
      <c r="A77" s="181" t="s">
        <v>1021</v>
      </c>
      <c r="B77" s="146" t="str">
        <f>IF(A77&lt;&gt;0,VLOOKUP(A77,[1]合同台帐!$A$4:$D$195,4,1),"")</f>
        <v>临时电设计费</v>
      </c>
      <c r="C77" s="147"/>
      <c r="D77" s="148"/>
      <c r="E77" s="149"/>
      <c r="F77" s="150">
        <f>IF(A77&lt;&gt;0,IF(VLOOKUP(A77,[1]合同台帐!$A$4:$G$195,7,1),IF($H$2="元",VLOOKUP(A77,[1]合同台帐!$A$4:$G$195,7,1),VLOOKUP(A77,[1]合同台帐!$A$4:$G$195,7,1)),IF($H$2="元",VLOOKUP(A77,[1]合同台帐!$A$4:$F$195,6,1),VLOOKUP(A77,[1]合同台帐!$A$4:$F$195,6,1))),0)</f>
        <v>20285</v>
      </c>
      <c r="G77" s="151">
        <f t="shared" ref="G77:G82" si="27">F77/K$2</f>
        <v>0.17432484250607708</v>
      </c>
      <c r="H77" s="149">
        <f>IF(A77&lt;&gt;0,IF($H$2="元",VLOOKUP(A77,[1]合同台帐!$A$4:$K$1093,11,1),VLOOKUP(A77,[1]合同台帐!$A$4:$K$1093,11,1)),0)</f>
        <v>20285</v>
      </c>
      <c r="I77" s="177"/>
      <c r="J77" s="152"/>
      <c r="K77" s="178"/>
    </row>
    <row r="78" spans="1:11" s="154" customFormat="1" ht="12.75" outlineLevel="3" x14ac:dyDescent="0.15">
      <c r="A78" s="181" t="s">
        <v>1022</v>
      </c>
      <c r="B78" s="146" t="str">
        <f>IF(A78&lt;&gt;0,VLOOKUP(A78,[1]合同台帐!$A$4:$D$195,4,1),"")</f>
        <v>临电工程费</v>
      </c>
      <c r="C78" s="147"/>
      <c r="D78" s="148"/>
      <c r="E78" s="149"/>
      <c r="F78" s="150">
        <f>IF(A78&lt;&gt;0,IF(VLOOKUP(A78,[1]合同台帐!$A$4:$G$195,7,1),IF($H$2="元",VLOOKUP(A78,[1]合同台帐!$A$4:$G$195,7,1),VLOOKUP(A78,[1]合同台帐!$A$4:$G$195,7,1)),IF($H$2="元",VLOOKUP(A78,[1]合同台帐!$A$4:$F$195,6,1),VLOOKUP(A78,[1]合同台帐!$A$4:$F$195,6,1))),0)</f>
        <v>430000</v>
      </c>
      <c r="G78" s="151">
        <f t="shared" si="27"/>
        <v>3.6953257223373503</v>
      </c>
      <c r="H78" s="149">
        <f>IF(A78&lt;&gt;0,IF($H$2="元",VLOOKUP(A78,[1]合同台帐!$A$4:$K$1093,11,1),VLOOKUP(A78,[1]合同台帐!$A$4:$K$1093,11,1)),0)</f>
        <v>430000</v>
      </c>
      <c r="I78" s="177"/>
      <c r="J78" s="152"/>
      <c r="K78" s="178"/>
    </row>
    <row r="79" spans="1:11" s="154" customFormat="1" ht="12.75" outlineLevel="3" x14ac:dyDescent="0.15">
      <c r="A79" s="181" t="s">
        <v>1023</v>
      </c>
      <c r="B79" s="146" t="str">
        <f>IF(A79&lt;&gt;0,VLOOKUP(A79,[1]合同台帐!$A$4:$D$195,4,1),"")</f>
        <v>负荷管理装置费、外部供电工程费</v>
      </c>
      <c r="C79" s="147"/>
      <c r="D79" s="148"/>
      <c r="E79" s="149"/>
      <c r="F79" s="150">
        <f>IF(A79&lt;&gt;0,IF(VLOOKUP(A79,[1]合同台帐!$A$4:$G$195,7,1),IF($H$2="元",VLOOKUP(A79,[1]合同台帐!$A$4:$G$195,7,1),VLOOKUP(A79,[1]合同台帐!$A$4:$G$195,7,1)),IF($H$2="元",VLOOKUP(A79,[1]合同台帐!$A$4:$F$195,6,1),VLOOKUP(A79,[1]合同台帐!$A$4:$F$195,6,1))),0)</f>
        <v>40682</v>
      </c>
      <c r="G79" s="151">
        <f t="shared" si="27"/>
        <v>0.34961218845611181</v>
      </c>
      <c r="H79" s="149">
        <f>IF(A79&lt;&gt;0,IF($H$2="元",VLOOKUP(A79,[1]合同台帐!$A$4:$K$1093,11,1),VLOOKUP(A79,[1]合同台帐!$A$4:$K$1093,11,1)),0)</f>
        <v>40682</v>
      </c>
      <c r="I79" s="177"/>
      <c r="J79" s="152"/>
      <c r="K79" s="178"/>
    </row>
    <row r="80" spans="1:11" s="154" customFormat="1" ht="12.75" outlineLevel="3" x14ac:dyDescent="0.15">
      <c r="A80" s="181" t="s">
        <v>1024</v>
      </c>
      <c r="B80" s="146" t="str">
        <f>IF(A80&lt;&gt;0,VLOOKUP(A80,[1]合同台帐!$A$4:$D$195,4,1),"")</f>
        <v>公路占路费</v>
      </c>
      <c r="C80" s="147"/>
      <c r="D80" s="148"/>
      <c r="E80" s="149"/>
      <c r="F80" s="150">
        <f>IF(A80&lt;&gt;0,IF(VLOOKUP(A80,[1]合同台帐!$A$4:$G$195,7,1),IF($H$2="元",VLOOKUP(A80,[1]合同台帐!$A$4:$G$195,7,1),VLOOKUP(A80,[1]合同台帐!$A$4:$G$195,7,1)),IF($H$2="元",VLOOKUP(A80,[1]合同台帐!$A$4:$F$195,6,1),VLOOKUP(A80,[1]合同台帐!$A$4:$F$195,6,1))),0)</f>
        <v>15210</v>
      </c>
      <c r="G80" s="151">
        <f t="shared" si="27"/>
        <v>0.13071140520174673</v>
      </c>
      <c r="H80" s="149">
        <f>IF(A80&lt;&gt;0,IF($H$2="元",VLOOKUP(A80,[1]合同台帐!$A$4:$K$1093,11,1),VLOOKUP(A80,[1]合同台帐!$A$4:$K$1093,11,1)),0)</f>
        <v>15210</v>
      </c>
      <c r="I80" s="177"/>
      <c r="J80" s="152"/>
      <c r="K80" s="178"/>
    </row>
    <row r="81" spans="1:11" s="154" customFormat="1" ht="12.75" outlineLevel="3" x14ac:dyDescent="0.15">
      <c r="A81" s="181" t="s">
        <v>1025</v>
      </c>
      <c r="B81" s="146" t="str">
        <f>IF(A81&lt;&gt;0,VLOOKUP(A81,[1]合同台帐!$A$4:$D$195,4,1),"")</f>
        <v>装表临时用电高压供电合同</v>
      </c>
      <c r="C81" s="147"/>
      <c r="D81" s="148"/>
      <c r="E81" s="149"/>
      <c r="F81" s="150">
        <f>IF(A81&lt;&gt;0,IF(VLOOKUP(A81,[1]合同台帐!$A$4:$G$195,7,1),IF($H$2="元",VLOOKUP(A81,[1]合同台帐!$A$4:$G$195,7,1),VLOOKUP(A81,[1]合同台帐!$A$4:$G$195,7,1)),IF($H$2="元",VLOOKUP(A81,[1]合同台帐!$A$4:$F$195,6,1),VLOOKUP(A81,[1]合同台帐!$A$4:$F$195,6,1))),0)</f>
        <v>0</v>
      </c>
      <c r="G81" s="151">
        <f t="shared" si="27"/>
        <v>0</v>
      </c>
      <c r="H81" s="149">
        <f>IF(A81&lt;&gt;0,IF($H$2="元",VLOOKUP(A81,[1]合同台帐!$A$4:$K$1093,11,1),VLOOKUP(A81,[1]合同台帐!$A$4:$K$1093,11,1)),0)</f>
        <v>0</v>
      </c>
      <c r="I81" s="177"/>
      <c r="J81" s="152"/>
      <c r="K81" s="178"/>
    </row>
    <row r="82" spans="1:11" s="154" customFormat="1" ht="12.75" outlineLevel="3" x14ac:dyDescent="0.15">
      <c r="A82" s="183" t="s">
        <v>1026</v>
      </c>
      <c r="B82" s="146" t="str">
        <f>IF(A82&lt;&gt;0,VLOOKUP(A82,[1]合同台帐!$A$4:$D$195,4,1),"")</f>
        <v>变压器移位（一台）</v>
      </c>
      <c r="C82" s="147"/>
      <c r="D82" s="148"/>
      <c r="E82" s="149"/>
      <c r="F82" s="150">
        <f>IF(A82&lt;&gt;0,IF(VLOOKUP(A82,[1]合同台帐!$A$4:$G$195,7,1),IF($H$2="元",VLOOKUP(A82,[1]合同台帐!$A$4:$G$195,7,1),VLOOKUP(A82,[1]合同台帐!$A$4:$G$195,7,1)),IF($H$2="元",VLOOKUP(A82,[1]合同台帐!$A$4:$F$195,6,1),VLOOKUP(A82,[1]合同台帐!$A$4:$F$195,6,1))),0)</f>
        <v>150000</v>
      </c>
      <c r="G82" s="151">
        <f t="shared" si="27"/>
        <v>1.2890671124432618</v>
      </c>
      <c r="H82" s="149">
        <f>IF(A82&lt;&gt;0,IF($H$2="元",VLOOKUP(A82,[1]合同台帐!$A$4:$K$1093,11,1),VLOOKUP(A82,[1]合同台帐!$A$4:$K$1093,11,1)),0)</f>
        <v>0</v>
      </c>
      <c r="I82" s="177"/>
      <c r="J82" s="152"/>
      <c r="K82" s="178"/>
    </row>
    <row r="83" spans="1:11" s="154" customFormat="1" ht="12.75" outlineLevel="3" x14ac:dyDescent="0.15">
      <c r="A83" s="183"/>
      <c r="B83" s="146"/>
      <c r="C83" s="147"/>
      <c r="D83" s="148"/>
      <c r="E83" s="149"/>
      <c r="F83" s="150"/>
      <c r="G83" s="177"/>
      <c r="H83" s="184"/>
      <c r="I83" s="177"/>
      <c r="J83" s="152"/>
      <c r="K83" s="178"/>
    </row>
    <row r="84" spans="1:11" ht="24" outlineLevel="2" x14ac:dyDescent="0.15">
      <c r="A84" s="174"/>
      <c r="B84" s="175" t="s">
        <v>1027</v>
      </c>
      <c r="C84" s="176"/>
      <c r="D84" s="158">
        <f>E84/K$2*10000</f>
        <v>0.51340105576315265</v>
      </c>
      <c r="E84" s="159">
        <v>5.9741</v>
      </c>
      <c r="F84" s="160">
        <f>SUM(F85:F87)</f>
        <v>59505</v>
      </c>
      <c r="G84" s="160">
        <f t="shared" ref="G84:H84" si="28">SUM(G85:G87)</f>
        <v>0.51137292350624186</v>
      </c>
      <c r="H84" s="160">
        <f t="shared" si="28"/>
        <v>59505</v>
      </c>
      <c r="I84" s="177"/>
      <c r="J84" s="162"/>
      <c r="K84" s="136"/>
    </row>
    <row r="85" spans="1:11" s="154" customFormat="1" ht="12.75" outlineLevel="3" x14ac:dyDescent="0.15">
      <c r="A85" s="181" t="s">
        <v>1028</v>
      </c>
      <c r="B85" s="146" t="str">
        <f>IF(A85&lt;&gt;0,VLOOKUP(A85,[1]合同台帐!$A$4:$D$195,4,1),"")</f>
        <v>临时水施工费</v>
      </c>
      <c r="C85" s="147"/>
      <c r="D85" s="148"/>
      <c r="E85" s="149"/>
      <c r="F85" s="150">
        <f>IF(A85&lt;&gt;0,IF(VLOOKUP(A85,[1]合同台帐!$A$4:$G$195,7,1),IF($H$2="元",VLOOKUP(A85,[1]合同台帐!$A$4:$G$195,7,1),VLOOKUP(A85,[1]合同台帐!$A$4:$G$195,7,1)),IF($H$2="元",VLOOKUP(A85,[1]合同台帐!$A$4:$F$195,6,1),VLOOKUP(A85,[1]合同台帐!$A$4:$F$195,6,1))),0)</f>
        <v>50000</v>
      </c>
      <c r="G85" s="151">
        <f t="shared" ref="G85:G86" si="29">F85/K$2</f>
        <v>0.42968903748108722</v>
      </c>
      <c r="H85" s="149">
        <f>IF(A85&lt;&gt;0,IF($H$2="元",VLOOKUP(A85,[1]合同台帐!$A$4:$K$1093,11,1),VLOOKUP(A85,[1]合同台帐!$A$4:$K$1093,11,1)),0)</f>
        <v>50000</v>
      </c>
      <c r="I85" s="177"/>
      <c r="J85" s="152"/>
      <c r="K85" s="178"/>
    </row>
    <row r="86" spans="1:11" s="154" customFormat="1" ht="12.75" outlineLevel="3" x14ac:dyDescent="0.15">
      <c r="A86" s="181" t="s">
        <v>1029</v>
      </c>
      <c r="B86" s="146" t="str">
        <f>IF(A86&lt;&gt;0,VLOOKUP(A86,[1]合同台帐!$A$4:$D$195,4,1),"")</f>
        <v>临水施工占路及修复费</v>
      </c>
      <c r="C86" s="147"/>
      <c r="D86" s="148"/>
      <c r="E86" s="149"/>
      <c r="F86" s="150">
        <f>IF(A86&lt;&gt;0,IF(VLOOKUP(A86,[1]合同台帐!$A$4:$G$195,7,1),IF($H$2="元",VLOOKUP(A86,[1]合同台帐!$A$4:$G$195,7,1),VLOOKUP(A86,[1]合同台帐!$A$4:$G$195,7,1)),IF($H$2="元",VLOOKUP(A86,[1]合同台帐!$A$4:$F$195,6,1),VLOOKUP(A86,[1]合同台帐!$A$4:$F$195,6,1))),0)</f>
        <v>9505</v>
      </c>
      <c r="G86" s="151">
        <f t="shared" si="29"/>
        <v>8.1683886025154681E-2</v>
      </c>
      <c r="H86" s="149">
        <f>IF(A86&lt;&gt;0,IF($H$2="元",VLOOKUP(A86,[1]合同台帐!$A$4:$K$1093,11,1),VLOOKUP(A86,[1]合同台帐!$A$4:$K$1093,11,1)),0)</f>
        <v>9505</v>
      </c>
      <c r="I86" s="177"/>
      <c r="J86" s="152"/>
      <c r="K86" s="178"/>
    </row>
    <row r="87" spans="1:11" s="144" customFormat="1" ht="12.75" outlineLevel="3" x14ac:dyDescent="0.15">
      <c r="A87" s="155"/>
      <c r="B87" s="156"/>
      <c r="C87" s="157"/>
      <c r="D87" s="158"/>
      <c r="E87" s="159"/>
      <c r="F87" s="160"/>
      <c r="G87" s="161"/>
      <c r="H87" s="149">
        <f>IF(A87&lt;&gt;0,IF($H$2="元",VLOOKUP(A87,[1]合同台帐!$A$4:$K$1093,11,1),VLOOKUP(A87,[1]合同台帐!$A$4:$K$1093,11,1)),0)</f>
        <v>0</v>
      </c>
      <c r="I87" s="177"/>
      <c r="J87" s="162"/>
      <c r="K87" s="136"/>
    </row>
    <row r="88" spans="1:11" ht="12.75" outlineLevel="2" x14ac:dyDescent="0.15">
      <c r="A88" s="174"/>
      <c r="B88" s="156" t="s">
        <v>1030</v>
      </c>
      <c r="C88" s="157"/>
      <c r="D88" s="158">
        <f>E88/K$2*10000</f>
        <v>0</v>
      </c>
      <c r="E88" s="159">
        <v>0</v>
      </c>
      <c r="F88" s="160">
        <f>SUM(F89:F90)</f>
        <v>0</v>
      </c>
      <c r="G88" s="160">
        <f t="shared" ref="G88:J88" si="30">SUM(G89:G90)</f>
        <v>0</v>
      </c>
      <c r="H88" s="160">
        <f t="shared" si="30"/>
        <v>0</v>
      </c>
      <c r="I88" s="160">
        <f t="shared" si="30"/>
        <v>0</v>
      </c>
      <c r="J88" s="160">
        <f t="shared" si="30"/>
        <v>0</v>
      </c>
      <c r="K88" s="136"/>
    </row>
    <row r="89" spans="1:11" ht="12.75" outlineLevel="3" x14ac:dyDescent="0.15">
      <c r="A89" s="174"/>
      <c r="B89" s="175"/>
      <c r="C89" s="157"/>
      <c r="D89" s="158"/>
      <c r="E89" s="159"/>
      <c r="F89" s="160"/>
      <c r="G89" s="161"/>
      <c r="H89" s="149">
        <f>IF(A89&lt;&gt;0,IF($H$2="元",VLOOKUP(A89,[1]合同台帐!$A$4:$K$1093,11,1),VLOOKUP(A89,[1]合同台帐!$A$4:$K$1093,11,1)),0)</f>
        <v>0</v>
      </c>
      <c r="I89" s="177"/>
      <c r="J89" s="162"/>
      <c r="K89" s="136"/>
    </row>
    <row r="90" spans="1:11" ht="12.75" outlineLevel="3" x14ac:dyDescent="0.15">
      <c r="A90" s="174"/>
      <c r="B90" s="175"/>
      <c r="C90" s="157"/>
      <c r="D90" s="158"/>
      <c r="E90" s="159"/>
      <c r="F90" s="160"/>
      <c r="G90" s="161"/>
      <c r="H90" s="149">
        <f>IF(A90&lt;&gt;0,IF($H$2="元",VLOOKUP(A90,[1]合同台帐!$A$4:$K$1093,11,1),VLOOKUP(A90,[1]合同台帐!$A$4:$K$1093,11,1)),0)</f>
        <v>0</v>
      </c>
      <c r="I90" s="177"/>
      <c r="J90" s="162"/>
      <c r="K90" s="136"/>
    </row>
    <row r="91" spans="1:11" ht="12.75" outlineLevel="2" x14ac:dyDescent="0.15">
      <c r="A91" s="174"/>
      <c r="B91" s="156" t="s">
        <v>1031</v>
      </c>
      <c r="C91" s="157"/>
      <c r="D91" s="158">
        <f>E91/K$2*10000</f>
        <v>60.046000789596583</v>
      </c>
      <c r="E91" s="159">
        <v>698.71460000000002</v>
      </c>
      <c r="F91" s="160">
        <f>SUM(F92:F93)</f>
        <v>6750000</v>
      </c>
      <c r="G91" s="160">
        <f t="shared" ref="G91:H91" si="31">SUM(G92:G93)</f>
        <v>0</v>
      </c>
      <c r="H91" s="160">
        <f t="shared" si="31"/>
        <v>4649988</v>
      </c>
      <c r="I91" s="177"/>
      <c r="J91" s="162"/>
      <c r="K91" s="136"/>
    </row>
    <row r="92" spans="1:11" s="154" customFormat="1" ht="12.75" outlineLevel="3" x14ac:dyDescent="0.15">
      <c r="A92" s="145" t="s">
        <v>1032</v>
      </c>
      <c r="B92" s="146" t="str">
        <f>IF(A92&lt;&gt;0,VLOOKUP(A92,[1]合同台帐!$A$4:$D$893,4,1),"")</f>
        <v>场地平整</v>
      </c>
      <c r="C92" s="147"/>
      <c r="D92" s="148"/>
      <c r="E92" s="149"/>
      <c r="F92" s="150">
        <f>IF(A92&lt;&gt;0,VLOOKUP(A92,[1]合同台帐!$A$4:$J$893,6,1),"")</f>
        <v>6750000</v>
      </c>
      <c r="G92" s="151"/>
      <c r="H92" s="149">
        <f>IF(A92&lt;&gt;0,IF($H$2="元",VLOOKUP(A92,[1]合同台帐!$A$4:$K$1093,11,1),VLOOKUP(A92,[1]合同台帐!$A$4:$K$1093,11,1)),0)</f>
        <v>4649988</v>
      </c>
      <c r="I92" s="150"/>
      <c r="J92" s="152"/>
      <c r="K92" s="178"/>
    </row>
    <row r="93" spans="1:11" s="144" customFormat="1" ht="12.75" outlineLevel="3" x14ac:dyDescent="0.15">
      <c r="A93" s="155"/>
      <c r="B93" s="156"/>
      <c r="C93" s="157"/>
      <c r="D93" s="158"/>
      <c r="E93" s="159"/>
      <c r="F93" s="160"/>
      <c r="G93" s="161"/>
      <c r="H93" s="149">
        <f>IF(A93&lt;&gt;0,IF($H$2="元",VLOOKUP(A93,[1]合同台帐!$A$4:$K$1093,11,1),VLOOKUP(A93,[1]合同台帐!$A$4:$K$1093,11,1)),0)</f>
        <v>0</v>
      </c>
      <c r="I93" s="168"/>
      <c r="J93" s="162"/>
      <c r="K93" s="136"/>
    </row>
    <row r="94" spans="1:11" ht="12.75" outlineLevel="2" x14ac:dyDescent="0.15">
      <c r="A94" s="174"/>
      <c r="B94" s="156" t="s">
        <v>1033</v>
      </c>
      <c r="C94" s="157"/>
      <c r="D94" s="158">
        <f>E94/K$2*10000</f>
        <v>4.0000010312536896</v>
      </c>
      <c r="E94" s="159">
        <v>46.545299999999997</v>
      </c>
      <c r="F94" s="160">
        <f>SUM(F95:F97)</f>
        <v>338000</v>
      </c>
      <c r="G94" s="160">
        <f t="shared" ref="G94:J94" si="32">SUM(G95:G97)</f>
        <v>2.9046978933721497</v>
      </c>
      <c r="H94" s="160">
        <f t="shared" si="32"/>
        <v>338000</v>
      </c>
      <c r="I94" s="160">
        <f t="shared" si="32"/>
        <v>0</v>
      </c>
      <c r="J94" s="160">
        <f t="shared" si="32"/>
        <v>0</v>
      </c>
      <c r="K94" s="136"/>
    </row>
    <row r="95" spans="1:11" s="154" customFormat="1" ht="12.75" outlineLevel="3" x14ac:dyDescent="0.15">
      <c r="A95" s="145" t="s">
        <v>1034</v>
      </c>
      <c r="B95" s="146" t="str">
        <f>IF(A95&lt;&gt;0,VLOOKUP(A95,[1]合同台帐!$A$4:$D$893,4,1),"")</f>
        <v>博御园临时围墙工程</v>
      </c>
      <c r="C95" s="147"/>
      <c r="D95" s="148"/>
      <c r="E95" s="149"/>
      <c r="F95" s="150">
        <f>IF(A95&lt;&gt;0,VLOOKUP(A95,[1]合同台帐!$A$4:$J$893,6,1),"")</f>
        <v>200000</v>
      </c>
      <c r="G95" s="151">
        <f>F95/K2</f>
        <v>1.7187561499243489</v>
      </c>
      <c r="H95" s="149">
        <f>IF(A95&lt;&gt;0,IF($H$2="元",VLOOKUP(A95,[1]合同台帐!$A$4:$K$1093,11,1),VLOOKUP(A95,[1]合同台帐!$A$4:$K$1093,11,1)),0)</f>
        <v>200000</v>
      </c>
      <c r="I95" s="150"/>
      <c r="J95" s="152"/>
      <c r="K95" s="178"/>
    </row>
    <row r="96" spans="1:11" s="154" customFormat="1" ht="12.75" outlineLevel="3" x14ac:dyDescent="0.15">
      <c r="A96" s="145" t="s">
        <v>1035</v>
      </c>
      <c r="B96" s="146" t="str">
        <f>IF(A96&lt;&gt;0,VLOOKUP(A96,[1]合同台帐!$A$4:$D$893,4,1),"")</f>
        <v>彩钢临时围挡</v>
      </c>
      <c r="C96" s="147"/>
      <c r="D96" s="148"/>
      <c r="E96" s="149"/>
      <c r="F96" s="150">
        <f>IF(A96&lt;&gt;0,VLOOKUP(A96,[1]合同台帐!$A$4:$J$893,6,1),"")</f>
        <v>138000</v>
      </c>
      <c r="G96" s="151">
        <f>F96/K2</f>
        <v>1.1859417434478008</v>
      </c>
      <c r="H96" s="149">
        <f>IF(A96&lt;&gt;0,IF($H$2="元",VLOOKUP(A96,[1]合同台帐!$A$4:$K$1093,11,1),VLOOKUP(A96,[1]合同台帐!$A$4:$K$1093,11,1)),0)</f>
        <v>138000</v>
      </c>
      <c r="I96" s="177"/>
      <c r="J96" s="152"/>
      <c r="K96" s="178"/>
    </row>
    <row r="97" spans="1:11" s="154" customFormat="1" ht="12.75" outlineLevel="3" x14ac:dyDescent="0.15">
      <c r="A97" s="185"/>
      <c r="B97" s="146"/>
      <c r="C97" s="147"/>
      <c r="D97" s="148"/>
      <c r="E97" s="149"/>
      <c r="F97" s="150"/>
      <c r="G97" s="151"/>
      <c r="H97" s="187"/>
      <c r="I97" s="177"/>
      <c r="J97" s="152"/>
      <c r="K97" s="178"/>
    </row>
    <row r="98" spans="1:11" ht="12.75" outlineLevel="2" x14ac:dyDescent="0.15">
      <c r="A98" s="174"/>
      <c r="B98" s="175" t="s">
        <v>1036</v>
      </c>
      <c r="C98" s="176"/>
      <c r="D98" s="158">
        <f>E98/K$2*10000</f>
        <v>3.4166981628731139</v>
      </c>
      <c r="E98" s="159">
        <v>39.757800000000003</v>
      </c>
      <c r="F98" s="160">
        <f>SUM(F99:F102)</f>
        <v>396025</v>
      </c>
      <c r="G98" s="160">
        <f t="shared" ref="G98:H98" si="33">SUM(G99:G102)</f>
        <v>3.4033520213689514</v>
      </c>
      <c r="H98" s="160">
        <f t="shared" si="33"/>
        <v>396025</v>
      </c>
      <c r="I98" s="177"/>
      <c r="J98" s="162"/>
      <c r="K98" s="136"/>
    </row>
    <row r="99" spans="1:11" s="154" customFormat="1" ht="12.75" outlineLevel="3" x14ac:dyDescent="0.15">
      <c r="A99" s="181" t="s">
        <v>1037</v>
      </c>
      <c r="B99" s="146" t="str">
        <f>IF(A99&lt;&gt;0,VLOOKUP(A99,[1]合同台帐!$A$4:$D$195,4,1),"")</f>
        <v>南侧道路开口</v>
      </c>
      <c r="C99" s="147"/>
      <c r="D99" s="148"/>
      <c r="E99" s="149"/>
      <c r="F99" s="150">
        <f>IF(A99&lt;&gt;0,IF(VLOOKUP(A99,[1]合同台帐!$A$4:$G$195,7,1),IF($H$2="元",VLOOKUP(A99,[1]合同台帐!$A$4:$G$195,7,1),VLOOKUP(A99,[1]合同台帐!$A$4:$G$195,7,1)),IF($H$2="元",VLOOKUP(A99,[1]合同台帐!$A$4:$F$195,6,1),VLOOKUP(A99,[1]合同台帐!$A$4:$F$195,6,1))),0)</f>
        <v>131400</v>
      </c>
      <c r="G99" s="151">
        <f>F99/K$2</f>
        <v>1.1292227905002972</v>
      </c>
      <c r="H99" s="149">
        <f>IF(A99&lt;&gt;0,IF($H$2="元",VLOOKUP(A99,[1]合同台帐!$A$4:$K$1093,11,1),VLOOKUP(A99,[1]合同台帐!$A$4:$K$1093,11,1)),0)</f>
        <v>131400</v>
      </c>
      <c r="I99" s="177"/>
      <c r="J99" s="152"/>
      <c r="K99" s="178"/>
    </row>
    <row r="100" spans="1:11" s="154" customFormat="1" ht="12.75" outlineLevel="3" x14ac:dyDescent="0.15">
      <c r="A100" s="181" t="s">
        <v>1038</v>
      </c>
      <c r="B100" s="146" t="str">
        <f>IF(A100&lt;&gt;0,VLOOKUP(A100,[1]合同台帐!$A$4:$D$195,4,1),"")</f>
        <v>西侧道路开口</v>
      </c>
      <c r="C100" s="147"/>
      <c r="D100" s="148"/>
      <c r="E100" s="149"/>
      <c r="F100" s="150">
        <f>IF(A100&lt;&gt;0,IF(VLOOKUP(A100,[1]合同台帐!$A$4:$G$195,7,1),IF($H$2="元",VLOOKUP(A100,[1]合同台帐!$A$4:$G$195,7,1),VLOOKUP(A100,[1]合同台帐!$A$4:$G$195,7,1)),IF($H$2="元",VLOOKUP(A100,[1]合同台帐!$A$4:$F$195,6,1),VLOOKUP(A100,[1]合同台帐!$A$4:$F$195,6,1))),0)</f>
        <v>264625</v>
      </c>
      <c r="G100" s="151">
        <f>F100/K$2</f>
        <v>2.2741292308686543</v>
      </c>
      <c r="H100" s="149">
        <f>IF(A100&lt;&gt;0,IF($H$2="元",VLOOKUP(A100,[1]合同台帐!$A$4:$K$1093,11,1),VLOOKUP(A100,[1]合同台帐!$A$4:$K$1093,11,1)),0)</f>
        <v>264625</v>
      </c>
      <c r="I100" s="177"/>
      <c r="J100" s="152"/>
      <c r="K100" s="178"/>
    </row>
    <row r="101" spans="1:11" s="144" customFormat="1" ht="15.75" customHeight="1" outlineLevel="3" x14ac:dyDescent="0.15">
      <c r="A101" s="155"/>
      <c r="B101" s="175"/>
      <c r="C101" s="176"/>
      <c r="D101" s="158"/>
      <c r="E101" s="159"/>
      <c r="F101" s="160"/>
      <c r="G101" s="161"/>
      <c r="H101" s="149"/>
      <c r="I101" s="177"/>
      <c r="J101" s="162"/>
      <c r="K101" s="136"/>
    </row>
    <row r="102" spans="1:11" s="144" customFormat="1" ht="15.75" customHeight="1" outlineLevel="3" x14ac:dyDescent="0.15">
      <c r="A102" s="155"/>
      <c r="B102" s="175"/>
      <c r="C102" s="176"/>
      <c r="D102" s="158"/>
      <c r="E102" s="159"/>
      <c r="F102" s="160"/>
      <c r="G102" s="161"/>
      <c r="H102" s="149">
        <f>IF(A102&lt;&gt;0,IF($H$2="元",VLOOKUP(A102,[1]合同台帐!$A$4:$K$1093,11,1),VLOOKUP(A102,[1]合同台帐!$A$4:$K$1093,11,1)),0)</f>
        <v>0</v>
      </c>
      <c r="I102" s="177"/>
      <c r="J102" s="162"/>
      <c r="K102" s="136"/>
    </row>
    <row r="103" spans="1:11" ht="12.75" outlineLevel="2" x14ac:dyDescent="0.15">
      <c r="A103" s="174"/>
      <c r="B103" s="156" t="s">
        <v>1039</v>
      </c>
      <c r="C103" s="157"/>
      <c r="D103" s="158">
        <f>E103/K$2*10000</f>
        <v>1.2891014875662603</v>
      </c>
      <c r="E103" s="159">
        <v>15.000400000000001</v>
      </c>
      <c r="F103" s="160">
        <f>SUM(F104:F107)</f>
        <v>150000</v>
      </c>
      <c r="G103" s="160">
        <f t="shared" ref="G103:J103" si="34">SUM(G104:G107)</f>
        <v>0</v>
      </c>
      <c r="H103" s="160">
        <f t="shared" si="34"/>
        <v>150000</v>
      </c>
      <c r="I103" s="160">
        <f t="shared" si="34"/>
        <v>0</v>
      </c>
      <c r="J103" s="160">
        <f t="shared" si="34"/>
        <v>0</v>
      </c>
      <c r="K103" s="136"/>
    </row>
    <row r="104" spans="1:11" s="154" customFormat="1" ht="12.75" outlineLevel="3" x14ac:dyDescent="0.15">
      <c r="A104" s="145" t="s">
        <v>1040</v>
      </c>
      <c r="B104" s="146" t="str">
        <f>IF(A104&lt;&gt;0,VLOOKUP(A104,[1]合同台帐!$A$4:$D$893,4,1),"")</f>
        <v>柿子树补偿协议书</v>
      </c>
      <c r="C104" s="147"/>
      <c r="D104" s="148"/>
      <c r="E104" s="149"/>
      <c r="F104" s="150">
        <f>IF(A104&lt;&gt;0,VLOOKUP(A104,[1]合同台帐!$A$4:$J$893,6,1),"")</f>
        <v>30000</v>
      </c>
      <c r="G104" s="151"/>
      <c r="H104" s="149">
        <f>IF(A104&lt;&gt;0,IF($H$2="元",VLOOKUP(A104,[1]合同台帐!$A$4:$K$1093,11,1),VLOOKUP(A104,[1]合同台帐!$A$4:$K$1093,11,1)),0)</f>
        <v>30000</v>
      </c>
      <c r="I104" s="150"/>
      <c r="J104" s="152"/>
      <c r="K104" s="178"/>
    </row>
    <row r="105" spans="1:11" s="154" customFormat="1" ht="12.75" outlineLevel="3" x14ac:dyDescent="0.15">
      <c r="A105" s="145" t="s">
        <v>1041</v>
      </c>
      <c r="B105" s="146" t="str">
        <f>IF(A105&lt;&gt;0,VLOOKUP(A105,[1]合同台帐!$A$4:$D$893,4,1),"")</f>
        <v>地下障碍物拆除</v>
      </c>
      <c r="C105" s="147"/>
      <c r="D105" s="148"/>
      <c r="E105" s="149"/>
      <c r="F105" s="150">
        <f>IF(A105&lt;&gt;0,VLOOKUP(A105,[1]合同台帐!$A$4:$J$893,6,1),"")</f>
        <v>120000</v>
      </c>
      <c r="G105" s="151"/>
      <c r="H105" s="149">
        <f>IF(A105&lt;&gt;0,IF($H$2="元",VLOOKUP(A105,[1]合同台帐!$A$4:$K$1093,11,1),VLOOKUP(A105,[1]合同台帐!$A$4:$K$1093,11,1)),0)</f>
        <v>120000</v>
      </c>
      <c r="I105" s="150"/>
      <c r="J105" s="152"/>
      <c r="K105" s="178"/>
    </row>
    <row r="106" spans="1:11" s="144" customFormat="1" ht="12.75" outlineLevel="3" x14ac:dyDescent="0.15">
      <c r="A106" s="155"/>
      <c r="B106" s="156"/>
      <c r="C106" s="157"/>
      <c r="D106" s="158"/>
      <c r="E106" s="159"/>
      <c r="F106" s="160"/>
      <c r="G106" s="161"/>
      <c r="H106" s="149">
        <f>IF(A106&lt;&gt;0,IF($H$2="元",VLOOKUP(A106,[1]合同台帐!$A$4:$K$1093,11,1),VLOOKUP(A106,[1]合同台帐!$A$4:$K$1093,11,1)),0)</f>
        <v>0</v>
      </c>
      <c r="I106" s="177"/>
      <c r="J106" s="143">
        <f t="shared" ref="J106:J107" si="35">G106-D106</f>
        <v>0</v>
      </c>
      <c r="K106" s="136"/>
    </row>
    <row r="107" spans="1:11" s="144" customFormat="1" ht="12.75" outlineLevel="3" x14ac:dyDescent="0.15">
      <c r="A107" s="155"/>
      <c r="B107" s="156"/>
      <c r="C107" s="157"/>
      <c r="D107" s="158"/>
      <c r="E107" s="159"/>
      <c r="F107" s="160"/>
      <c r="G107" s="161"/>
      <c r="H107" s="149">
        <f>IF(A107&lt;&gt;0,IF($H$2="元",VLOOKUP(A107,[1]合同台帐!$A$4:$K$1093,11,1),VLOOKUP(A107,[1]合同台帐!$A$4:$K$1093,11,1)),0)</f>
        <v>0</v>
      </c>
      <c r="I107" s="177"/>
      <c r="J107" s="143">
        <f t="shared" si="35"/>
        <v>0</v>
      </c>
      <c r="K107" s="136"/>
    </row>
    <row r="108" spans="1:11" ht="12.75" outlineLevel="1" x14ac:dyDescent="0.15">
      <c r="A108" s="138"/>
      <c r="B108" s="139" t="s">
        <v>1042</v>
      </c>
      <c r="C108" s="140" t="s">
        <v>1043</v>
      </c>
      <c r="D108" s="165">
        <f t="shared" ref="D108:J108" si="36">D109+D114+D124+D129</f>
        <v>10.503757115005929</v>
      </c>
      <c r="E108" s="165">
        <f t="shared" si="36"/>
        <v>122.2251</v>
      </c>
      <c r="F108" s="165">
        <f t="shared" si="36"/>
        <v>1156748.82</v>
      </c>
      <c r="G108" s="165" t="e">
        <f t="shared" si="36"/>
        <v>#VALUE!</v>
      </c>
      <c r="H108" s="165">
        <f t="shared" si="36"/>
        <v>837054.52</v>
      </c>
      <c r="I108" s="165">
        <f t="shared" si="36"/>
        <v>0</v>
      </c>
      <c r="J108" s="165">
        <f t="shared" si="36"/>
        <v>0</v>
      </c>
      <c r="K108" s="136"/>
    </row>
    <row r="109" spans="1:11" s="144" customFormat="1" ht="32.25" customHeight="1" outlineLevel="2" x14ac:dyDescent="0.15">
      <c r="A109" s="174"/>
      <c r="B109" s="156" t="s">
        <v>1044</v>
      </c>
      <c r="C109" s="157"/>
      <c r="D109" s="158">
        <f>E109/K$2*10000</f>
        <v>2.5073988155363867</v>
      </c>
      <c r="E109" s="159">
        <v>29.1769</v>
      </c>
      <c r="F109" s="160">
        <f>SUM(F110:F113)</f>
        <v>308733</v>
      </c>
      <c r="G109" s="160">
        <f t="shared" ref="G109:H109" si="37">SUM(G110:G113)</f>
        <v>2.6531837121729698</v>
      </c>
      <c r="H109" s="160">
        <f t="shared" si="37"/>
        <v>308733</v>
      </c>
      <c r="I109" s="177"/>
      <c r="J109" s="162"/>
      <c r="K109" s="136"/>
    </row>
    <row r="110" spans="1:11" s="154" customFormat="1" ht="18.75" customHeight="1" outlineLevel="3" x14ac:dyDescent="0.15">
      <c r="A110" s="145" t="s">
        <v>1045</v>
      </c>
      <c r="B110" s="146" t="str">
        <f>IF(A110&lt;&gt;0,VLOOKUP(A110,[1]合同台帐!$A$4:$D$893,4,1),"")</f>
        <v>招投标代理（设计、勘察、工程、监理）</v>
      </c>
      <c r="C110" s="147"/>
      <c r="D110" s="148"/>
      <c r="E110" s="149"/>
      <c r="F110" s="150">
        <f>IF(A110&lt;&gt;0,VLOOKUP(A110,[1]合同台帐!$A$4:$J$893,6,1),"")</f>
        <v>150733</v>
      </c>
      <c r="G110" s="151">
        <f>F110/K2</f>
        <v>1.2953663537327345</v>
      </c>
      <c r="H110" s="149">
        <f>IF(A110&lt;&gt;0,IF($H$2="元",VLOOKUP(A110,[1]合同台帐!$A$4:$K$1093,11,1),VLOOKUP(A110,[1]合同台帐!$A$4:$K$1093,11,1)),0)</f>
        <v>150733</v>
      </c>
      <c r="I110" s="150"/>
      <c r="J110" s="152"/>
      <c r="K110" s="178"/>
    </row>
    <row r="111" spans="1:11" s="154" customFormat="1" ht="18.75" customHeight="1" outlineLevel="3" x14ac:dyDescent="0.15">
      <c r="A111" s="145" t="s">
        <v>1046</v>
      </c>
      <c r="B111" s="146" t="str">
        <f>IF(A111&lt;&gt;0,VLOOKUP(A111,[1]合同台帐!$A$4:$D$893,4,1),"")</f>
        <v>物业招投标代理合同</v>
      </c>
      <c r="C111" s="147"/>
      <c r="D111" s="148"/>
      <c r="E111" s="149"/>
      <c r="F111" s="150">
        <f>IF(A111&lt;&gt;0,VLOOKUP(A111,[1]合同台帐!$A$4:$J$893,6,1),"")</f>
        <v>140000</v>
      </c>
      <c r="G111" s="151">
        <f>F111/K2</f>
        <v>1.2031293049470442</v>
      </c>
      <c r="H111" s="149">
        <f>IF(A111&lt;&gt;0,IF($H$2="元",VLOOKUP(A111,[1]合同台帐!$A$4:$K$1093,11,1),VLOOKUP(A111,[1]合同台帐!$A$4:$K$1093,11,1)),0)</f>
        <v>140000</v>
      </c>
      <c r="I111" s="150"/>
      <c r="J111" s="152"/>
      <c r="K111" s="178"/>
    </row>
    <row r="112" spans="1:11" s="154" customFormat="1" ht="18.75" customHeight="1" outlineLevel="3" x14ac:dyDescent="0.15">
      <c r="A112" s="145" t="s">
        <v>1047</v>
      </c>
      <c r="B112" s="146" t="str">
        <f>IF(A112&lt;&gt;0,VLOOKUP(A112,[1]合同台帐!$A$4:$D$893,4,1),"")</f>
        <v>招标代理费（界外地、示范区园林）</v>
      </c>
      <c r="C112" s="147"/>
      <c r="D112" s="148"/>
      <c r="E112" s="149"/>
      <c r="F112" s="150">
        <f>IF(A112&lt;&gt;0,VLOOKUP(A112,[1]合同台帐!$A$4:$J$893,6,1),"")</f>
        <v>18000</v>
      </c>
      <c r="G112" s="151">
        <f>F112/K2</f>
        <v>0.1546880534931914</v>
      </c>
      <c r="H112" s="149">
        <f>IF(A112&lt;&gt;0,IF($H$2="元",VLOOKUP(A112,[1]合同台帐!$A$4:$K$1093,11,1),VLOOKUP(A112,[1]合同台帐!$A$4:$K$1093,11,1)),0)</f>
        <v>18000</v>
      </c>
      <c r="I112" s="150"/>
      <c r="J112" s="152"/>
      <c r="K112" s="178"/>
    </row>
    <row r="113" spans="1:11" s="154" customFormat="1" ht="18.75" customHeight="1" outlineLevel="3" x14ac:dyDescent="0.15">
      <c r="A113" s="185"/>
      <c r="B113" s="146" t="str">
        <f>IF(A113&lt;&gt;0,VLOOKUP(A113,[1]合同台帐!$A$4:$D$893,4,1),"")</f>
        <v/>
      </c>
      <c r="C113" s="147"/>
      <c r="D113" s="148"/>
      <c r="E113" s="149"/>
      <c r="F113" s="150" t="str">
        <f>IF(A113&lt;&gt;0,VLOOKUP(A113,[1]合同台帐!$A$4:$J$893,6,1),"")</f>
        <v/>
      </c>
      <c r="G113" s="188"/>
      <c r="H113" s="149">
        <f>IF(A113&lt;&gt;0,IF($H$2="元",VLOOKUP(A113,[1]合同台帐!$A$4:$K$1093,11,1),VLOOKUP(A113,[1]合同台帐!$A$4:$K$1093,11,1)),0)</f>
        <v>0</v>
      </c>
      <c r="I113" s="150"/>
      <c r="J113" s="152"/>
      <c r="K113" s="178"/>
    </row>
    <row r="114" spans="1:11" s="144" customFormat="1" ht="33.75" customHeight="1" outlineLevel="2" x14ac:dyDescent="0.15">
      <c r="A114" s="174"/>
      <c r="B114" s="156" t="s">
        <v>1048</v>
      </c>
      <c r="C114" s="157"/>
      <c r="D114" s="158">
        <f>E114/K$2*10000</f>
        <v>1.9999962187364704</v>
      </c>
      <c r="E114" s="159">
        <v>23.272600000000001</v>
      </c>
      <c r="F114" s="160">
        <f t="shared" ref="F114:H114" si="38">SUM(F115:F123)</f>
        <v>246111.52</v>
      </c>
      <c r="G114" s="160" t="e">
        <f t="shared" si="38"/>
        <v>#VALUE!</v>
      </c>
      <c r="H114" s="160">
        <f t="shared" si="38"/>
        <v>246111.52</v>
      </c>
      <c r="I114" s="160">
        <f t="shared" ref="I114:J114" si="39">SUM(I115:I123)</f>
        <v>0</v>
      </c>
      <c r="J114" s="160">
        <f t="shared" si="39"/>
        <v>0</v>
      </c>
      <c r="K114" s="136"/>
    </row>
    <row r="115" spans="1:11" s="154" customFormat="1" ht="18.75" customHeight="1" outlineLevel="3" x14ac:dyDescent="0.15">
      <c r="A115" s="145" t="s">
        <v>1049</v>
      </c>
      <c r="B115" s="146" t="str">
        <f>IF(A115&lt;&gt;0,VLOOKUP(A115,[1]合同台帐!$A$4:$D$893,4,1),"")</f>
        <v>勘察、设计交易服务费（全项目）</v>
      </c>
      <c r="C115" s="147"/>
      <c r="D115" s="148"/>
      <c r="E115" s="149"/>
      <c r="F115" s="150">
        <f>IF(A115&lt;&gt;0,VLOOKUP(A115,[1]合同台帐!$A$4:$J$893,6,1),"")</f>
        <v>43800</v>
      </c>
      <c r="G115" s="151">
        <f>F115/K2</f>
        <v>0.37640759683343239</v>
      </c>
      <c r="H115" s="149">
        <f>IF(A115&lt;&gt;0,IF($H$2="元",VLOOKUP(A115,[1]合同台帐!$A$4:$K$1093,11,1),VLOOKUP(A115,[1]合同台帐!$A$4:$K$1093,11,1)),0)</f>
        <v>43800</v>
      </c>
      <c r="I115" s="150"/>
      <c r="J115" s="152"/>
      <c r="K115" s="178"/>
    </row>
    <row r="116" spans="1:11" s="154" customFormat="1" ht="18.75" customHeight="1" outlineLevel="3" x14ac:dyDescent="0.15">
      <c r="A116" s="145" t="s">
        <v>1050</v>
      </c>
      <c r="B116" s="146" t="str">
        <f>IF(A116&lt;&gt;0,VLOOKUP(A116,[1]合同台帐!$A$4:$D$893,4,1),"")</f>
        <v>建设工程交易服务费（一期）</v>
      </c>
      <c r="C116" s="147"/>
      <c r="D116" s="148"/>
      <c r="E116" s="149"/>
      <c r="F116" s="150">
        <f>IF(A116&lt;&gt;0,VLOOKUP(A116,[1]合同台帐!$A$4:$J$893,6,1),"")</f>
        <v>45600</v>
      </c>
      <c r="G116" s="151">
        <f>F116/K2</f>
        <v>0.39187640218275155</v>
      </c>
      <c r="H116" s="149">
        <f>IF(A116&lt;&gt;0,IF($H$2="元",VLOOKUP(A116,[1]合同台帐!$A$4:$K$1093,11,1),VLOOKUP(A116,[1]合同台帐!$A$4:$K$1093,11,1)),0)</f>
        <v>45600</v>
      </c>
      <c r="I116" s="150"/>
      <c r="J116" s="152"/>
      <c r="K116" s="178"/>
    </row>
    <row r="117" spans="1:11" s="154" customFormat="1" ht="18.75" customHeight="1" outlineLevel="3" x14ac:dyDescent="0.15">
      <c r="A117" s="145" t="s">
        <v>1051</v>
      </c>
      <c r="B117" s="146" t="str">
        <f>IF(A117&lt;&gt;0,VLOOKUP(A117,[1]合同台帐!$A$4:$D$893,4,1),"")</f>
        <v>工程监理交易服务费（全项目）</v>
      </c>
      <c r="C117" s="147"/>
      <c r="D117" s="148"/>
      <c r="E117" s="149"/>
      <c r="F117" s="150">
        <f>IF(A117&lt;&gt;0,VLOOKUP(A117,[1]合同台帐!$A$4:$J$893,6,1),"")</f>
        <v>21600</v>
      </c>
      <c r="G117" s="151">
        <f>F117/K2</f>
        <v>0.18562566419182969</v>
      </c>
      <c r="H117" s="149">
        <f>IF(A117&lt;&gt;0,IF($H$2="元",VLOOKUP(A117,[1]合同台帐!$A$4:$K$1093,11,1),VLOOKUP(A117,[1]合同台帐!$A$4:$K$1093,11,1)),0)</f>
        <v>21600</v>
      </c>
      <c r="I117" s="150"/>
      <c r="J117" s="152"/>
      <c r="K117" s="178"/>
    </row>
    <row r="118" spans="1:11" s="154" customFormat="1" ht="18.75" customHeight="1" outlineLevel="3" x14ac:dyDescent="0.15">
      <c r="A118" s="145" t="s">
        <v>1052</v>
      </c>
      <c r="B118" s="146" t="str">
        <f>IF(A118&lt;&gt;0,VLOOKUP(A118,[1]合同台帐!$A$4:$D$893,4,1),"")</f>
        <v>建安设备交易服务费（一期）蓟县收取</v>
      </c>
      <c r="C118" s="147"/>
      <c r="D118" s="148"/>
      <c r="E118" s="149"/>
      <c r="F118" s="150">
        <f>IF(A118&lt;&gt;0,VLOOKUP(A118,[1]合同台帐!$A$4:$J$893,6,1),"")</f>
        <v>12400</v>
      </c>
      <c r="G118" s="151">
        <f>F118/K2</f>
        <v>0.10656288129530964</v>
      </c>
      <c r="H118" s="149">
        <f>IF(A118&lt;&gt;0,IF($H$2="元",VLOOKUP(A118,[1]合同台帐!$A$4:$K$1093,11,1),VLOOKUP(A118,[1]合同台帐!$A$4:$K$1093,11,1)),0)</f>
        <v>12400</v>
      </c>
      <c r="I118" s="150"/>
      <c r="J118" s="152"/>
      <c r="K118" s="178"/>
    </row>
    <row r="119" spans="1:11" s="154" customFormat="1" ht="18.75" customHeight="1" outlineLevel="3" x14ac:dyDescent="0.15">
      <c r="A119" s="145" t="s">
        <v>1053</v>
      </c>
      <c r="B119" s="146" t="str">
        <f>IF(A119&lt;&gt;0,VLOOKUP(A119,[1]合同台帐!$A$4:$D$893,4,1),"")</f>
        <v>物业招标服务费（全项目）</v>
      </c>
      <c r="C119" s="147"/>
      <c r="D119" s="148"/>
      <c r="E119" s="149"/>
      <c r="F119" s="150">
        <f>IF(A119&lt;&gt;0,VLOOKUP(A119,[1]合同台帐!$A$4:$J$893,6,1),"")</f>
        <v>39911.519999999997</v>
      </c>
      <c r="G119" s="151">
        <f>F119/K2</f>
        <v>0.34299085226414322</v>
      </c>
      <c r="H119" s="149">
        <f>IF(A119&lt;&gt;0,IF($H$2="元",VLOOKUP(A119,[1]合同台帐!$A$4:$K$1093,11,1),VLOOKUP(A119,[1]合同台帐!$A$4:$K$1093,11,1)),0)</f>
        <v>39911.519999999997</v>
      </c>
      <c r="I119" s="150"/>
      <c r="J119" s="152"/>
      <c r="K119" s="178"/>
    </row>
    <row r="120" spans="1:11" s="144" customFormat="1" ht="24" outlineLevel="3" x14ac:dyDescent="0.15">
      <c r="A120" s="145" t="s">
        <v>1054</v>
      </c>
      <c r="B120" s="146" t="str">
        <f>IF(A120&lt;&gt;0,VLOOKUP(A120,[1]合同台帐!$A$4:$D$893,4,1),"")</f>
        <v>景观（界外地、示范区、小院围墙）招标交易服务费</v>
      </c>
      <c r="C120" s="157"/>
      <c r="D120" s="158"/>
      <c r="E120" s="159"/>
      <c r="F120" s="150">
        <f>IF(A120&lt;&gt;0,VLOOKUP(A120,[1]合同台帐!$A$4:$J$893,6,1),"")</f>
        <v>6400</v>
      </c>
      <c r="G120" s="151">
        <f>F120/K2</f>
        <v>5.5000196797579164E-2</v>
      </c>
      <c r="H120" s="149">
        <f>IF(A120&lt;&gt;0,IF($H$2="元",VLOOKUP(A120,[1]合同台帐!$A$4:$K$1093,11,1),VLOOKUP(A120,[1]合同台帐!$A$4:$K$1093,11,1)),0)</f>
        <v>6400</v>
      </c>
      <c r="I120" s="177"/>
      <c r="J120" s="162"/>
      <c r="K120" s="136"/>
    </row>
    <row r="121" spans="1:11" s="144" customFormat="1" ht="12.75" outlineLevel="3" x14ac:dyDescent="0.15">
      <c r="A121" s="189" t="s">
        <v>1055</v>
      </c>
      <c r="B121" s="146" t="str">
        <f>IF(A121&lt;&gt;0,VLOOKUP(A121,[1]合同台帐!$A$4:$D$893,4,1),"")</f>
        <v>（三期）招标交易服务费</v>
      </c>
      <c r="C121" s="157"/>
      <c r="D121" s="158"/>
      <c r="E121" s="159"/>
      <c r="F121" s="150">
        <f>IF(A121&lt;&gt;0,VLOOKUP(A121,[1]合同台帐!$A$4:$J$893,6,1),"")</f>
        <v>46000</v>
      </c>
      <c r="G121" s="151" t="e">
        <f>F121/K3</f>
        <v>#VALUE!</v>
      </c>
      <c r="H121" s="149">
        <f>IF(A121&lt;&gt;0,IF($H$2="元",VLOOKUP(A121,[1]合同台帐!$A$4:$K$1093,11,1),VLOOKUP(A121,[1]合同台帐!$A$4:$K$1093,11,1)),0)</f>
        <v>46000</v>
      </c>
      <c r="I121" s="177"/>
      <c r="J121" s="162"/>
      <c r="K121" s="136"/>
    </row>
    <row r="122" spans="1:11" s="144" customFormat="1" ht="12.75" outlineLevel="3" x14ac:dyDescent="0.15">
      <c r="A122" s="189" t="s">
        <v>1056</v>
      </c>
      <c r="B122" s="146" t="str">
        <f>IF(A122&lt;&gt;0,VLOOKUP(A122,[1]合同台帐!$A$4:$D$893,4,1),"")</f>
        <v>（二期）招标交易服务费</v>
      </c>
      <c r="C122" s="157"/>
      <c r="D122" s="158"/>
      <c r="E122" s="159"/>
      <c r="F122" s="150">
        <f>IF(A122&lt;&gt;0,VLOOKUP(A122,[1]合同台帐!$A$4:$J$893,6,1),"")</f>
        <v>30400</v>
      </c>
      <c r="G122" s="151" t="e">
        <f>F122/K4</f>
        <v>#DIV/0!</v>
      </c>
      <c r="H122" s="149">
        <f>IF(A122&lt;&gt;0,IF($H$2="元",VLOOKUP(A122,[1]合同台帐!$A$4:$K$1093,11,1),VLOOKUP(A122,[1]合同台帐!$A$4:$K$1093,11,1)),0)</f>
        <v>30400</v>
      </c>
      <c r="I122" s="177"/>
      <c r="J122" s="162"/>
      <c r="K122" s="136"/>
    </row>
    <row r="123" spans="1:11" s="144" customFormat="1" ht="12.75" outlineLevel="3" x14ac:dyDescent="0.15">
      <c r="A123" s="155"/>
      <c r="B123" s="156"/>
      <c r="C123" s="157"/>
      <c r="D123" s="158"/>
      <c r="E123" s="159"/>
      <c r="F123" s="160"/>
      <c r="G123" s="161"/>
      <c r="H123" s="159"/>
      <c r="I123" s="177"/>
      <c r="J123" s="162"/>
      <c r="K123" s="136"/>
    </row>
    <row r="124" spans="1:11" s="144" customFormat="1" ht="12.75" outlineLevel="2" x14ac:dyDescent="0.15">
      <c r="A124" s="174"/>
      <c r="B124" s="156" t="s">
        <v>1057</v>
      </c>
      <c r="C124" s="157"/>
      <c r="D124" s="158">
        <f>E124/K$2*10000</f>
        <v>0.8000036437630379</v>
      </c>
      <c r="E124" s="159">
        <v>9.3091000000000008</v>
      </c>
      <c r="F124" s="160">
        <f>SUM(F125:F128)</f>
        <v>92210</v>
      </c>
      <c r="G124" s="160">
        <f t="shared" ref="G124:J124" si="40">SUM(G125:G128)</f>
        <v>0.79243252292262112</v>
      </c>
      <c r="H124" s="160">
        <f t="shared" si="40"/>
        <v>92210</v>
      </c>
      <c r="I124" s="160">
        <f t="shared" si="40"/>
        <v>0</v>
      </c>
      <c r="J124" s="160">
        <f t="shared" si="40"/>
        <v>0</v>
      </c>
      <c r="K124" s="136"/>
    </row>
    <row r="125" spans="1:11" s="154" customFormat="1" ht="18.75" customHeight="1" outlineLevel="3" x14ac:dyDescent="0.15">
      <c r="A125" s="145" t="s">
        <v>1058</v>
      </c>
      <c r="B125" s="146" t="str">
        <f>IF(A125&lt;&gt;0,VLOOKUP(A125,[1]合同台帐!$A$4:$D$893,4,1),"")</f>
        <v>支付委托保证合同（一期）</v>
      </c>
      <c r="C125" s="147"/>
      <c r="D125" s="148"/>
      <c r="E125" s="149"/>
      <c r="F125" s="150">
        <f>IF(A125&lt;&gt;0,VLOOKUP(A125,[1]合同台帐!$A$4:$J$893,6,1),"")</f>
        <v>40000</v>
      </c>
      <c r="G125" s="151">
        <f>F125/K2</f>
        <v>0.34375122998486979</v>
      </c>
      <c r="H125" s="149">
        <f>IF(A125&lt;&gt;0,IF($H$2="元",VLOOKUP(A125,[1]合同台帐!$A$4:$K$1093,11,1),VLOOKUP(A125,[1]合同台帐!$A$4:$K$1093,11,1)),0)</f>
        <v>40000</v>
      </c>
      <c r="I125" s="150"/>
      <c r="J125" s="152"/>
      <c r="K125" s="178"/>
    </row>
    <row r="126" spans="1:11" s="154" customFormat="1" ht="18.75" customHeight="1" outlineLevel="3" x14ac:dyDescent="0.15">
      <c r="A126" s="185" t="s">
        <v>1059</v>
      </c>
      <c r="B126" s="146" t="str">
        <f>IF(A126&lt;&gt;0,VLOOKUP(A126,[1]合同台帐!$A$4:$D$893,4,1),"")</f>
        <v>支付委托保证合同（二期）</v>
      </c>
      <c r="C126" s="147"/>
      <c r="D126" s="148"/>
      <c r="E126" s="149"/>
      <c r="F126" s="150">
        <f>IF(A126&lt;&gt;0,VLOOKUP(A126,[1]合同台帐!$A$4:$J$893,6,1),"")</f>
        <v>17710</v>
      </c>
      <c r="G126" s="151">
        <f>F126/K2</f>
        <v>0.15219585707580111</v>
      </c>
      <c r="H126" s="149">
        <f>IF(A126&lt;&gt;0,IF($H$2="元",VLOOKUP(A126,[1]合同台帐!$A$4:$K$1093,11,1),VLOOKUP(A126,[1]合同台帐!$A$4:$K$1093,11,1)),0)</f>
        <v>17710</v>
      </c>
      <c r="I126" s="150"/>
      <c r="J126" s="152"/>
      <c r="K126" s="178"/>
    </row>
    <row r="127" spans="1:11" s="154" customFormat="1" ht="18.75" customHeight="1" outlineLevel="3" x14ac:dyDescent="0.15">
      <c r="A127" s="185" t="s">
        <v>1060</v>
      </c>
      <c r="B127" s="146" t="str">
        <f>IF(A127&lt;&gt;0,VLOOKUP(A127,[1]合同台帐!$A$4:$D$893,4,1),"")</f>
        <v>支付委托保证合同（三期）</v>
      </c>
      <c r="C127" s="147"/>
      <c r="D127" s="148"/>
      <c r="E127" s="149"/>
      <c r="F127" s="150">
        <f>IF(A127&lt;&gt;0,VLOOKUP(A127,[1]合同台帐!$A$4:$J$893,6,1),"")</f>
        <v>34500</v>
      </c>
      <c r="G127" s="151">
        <f>F127/K2</f>
        <v>0.2964854358619502</v>
      </c>
      <c r="H127" s="149">
        <f>IF(A127&lt;&gt;0,IF($H$2="元",VLOOKUP(A127,[1]合同台帐!$A$4:$K$1093,11,1),VLOOKUP(A127,[1]合同台帐!$A$4:$K$1093,11,1)),0)</f>
        <v>34500</v>
      </c>
      <c r="I127" s="150"/>
      <c r="J127" s="152"/>
      <c r="K127" s="178"/>
    </row>
    <row r="128" spans="1:11" s="144" customFormat="1" ht="12.75" outlineLevel="3" x14ac:dyDescent="0.15">
      <c r="A128" s="174"/>
      <c r="B128" s="156"/>
      <c r="C128" s="157"/>
      <c r="D128" s="158"/>
      <c r="E128" s="159"/>
      <c r="F128" s="160"/>
      <c r="G128" s="161"/>
      <c r="H128" s="159"/>
      <c r="I128" s="177"/>
      <c r="J128" s="162"/>
      <c r="K128" s="136"/>
    </row>
    <row r="129" spans="1:11" s="144" customFormat="1" ht="12.75" outlineLevel="2" x14ac:dyDescent="0.15">
      <c r="A129" s="174"/>
      <c r="B129" s="156" t="s">
        <v>1061</v>
      </c>
      <c r="C129" s="157"/>
      <c r="D129" s="158">
        <f>E129/K$2*10000</f>
        <v>5.1963584369700326</v>
      </c>
      <c r="E129" s="159">
        <v>60.466500000000003</v>
      </c>
      <c r="F129" s="160">
        <f>SUM(F130:F132)</f>
        <v>509694.3</v>
      </c>
      <c r="G129" s="160">
        <f t="shared" ref="G129:J129" si="41">SUM(G130:G132)</f>
        <v>4.3802010635319304</v>
      </c>
      <c r="H129" s="160">
        <f t="shared" si="41"/>
        <v>190000</v>
      </c>
      <c r="I129" s="160">
        <f t="shared" si="41"/>
        <v>0</v>
      </c>
      <c r="J129" s="160">
        <f t="shared" si="41"/>
        <v>0</v>
      </c>
      <c r="K129" s="136"/>
    </row>
    <row r="130" spans="1:11" s="154" customFormat="1" ht="12.75" outlineLevel="3" x14ac:dyDescent="0.15">
      <c r="A130" s="145" t="s">
        <v>1062</v>
      </c>
      <c r="B130" s="146" t="str">
        <f>IF(A130&lt;&gt;0,VLOOKUP(A130,[1]合同台帐!$A$4:$D$893,4,1),"")</f>
        <v>（一、三期）造价咨询合同</v>
      </c>
      <c r="C130" s="147"/>
      <c r="D130" s="148"/>
      <c r="E130" s="149"/>
      <c r="F130" s="150">
        <f>IF(A130&lt;&gt;0,VLOOKUP(A130,[1]合同台帐!$A$4:$J$893,6,1),"")</f>
        <v>300000</v>
      </c>
      <c r="G130" s="151">
        <f>F130/K2</f>
        <v>2.5781342248865236</v>
      </c>
      <c r="H130" s="149">
        <f>IF(A130&lt;&gt;0,IF($H$2="元",VLOOKUP(A130,[1]合同台帐!$A$4:$K$1093,11,1),VLOOKUP(A130,[1]合同台帐!$A$4:$K$1093,11,1)),0)</f>
        <v>140000</v>
      </c>
      <c r="I130" s="177"/>
      <c r="J130" s="152"/>
      <c r="K130" s="178"/>
    </row>
    <row r="131" spans="1:11" s="154" customFormat="1" ht="12.75" outlineLevel="3" x14ac:dyDescent="0.15">
      <c r="A131" s="145" t="s">
        <v>1063</v>
      </c>
      <c r="B131" s="146" t="str">
        <f>IF(A131&lt;&gt;0,VLOOKUP(A131,[1]合同台帐!$A$4:$D$893,4,1),"")</f>
        <v>（二期）造价咨询合同</v>
      </c>
      <c r="C131" s="147"/>
      <c r="D131" s="148"/>
      <c r="E131" s="149"/>
      <c r="F131" s="150">
        <f>IF(A131&lt;&gt;0,VLOOKUP(A131,[1]合同台帐!$A$4:$J$893,6,1),"")</f>
        <v>209694.3</v>
      </c>
      <c r="G131" s="151">
        <f>F131/K2</f>
        <v>1.8020668386454068</v>
      </c>
      <c r="H131" s="149">
        <f>IF(A131&lt;&gt;0,IF($H$2="元",VLOOKUP(A131,[1]合同台帐!$A$4:$K$1093,11,1),VLOOKUP(A131,[1]合同台帐!$A$4:$K$1093,11,1)),0)</f>
        <v>50000</v>
      </c>
      <c r="I131" s="177"/>
      <c r="J131" s="152"/>
      <c r="K131" s="178"/>
    </row>
    <row r="132" spans="1:11" s="144" customFormat="1" ht="12.75" outlineLevel="3" x14ac:dyDescent="0.15">
      <c r="A132" s="174"/>
      <c r="B132" s="156"/>
      <c r="C132" s="157"/>
      <c r="D132" s="158"/>
      <c r="E132" s="159"/>
      <c r="F132" s="160"/>
      <c r="G132" s="161"/>
      <c r="H132" s="159"/>
      <c r="I132" s="177"/>
      <c r="J132" s="162"/>
      <c r="K132" s="136"/>
    </row>
    <row r="133" spans="1:11" ht="12.75" outlineLevel="1" x14ac:dyDescent="0.15">
      <c r="A133" s="138"/>
      <c r="B133" s="139" t="s">
        <v>1064</v>
      </c>
      <c r="C133" s="140" t="s">
        <v>1043</v>
      </c>
      <c r="D133" s="165">
        <f t="shared" ref="D133:J133" si="42">D134+D138+D141+D144</f>
        <v>4.9114574175585721</v>
      </c>
      <c r="E133" s="165">
        <f t="shared" si="42"/>
        <v>57.151299999999999</v>
      </c>
      <c r="F133" s="165">
        <f t="shared" si="42"/>
        <v>337500</v>
      </c>
      <c r="G133" s="165">
        <f t="shared" si="42"/>
        <v>2.9004010029973388</v>
      </c>
      <c r="H133" s="165">
        <f t="shared" si="42"/>
        <v>337500</v>
      </c>
      <c r="I133" s="165">
        <f t="shared" si="42"/>
        <v>0</v>
      </c>
      <c r="J133" s="165">
        <f t="shared" si="42"/>
        <v>0</v>
      </c>
      <c r="K133" s="136"/>
    </row>
    <row r="134" spans="1:11" s="144" customFormat="1" ht="12.75" outlineLevel="2" x14ac:dyDescent="0.15">
      <c r="A134" s="174"/>
      <c r="B134" s="156" t="s">
        <v>1065</v>
      </c>
      <c r="C134" s="157"/>
      <c r="D134" s="158">
        <f>E134/K$2*10000</f>
        <v>2.0059001461114603</v>
      </c>
      <c r="E134" s="159">
        <v>23.3413</v>
      </c>
      <c r="F134" s="160">
        <f>SUM(F135:F137)</f>
        <v>232500</v>
      </c>
      <c r="G134" s="160">
        <f t="shared" ref="G134:H134" si="43">SUM(G135:G137)</f>
        <v>1.9980540242870557</v>
      </c>
      <c r="H134" s="160">
        <f t="shared" si="43"/>
        <v>232500</v>
      </c>
      <c r="I134" s="160">
        <f t="shared" ref="I134:J134" si="44">SUM(I136:I137)</f>
        <v>0</v>
      </c>
      <c r="J134" s="160">
        <f t="shared" si="44"/>
        <v>0</v>
      </c>
      <c r="K134" s="136"/>
    </row>
    <row r="135" spans="1:11" s="154" customFormat="1" ht="12.75" outlineLevel="3" x14ac:dyDescent="0.15">
      <c r="A135" s="145" t="s">
        <v>1066</v>
      </c>
      <c r="B135" s="146" t="str">
        <f>IF(A135&lt;&gt;0,VLOOKUP(A135,[1]合同台帐!$A$4:$D$893,4,1),"")</f>
        <v>技术咨询合同(环评）</v>
      </c>
      <c r="C135" s="147"/>
      <c r="D135" s="148"/>
      <c r="E135" s="149"/>
      <c r="F135" s="150">
        <f>IF(A135&lt;&gt;0,VLOOKUP(A135,[1]合同台帐!$A$4:$J$893,6,1),"")</f>
        <v>165000</v>
      </c>
      <c r="G135" s="151">
        <f>F135/K2</f>
        <v>1.4179738236875878</v>
      </c>
      <c r="H135" s="149">
        <f>IF(A135&lt;&gt;0,IF($H$2="元",VLOOKUP(A135,[1]合同台帐!$A$4:$K$1093,11,1),VLOOKUP(A135,[1]合同台帐!$A$4:$K$1093,11,1)),0)</f>
        <v>165000</v>
      </c>
      <c r="I135" s="177"/>
      <c r="J135" s="152"/>
      <c r="K135" s="178"/>
    </row>
    <row r="136" spans="1:11" s="154" customFormat="1" ht="12.75" outlineLevel="3" x14ac:dyDescent="0.15">
      <c r="A136" s="145" t="s">
        <v>1067</v>
      </c>
      <c r="B136" s="146" t="str">
        <f>IF(A136&lt;&gt;0,VLOOKUP(A136,[1]合同台帐!$A$4:$D$893,4,1),"")</f>
        <v>环境报告评估合同</v>
      </c>
      <c r="C136" s="147"/>
      <c r="D136" s="148"/>
      <c r="E136" s="149"/>
      <c r="F136" s="150">
        <f>IF(A136&lt;&gt;0,VLOOKUP(A136,[1]合同台帐!$A$4:$J$893,6,1),"")</f>
        <v>67500</v>
      </c>
      <c r="G136" s="151">
        <f>F136/K2</f>
        <v>0.58008020059946774</v>
      </c>
      <c r="H136" s="149">
        <f>IF(A136&lt;&gt;0,IF($H$2="元",VLOOKUP(A136,[1]合同台帐!$A$4:$K$1093,11,1),VLOOKUP(A136,[1]合同台帐!$A$4:$K$1093,11,1)),0)</f>
        <v>67500</v>
      </c>
      <c r="I136" s="177"/>
      <c r="J136" s="152"/>
      <c r="K136" s="178"/>
    </row>
    <row r="137" spans="1:11" s="144" customFormat="1" ht="12.75" outlineLevel="3" x14ac:dyDescent="0.15">
      <c r="A137" s="174"/>
      <c r="B137" s="156"/>
      <c r="C137" s="157"/>
      <c r="D137" s="158"/>
      <c r="E137" s="159"/>
      <c r="F137" s="160"/>
      <c r="G137" s="161"/>
      <c r="H137" s="159"/>
      <c r="I137" s="177"/>
      <c r="J137" s="162"/>
      <c r="K137" s="136"/>
    </row>
    <row r="138" spans="1:11" s="144" customFormat="1" ht="12.75" outlineLevel="2" x14ac:dyDescent="0.15">
      <c r="A138" s="174"/>
      <c r="B138" s="156" t="s">
        <v>1068</v>
      </c>
      <c r="C138" s="157"/>
      <c r="D138" s="158">
        <f>E138/K$2*10000</f>
        <v>1.9999962187364704</v>
      </c>
      <c r="E138" s="159">
        <v>23.272600000000001</v>
      </c>
      <c r="F138" s="160">
        <f>SUM(F139:F140)</f>
        <v>0</v>
      </c>
      <c r="G138" s="160">
        <f t="shared" ref="G138:H138" si="45">SUM(G139:G140)</f>
        <v>0</v>
      </c>
      <c r="H138" s="160">
        <f t="shared" si="45"/>
        <v>0</v>
      </c>
      <c r="I138" s="177"/>
      <c r="J138" s="162"/>
      <c r="K138" s="136"/>
    </row>
    <row r="139" spans="1:11" s="154" customFormat="1" ht="12.75" outlineLevel="3" x14ac:dyDescent="0.15">
      <c r="A139" s="185"/>
      <c r="B139" s="146" t="str">
        <f>IF(A139&lt;&gt;0,VLOOKUP(A139,[1]合同台帐!$A$4:$D$893,4,1),"")</f>
        <v/>
      </c>
      <c r="C139" s="147"/>
      <c r="D139" s="148"/>
      <c r="E139" s="149"/>
      <c r="F139" s="150" t="str">
        <f>IF(A139&lt;&gt;0,VLOOKUP(A139,[1]合同台帐!$A$4:$J$893,6,1),"")</f>
        <v/>
      </c>
      <c r="G139" s="151"/>
      <c r="H139" s="149">
        <f>IF(A139&lt;&gt;0,IF($H$2="元",VLOOKUP(A139,[1]合同台帐!$A$4:$K$1093,11,1),VLOOKUP(A139,[1]合同台帐!$A$4:$K$1093,11,1)),0)</f>
        <v>0</v>
      </c>
      <c r="I139" s="150"/>
      <c r="J139" s="152"/>
      <c r="K139" s="178"/>
    </row>
    <row r="140" spans="1:11" s="144" customFormat="1" ht="12.75" outlineLevel="3" x14ac:dyDescent="0.15">
      <c r="A140" s="174"/>
      <c r="B140" s="156"/>
      <c r="C140" s="157"/>
      <c r="D140" s="158"/>
      <c r="E140" s="159"/>
      <c r="F140" s="160"/>
      <c r="G140" s="161"/>
      <c r="H140" s="159"/>
      <c r="I140" s="177"/>
      <c r="J140" s="162"/>
      <c r="K140" s="136"/>
    </row>
    <row r="141" spans="1:11" s="144" customFormat="1" ht="12.75" outlineLevel="2" x14ac:dyDescent="0.15">
      <c r="A141" s="174"/>
      <c r="B141" s="156" t="s">
        <v>1069</v>
      </c>
      <c r="C141" s="157"/>
      <c r="D141" s="158">
        <f>E141/K$2*10000</f>
        <v>0</v>
      </c>
      <c r="E141" s="159">
        <v>0</v>
      </c>
      <c r="F141" s="160">
        <f>SUM(F142:F143)</f>
        <v>0</v>
      </c>
      <c r="G141" s="160">
        <f t="shared" ref="G141:H141" si="46">SUM(G142:G143)</f>
        <v>0</v>
      </c>
      <c r="H141" s="160">
        <f t="shared" si="46"/>
        <v>0</v>
      </c>
      <c r="I141" s="177"/>
      <c r="J141" s="162"/>
      <c r="K141" s="136"/>
    </row>
    <row r="142" spans="1:11" s="144" customFormat="1" ht="12.75" outlineLevel="3" x14ac:dyDescent="0.15">
      <c r="A142" s="155"/>
      <c r="B142" s="156"/>
      <c r="C142" s="157"/>
      <c r="D142" s="158"/>
      <c r="E142" s="159"/>
      <c r="F142" s="160"/>
      <c r="G142" s="161"/>
      <c r="H142" s="159"/>
      <c r="I142" s="177"/>
      <c r="J142" s="162"/>
      <c r="K142" s="136"/>
    </row>
    <row r="143" spans="1:11" s="144" customFormat="1" ht="12.75" outlineLevel="3" x14ac:dyDescent="0.15">
      <c r="A143" s="155"/>
      <c r="B143" s="156"/>
      <c r="C143" s="157"/>
      <c r="D143" s="158"/>
      <c r="E143" s="159"/>
      <c r="F143" s="160"/>
      <c r="G143" s="161"/>
      <c r="H143" s="159"/>
      <c r="I143" s="177"/>
      <c r="J143" s="162"/>
      <c r="K143" s="136"/>
    </row>
    <row r="144" spans="1:11" s="144" customFormat="1" ht="12.75" outlineLevel="2" x14ac:dyDescent="0.15">
      <c r="A144" s="174"/>
      <c r="B144" s="156" t="s">
        <v>1070</v>
      </c>
      <c r="C144" s="157"/>
      <c r="D144" s="158">
        <f>E144/K$2*10000</f>
        <v>0.90556105271064169</v>
      </c>
      <c r="E144" s="159">
        <v>10.5374</v>
      </c>
      <c r="F144" s="160">
        <f>SUM(F145:F146)</f>
        <v>105000</v>
      </c>
      <c r="G144" s="160">
        <f t="shared" ref="G144:J144" si="47">SUM(G145:G146)</f>
        <v>0.90234697871028324</v>
      </c>
      <c r="H144" s="160">
        <f t="shared" si="47"/>
        <v>105000</v>
      </c>
      <c r="I144" s="160">
        <f t="shared" si="47"/>
        <v>0</v>
      </c>
      <c r="J144" s="160">
        <f t="shared" si="47"/>
        <v>0</v>
      </c>
      <c r="K144" s="136"/>
    </row>
    <row r="145" spans="1:11" s="154" customFormat="1" ht="24" outlineLevel="3" x14ac:dyDescent="0.15">
      <c r="A145" s="145" t="s">
        <v>1071</v>
      </c>
      <c r="B145" s="146" t="str">
        <f>IF(A145&lt;&gt;0,VLOOKUP(A145,[1]合同台帐!$A$4:$D$893,4,1),"")</f>
        <v>固定资产投资项目合理用能评估合同（能评）</v>
      </c>
      <c r="C145" s="147"/>
      <c r="D145" s="148"/>
      <c r="E145" s="149"/>
      <c r="F145" s="150">
        <f>IF(A145&lt;&gt;0,VLOOKUP(A145,[1]合同台帐!$A$4:$J$893,6,1),"")</f>
        <v>105000</v>
      </c>
      <c r="G145" s="151">
        <f>F145/K2</f>
        <v>0.90234697871028324</v>
      </c>
      <c r="H145" s="149">
        <f>IF(A145&lt;&gt;0,IF($H$2="元",VLOOKUP(A145,[1]合同台帐!$A$4:$K$1093,11,1),VLOOKUP(A145,[1]合同台帐!$A$4:$K$1093,11,1)),0)</f>
        <v>105000</v>
      </c>
      <c r="I145" s="177"/>
      <c r="J145" s="152"/>
      <c r="K145" s="178"/>
    </row>
    <row r="146" spans="1:11" s="144" customFormat="1" ht="12.75" outlineLevel="3" x14ac:dyDescent="0.15">
      <c r="A146" s="155"/>
      <c r="B146" s="156"/>
      <c r="C146" s="157"/>
      <c r="D146" s="158"/>
      <c r="E146" s="159"/>
      <c r="F146" s="160"/>
      <c r="G146" s="161"/>
      <c r="H146" s="159"/>
      <c r="I146" s="177"/>
      <c r="J146" s="162"/>
      <c r="K146" s="136"/>
    </row>
    <row r="147" spans="1:11" ht="27" customHeight="1" outlineLevel="1" x14ac:dyDescent="0.15">
      <c r="A147" s="138"/>
      <c r="B147" s="139" t="s">
        <v>1072</v>
      </c>
      <c r="C147" s="140" t="s">
        <v>1043</v>
      </c>
      <c r="D147" s="165">
        <f>D148+D152+D156+D159+D162+D165</f>
        <v>7.4590837207839389</v>
      </c>
      <c r="E147" s="165">
        <f t="shared" ref="E147:H147" si="48">E148+E152+E156+E159+E162+E165</f>
        <v>86.796300000000016</v>
      </c>
      <c r="F147" s="165">
        <f t="shared" si="48"/>
        <v>804078.16</v>
      </c>
      <c r="G147" s="165" t="e">
        <f t="shared" si="48"/>
        <v>#VALUE!</v>
      </c>
      <c r="H147" s="165">
        <f t="shared" si="48"/>
        <v>663178.55000000005</v>
      </c>
      <c r="I147" s="142">
        <f>F147-E147*10000</f>
        <v>-63884.840000000084</v>
      </c>
      <c r="J147" s="143" t="e">
        <f>G147-D147</f>
        <v>#VALUE!</v>
      </c>
      <c r="K147" s="136"/>
    </row>
    <row r="148" spans="1:11" s="144" customFormat="1" ht="12.75" outlineLevel="2" x14ac:dyDescent="0.15">
      <c r="A148" s="174"/>
      <c r="B148" s="156" t="s">
        <v>1073</v>
      </c>
      <c r="C148" s="157"/>
      <c r="D148" s="158">
        <f>E148/K$2*10000</f>
        <v>2.4000023375083637</v>
      </c>
      <c r="E148" s="159">
        <v>27.927199999999999</v>
      </c>
      <c r="F148" s="160">
        <f>SUM(F149:F151)</f>
        <v>278277.09999999998</v>
      </c>
      <c r="G148" s="160">
        <f t="shared" ref="G148:H148" si="49">SUM(G149:G151)</f>
        <v>2.3914523850405649</v>
      </c>
      <c r="H148" s="160">
        <f t="shared" si="49"/>
        <v>137377.49</v>
      </c>
      <c r="I148" s="177"/>
      <c r="J148" s="162"/>
      <c r="K148" s="136"/>
    </row>
    <row r="149" spans="1:11" s="154" customFormat="1" ht="12.75" outlineLevel="3" x14ac:dyDescent="0.15">
      <c r="A149" s="145" t="s">
        <v>1074</v>
      </c>
      <c r="B149" s="146" t="str">
        <f>IF(A149&lt;&gt;0,VLOOKUP(A149,[1]合同台帐!$A$4:$D$893,4,1),"")</f>
        <v>墙改费（一期）</v>
      </c>
      <c r="C149" s="147"/>
      <c r="D149" s="148"/>
      <c r="E149" s="149"/>
      <c r="F149" s="150">
        <f>IF(A149&lt;&gt;0,VLOOKUP(A149,[1]合同台帐!$A$4:$J$893,6,1),"")</f>
        <v>137377.49</v>
      </c>
      <c r="G149" s="151">
        <f>F149/K2</f>
        <v>1.1805920289933536</v>
      </c>
      <c r="H149" s="149">
        <f>IF(A149&lt;&gt;0,IF($H$2="元",VLOOKUP(A149,[1]合同台帐!$A$4:$K$1093,11,1),VLOOKUP(A149,[1]合同台帐!$A$4:$K$1093,11,1)),0)</f>
        <v>137377.49</v>
      </c>
      <c r="I149" s="177"/>
      <c r="J149" s="152"/>
      <c r="K149" s="178"/>
    </row>
    <row r="150" spans="1:11" s="154" customFormat="1" ht="12.75" outlineLevel="3" x14ac:dyDescent="0.15">
      <c r="A150" s="145" t="s">
        <v>1075</v>
      </c>
      <c r="B150" s="146" t="str">
        <f>IF(A150&lt;&gt;0,VLOOKUP(A150,[1]合同台帐!$A$4:$D$893,4,1),"")</f>
        <v>二、三期墙改费</v>
      </c>
      <c r="C150" s="147"/>
      <c r="D150" s="148"/>
      <c r="E150" s="149"/>
      <c r="F150" s="150">
        <f>IF(A150&lt;&gt;0,VLOOKUP(A150,[1]合同台帐!$A$4:$J$893,6,1),"")</f>
        <v>140899.60999999999</v>
      </c>
      <c r="G150" s="151">
        <f>F150/K2</f>
        <v>1.2108603560472113</v>
      </c>
      <c r="H150" s="149">
        <f>IF(A150&lt;&gt;0,IF($H$2="元",VLOOKUP(A150,[1]合同台帐!$A$4:$K$1093,11,1),VLOOKUP(A150,[1]合同台帐!$A$4:$K$1093,11,1)),0)</f>
        <v>0</v>
      </c>
      <c r="I150" s="177"/>
      <c r="J150" s="152"/>
      <c r="K150" s="178"/>
    </row>
    <row r="151" spans="1:11" s="144" customFormat="1" ht="12.75" outlineLevel="3" x14ac:dyDescent="0.15">
      <c r="A151" s="174"/>
      <c r="B151" s="156"/>
      <c r="C151" s="157"/>
      <c r="D151" s="158"/>
      <c r="E151" s="159"/>
      <c r="F151" s="160"/>
      <c r="G151" s="161"/>
      <c r="H151" s="159"/>
      <c r="I151" s="177"/>
      <c r="J151" s="162"/>
      <c r="K151" s="136"/>
    </row>
    <row r="152" spans="1:11" s="144" customFormat="1" ht="12.75" outlineLevel="2" x14ac:dyDescent="0.15">
      <c r="A152" s="174"/>
      <c r="B152" s="156" t="s">
        <v>1076</v>
      </c>
      <c r="C152" s="157"/>
      <c r="D152" s="158">
        <f>E152/K$2*10000</f>
        <v>0.90000087656563643</v>
      </c>
      <c r="E152" s="159">
        <v>10.4727</v>
      </c>
      <c r="F152" s="160">
        <f>SUM(F153:F155)</f>
        <v>103636.91</v>
      </c>
      <c r="G152" s="160" t="e">
        <f t="shared" ref="G152:H152" si="50">SUM(G153:G155)</f>
        <v>#VALUE!</v>
      </c>
      <c r="H152" s="160">
        <f t="shared" si="50"/>
        <v>103636.91</v>
      </c>
      <c r="I152" s="177"/>
      <c r="J152" s="162"/>
      <c r="K152" s="136"/>
    </row>
    <row r="153" spans="1:11" s="154" customFormat="1" ht="12.75" outlineLevel="3" x14ac:dyDescent="0.15">
      <c r="A153" s="145" t="s">
        <v>1077</v>
      </c>
      <c r="B153" s="146" t="str">
        <f>IF(A153&lt;&gt;0,VLOOKUP(A153,[1]合同台帐!$A$4:$D$893,4,1),"")</f>
        <v>水泥基金（一期）</v>
      </c>
      <c r="C153" s="147"/>
      <c r="D153" s="148"/>
      <c r="E153" s="149"/>
      <c r="F153" s="150">
        <f>IF(A153&lt;&gt;0,VLOOKUP(A153,[1]合同台帐!$A$4:$J$893,6,1),"")</f>
        <v>51516.56</v>
      </c>
      <c r="G153" s="151">
        <f>F153/K2</f>
        <v>0.44272202161473356</v>
      </c>
      <c r="H153" s="149">
        <f>IF(A153&lt;&gt;0,IF($H$2="元",VLOOKUP(A153,[1]合同台帐!$A$4:$K$1093,11,1),VLOOKUP(A153,[1]合同台帐!$A$4:$K$1093,11,1)),0)</f>
        <v>51516.56</v>
      </c>
      <c r="I153" s="177"/>
      <c r="J153" s="152"/>
      <c r="K153" s="178"/>
    </row>
    <row r="154" spans="1:11" s="154" customFormat="1" ht="12.75" outlineLevel="3" x14ac:dyDescent="0.15">
      <c r="A154" s="189" t="s">
        <v>1078</v>
      </c>
      <c r="B154" s="146" t="str">
        <f>IF(A154&lt;&gt;0,VLOOKUP(A154,[1]合同台帐!$A$4:$D$893,4,1),"")</f>
        <v>（二、三期）水泥专项基金</v>
      </c>
      <c r="C154" s="147"/>
      <c r="D154" s="148"/>
      <c r="E154" s="149"/>
      <c r="F154" s="150">
        <f>IF(A154&lt;&gt;0,VLOOKUP(A154,[1]合同台帐!$A$4:$J$893,6,1),"")</f>
        <v>52120.35</v>
      </c>
      <c r="G154" s="151" t="e">
        <f>F154/K3</f>
        <v>#VALUE!</v>
      </c>
      <c r="H154" s="149">
        <f>IF(A154&lt;&gt;0,IF($H$2="元",VLOOKUP(A154,[1]合同台帐!$A$4:$K$1093,11,1),VLOOKUP(A154,[1]合同台帐!$A$4:$K$1093,11,1)),0)</f>
        <v>52120.35</v>
      </c>
      <c r="I154" s="177"/>
      <c r="J154" s="152"/>
      <c r="K154" s="178"/>
    </row>
    <row r="155" spans="1:11" s="144" customFormat="1" ht="12.75" outlineLevel="3" x14ac:dyDescent="0.15">
      <c r="A155" s="155"/>
      <c r="B155" s="156"/>
      <c r="C155" s="157"/>
      <c r="D155" s="158"/>
      <c r="E155" s="159"/>
      <c r="F155" s="160"/>
      <c r="G155" s="161"/>
      <c r="H155" s="159"/>
      <c r="I155" s="177"/>
      <c r="J155" s="162"/>
      <c r="K155" s="136"/>
    </row>
    <row r="156" spans="1:11" s="144" customFormat="1" ht="12.75" outlineLevel="2" x14ac:dyDescent="0.15">
      <c r="A156" s="174"/>
      <c r="B156" s="156" t="s">
        <v>1079</v>
      </c>
      <c r="C156" s="157"/>
      <c r="D156" s="158">
        <f>E156/K$2*10000</f>
        <v>2.9247042149572691</v>
      </c>
      <c r="E156" s="159">
        <v>34.032800000000002</v>
      </c>
      <c r="F156" s="160">
        <f>SUM(F157:F158)</f>
        <v>339000</v>
      </c>
      <c r="G156" s="160">
        <f t="shared" ref="G156:H156" si="51">SUM(G157:G158)</f>
        <v>2.9132916741217714</v>
      </c>
      <c r="H156" s="160">
        <f t="shared" si="51"/>
        <v>339000</v>
      </c>
      <c r="I156" s="177"/>
      <c r="J156" s="162"/>
      <c r="K156" s="136"/>
    </row>
    <row r="157" spans="1:11" s="154" customFormat="1" ht="12.75" outlineLevel="3" x14ac:dyDescent="0.15">
      <c r="A157" s="145" t="s">
        <v>1080</v>
      </c>
      <c r="B157" s="146" t="str">
        <f>IF(A157&lt;&gt;0,VLOOKUP(A157,[1]合同台帐!$A$4:$D$893,4,1),"")</f>
        <v>人防易地建设费</v>
      </c>
      <c r="C157" s="147"/>
      <c r="D157" s="148"/>
      <c r="E157" s="149"/>
      <c r="F157" s="150">
        <f>IF(A157&lt;&gt;0,VLOOKUP(A157,[1]合同台帐!$A$4:$J$893,6,1),"")</f>
        <v>339000</v>
      </c>
      <c r="G157" s="151">
        <f>F157/K2</f>
        <v>2.9132916741217714</v>
      </c>
      <c r="H157" s="149">
        <f>IF(A157&lt;&gt;0,IF($H$2="元",VLOOKUP(A157,[1]合同台帐!$A$4:$K$1093,11,1),VLOOKUP(A157,[1]合同台帐!$A$4:$K$1093,11,1)),0)</f>
        <v>339000</v>
      </c>
      <c r="I157" s="177"/>
      <c r="J157" s="152"/>
      <c r="K157" s="178"/>
    </row>
    <row r="158" spans="1:11" s="144" customFormat="1" ht="12.75" outlineLevel="3" x14ac:dyDescent="0.15">
      <c r="A158" s="174"/>
      <c r="B158" s="156"/>
      <c r="C158" s="157"/>
      <c r="D158" s="158"/>
      <c r="E158" s="159"/>
      <c r="F158" s="160"/>
      <c r="G158" s="161"/>
      <c r="H158" s="159"/>
      <c r="I158" s="177"/>
      <c r="J158" s="162"/>
      <c r="K158" s="136"/>
    </row>
    <row r="159" spans="1:11" s="144" customFormat="1" ht="12.75" outlineLevel="2" x14ac:dyDescent="0.15">
      <c r="A159" s="174"/>
      <c r="B159" s="156" t="s">
        <v>1081</v>
      </c>
      <c r="C159" s="157"/>
      <c r="D159" s="158">
        <f>E159/K$2*10000</f>
        <v>0.69999781717968967</v>
      </c>
      <c r="E159" s="159">
        <v>8.1454000000000004</v>
      </c>
      <c r="F159" s="160">
        <f>SUM(F160:F161)</f>
        <v>83164.149999999994</v>
      </c>
      <c r="G159" s="160">
        <f t="shared" ref="G159:H159" si="52">SUM(G160:G161)</f>
        <v>0.71469447132865516</v>
      </c>
      <c r="H159" s="160">
        <f t="shared" si="52"/>
        <v>83164.149999999994</v>
      </c>
      <c r="I159" s="177"/>
      <c r="J159" s="162"/>
      <c r="K159" s="136"/>
    </row>
    <row r="160" spans="1:11" s="154" customFormat="1" ht="12.75" outlineLevel="3" x14ac:dyDescent="0.15">
      <c r="A160" s="145" t="s">
        <v>1082</v>
      </c>
      <c r="B160" s="146" t="str">
        <f>IF(A160&lt;&gt;0,VLOOKUP(A160,[1]合同台帐!$A$4:$D$893,4,1),"")</f>
        <v>地名标志费及地名公告费</v>
      </c>
      <c r="C160" s="147"/>
      <c r="D160" s="148"/>
      <c r="E160" s="149"/>
      <c r="F160" s="150">
        <f>IF(A160&lt;&gt;0,VLOOKUP(A160,[1]合同台帐!$A$4:$J$893,6,1),"")</f>
        <v>83164.149999999994</v>
      </c>
      <c r="G160" s="151">
        <f>F160/K2</f>
        <v>0.71469447132865516</v>
      </c>
      <c r="H160" s="149">
        <f>IF(A160&lt;&gt;0,IF($H$2="元",VLOOKUP(A160,[1]合同台帐!$A$4:$K$1093,11,1),VLOOKUP(A160,[1]合同台帐!$A$4:$K$1093,11,1)),0)</f>
        <v>83164.149999999994</v>
      </c>
      <c r="I160" s="177"/>
      <c r="J160" s="152"/>
      <c r="K160" s="178"/>
    </row>
    <row r="161" spans="1:11" s="144" customFormat="1" ht="12.75" outlineLevel="3" x14ac:dyDescent="0.15">
      <c r="A161" s="155"/>
      <c r="B161" s="156"/>
      <c r="C161" s="157"/>
      <c r="D161" s="158"/>
      <c r="E161" s="159"/>
      <c r="F161" s="160"/>
      <c r="G161" s="161"/>
      <c r="H161" s="159"/>
      <c r="I161" s="177"/>
      <c r="J161" s="162"/>
      <c r="K161" s="136"/>
    </row>
    <row r="162" spans="1:11" s="144" customFormat="1" ht="12.75" outlineLevel="2" x14ac:dyDescent="0.15">
      <c r="A162" s="174"/>
      <c r="B162" s="156" t="s">
        <v>1083</v>
      </c>
      <c r="C162" s="157"/>
      <c r="D162" s="158">
        <f>E162/K$2*10000</f>
        <v>3.4375122998486982E-2</v>
      </c>
      <c r="E162" s="159">
        <v>0.4</v>
      </c>
      <c r="F162" s="160">
        <f>SUM(F163:F164)</f>
        <v>0</v>
      </c>
      <c r="G162" s="160">
        <f t="shared" ref="G162:H162" si="53">SUM(G163:G164)</f>
        <v>0</v>
      </c>
      <c r="H162" s="160">
        <f t="shared" si="53"/>
        <v>0</v>
      </c>
      <c r="I162" s="177"/>
      <c r="J162" s="162"/>
      <c r="K162" s="136"/>
    </row>
    <row r="163" spans="1:11" s="144" customFormat="1" ht="12.75" outlineLevel="3" x14ac:dyDescent="0.15">
      <c r="A163" s="155"/>
      <c r="B163" s="156"/>
      <c r="C163" s="157"/>
      <c r="D163" s="158"/>
      <c r="E163" s="159"/>
      <c r="F163" s="160"/>
      <c r="G163" s="161"/>
      <c r="H163" s="159"/>
      <c r="I163" s="177"/>
      <c r="J163" s="162"/>
      <c r="K163" s="136"/>
    </row>
    <row r="164" spans="1:11" s="144" customFormat="1" ht="12.75" outlineLevel="3" x14ac:dyDescent="0.15">
      <c r="A164" s="155"/>
      <c r="B164" s="156"/>
      <c r="C164" s="157"/>
      <c r="D164" s="158"/>
      <c r="E164" s="159"/>
      <c r="F164" s="160"/>
      <c r="G164" s="161"/>
      <c r="H164" s="159"/>
      <c r="I164" s="177"/>
      <c r="J164" s="162"/>
      <c r="K164" s="136"/>
    </row>
    <row r="165" spans="1:11" s="144" customFormat="1" ht="12.75" outlineLevel="2" x14ac:dyDescent="0.15">
      <c r="A165" s="174"/>
      <c r="B165" s="156" t="s">
        <v>1084</v>
      </c>
      <c r="C165" s="157"/>
      <c r="D165" s="158">
        <f>E165/K$2*10000</f>
        <v>0.50000335157449238</v>
      </c>
      <c r="E165" s="159">
        <v>5.8182</v>
      </c>
      <c r="F165" s="160">
        <f>SUM(F166:F167)</f>
        <v>0</v>
      </c>
      <c r="G165" s="160">
        <f t="shared" ref="G165:H165" si="54">SUM(G166:G167)</f>
        <v>0</v>
      </c>
      <c r="H165" s="160">
        <f t="shared" si="54"/>
        <v>0</v>
      </c>
      <c r="I165" s="177"/>
      <c r="J165" s="162"/>
      <c r="K165" s="136"/>
    </row>
    <row r="166" spans="1:11" s="144" customFormat="1" ht="12.75" outlineLevel="3" x14ac:dyDescent="0.15">
      <c r="A166" s="155"/>
      <c r="B166" s="156"/>
      <c r="C166" s="157"/>
      <c r="D166" s="158"/>
      <c r="E166" s="159"/>
      <c r="F166" s="160"/>
      <c r="G166" s="161"/>
      <c r="H166" s="159"/>
      <c r="I166" s="177"/>
      <c r="J166" s="162"/>
      <c r="K166" s="136"/>
    </row>
    <row r="167" spans="1:11" s="144" customFormat="1" ht="12.75" outlineLevel="3" x14ac:dyDescent="0.15">
      <c r="A167" s="155"/>
      <c r="B167" s="156"/>
      <c r="C167" s="157"/>
      <c r="D167" s="158"/>
      <c r="E167" s="159"/>
      <c r="F167" s="160"/>
      <c r="G167" s="161"/>
      <c r="H167" s="159"/>
      <c r="I167" s="177"/>
      <c r="J167" s="162"/>
      <c r="K167" s="136"/>
    </row>
    <row r="168" spans="1:11" ht="12" customHeight="1" outlineLevel="1" x14ac:dyDescent="0.15">
      <c r="A168" s="138"/>
      <c r="B168" s="139" t="s">
        <v>1085</v>
      </c>
      <c r="C168" s="140" t="s">
        <v>1043</v>
      </c>
      <c r="D168" s="165">
        <f t="shared" ref="D168:H168" si="55">D169+D172+D175+D178+D181+D184</f>
        <v>4.3486507162658432</v>
      </c>
      <c r="E168" s="165">
        <f t="shared" si="55"/>
        <v>50.6023</v>
      </c>
      <c r="F168" s="165">
        <f t="shared" si="55"/>
        <v>21981</v>
      </c>
      <c r="G168" s="165" t="e">
        <f t="shared" si="55"/>
        <v>#DIV/0!</v>
      </c>
      <c r="H168" s="165">
        <f t="shared" si="55"/>
        <v>21981</v>
      </c>
      <c r="I168" s="142">
        <f>F168-E168*10000</f>
        <v>-484042</v>
      </c>
      <c r="J168" s="143" t="e">
        <f>G168-D168</f>
        <v>#DIV/0!</v>
      </c>
      <c r="K168" s="136"/>
    </row>
    <row r="169" spans="1:11" s="144" customFormat="1" ht="12.75" outlineLevel="2" x14ac:dyDescent="0.15">
      <c r="A169" s="174"/>
      <c r="B169" s="156" t="s">
        <v>1086</v>
      </c>
      <c r="C169" s="157"/>
      <c r="D169" s="158">
        <f>E169/K$2*10000</f>
        <v>0.89313444574668854</v>
      </c>
      <c r="E169" s="159">
        <v>10.392799999999999</v>
      </c>
      <c r="F169" s="160">
        <f>SUM(F170:F171)</f>
        <v>0</v>
      </c>
      <c r="G169" s="160">
        <f t="shared" ref="G169:H169" si="56">SUM(G170:G171)</f>
        <v>0</v>
      </c>
      <c r="H169" s="160">
        <f t="shared" si="56"/>
        <v>0</v>
      </c>
      <c r="I169" s="177"/>
      <c r="J169" s="162"/>
      <c r="K169" s="136"/>
    </row>
    <row r="170" spans="1:11" s="144" customFormat="1" ht="12" customHeight="1" outlineLevel="1" x14ac:dyDescent="0.15">
      <c r="A170" s="169"/>
      <c r="B170" s="170"/>
      <c r="C170" s="157"/>
      <c r="D170" s="158"/>
      <c r="E170" s="159"/>
      <c r="F170" s="160"/>
      <c r="G170" s="168"/>
      <c r="H170" s="190"/>
      <c r="I170" s="172"/>
      <c r="J170" s="162"/>
      <c r="K170" s="179"/>
    </row>
    <row r="171" spans="1:11" s="144" customFormat="1" ht="12.75" outlineLevel="3" x14ac:dyDescent="0.15">
      <c r="A171" s="174"/>
      <c r="B171" s="156"/>
      <c r="C171" s="157"/>
      <c r="D171" s="158"/>
      <c r="E171" s="159"/>
      <c r="F171" s="160"/>
      <c r="G171" s="161"/>
      <c r="H171" s="159"/>
      <c r="I171" s="177"/>
      <c r="J171" s="162"/>
      <c r="K171" s="136"/>
    </row>
    <row r="172" spans="1:11" s="144" customFormat="1" ht="12.75" outlineLevel="2" x14ac:dyDescent="0.15">
      <c r="A172" s="174"/>
      <c r="B172" s="156" t="s">
        <v>1087</v>
      </c>
      <c r="C172" s="157"/>
      <c r="D172" s="158">
        <f>E172/K$2*10000</f>
        <v>0.50000335157449238</v>
      </c>
      <c r="E172" s="159">
        <v>5.8182</v>
      </c>
      <c r="F172" s="160">
        <f>SUM(F173:F174)</f>
        <v>0</v>
      </c>
      <c r="G172" s="160">
        <f t="shared" ref="G172:H172" si="57">SUM(G173:G174)</f>
        <v>0</v>
      </c>
      <c r="H172" s="160">
        <f t="shared" si="57"/>
        <v>0</v>
      </c>
      <c r="I172" s="177"/>
      <c r="J172" s="162"/>
      <c r="K172" s="136"/>
    </row>
    <row r="173" spans="1:11" s="144" customFormat="1" ht="12.75" outlineLevel="3" x14ac:dyDescent="0.15">
      <c r="A173" s="174"/>
      <c r="B173" s="156"/>
      <c r="C173" s="157"/>
      <c r="D173" s="158"/>
      <c r="E173" s="159"/>
      <c r="F173" s="160"/>
      <c r="G173" s="161"/>
      <c r="H173" s="159"/>
      <c r="I173" s="177"/>
      <c r="J173" s="162"/>
      <c r="K173" s="136"/>
    </row>
    <row r="174" spans="1:11" s="144" customFormat="1" ht="12.75" outlineLevel="3" x14ac:dyDescent="0.15">
      <c r="A174" s="174"/>
      <c r="B174" s="156"/>
      <c r="C174" s="157"/>
      <c r="D174" s="158"/>
      <c r="E174" s="159"/>
      <c r="F174" s="160"/>
      <c r="G174" s="161"/>
      <c r="H174" s="159"/>
      <c r="I174" s="177"/>
      <c r="J174" s="162"/>
      <c r="K174" s="136"/>
    </row>
    <row r="175" spans="1:11" s="144" customFormat="1" ht="12.75" outlineLevel="2" x14ac:dyDescent="0.15">
      <c r="A175" s="174"/>
      <c r="B175" s="156" t="s">
        <v>1088</v>
      </c>
      <c r="C175" s="157"/>
      <c r="D175" s="158">
        <f>E175/K$2*10000</f>
        <v>0.89313444574668854</v>
      </c>
      <c r="E175" s="159">
        <v>10.392799999999999</v>
      </c>
      <c r="F175" s="160">
        <f>SUM(F176:F177)</f>
        <v>0</v>
      </c>
      <c r="G175" s="160">
        <f t="shared" ref="G175:H175" si="58">SUM(G176:G177)</f>
        <v>0</v>
      </c>
      <c r="H175" s="160">
        <f t="shared" si="58"/>
        <v>0</v>
      </c>
      <c r="I175" s="177"/>
      <c r="J175" s="162"/>
      <c r="K175" s="136"/>
    </row>
    <row r="176" spans="1:11" s="144" customFormat="1" ht="12.75" outlineLevel="3" x14ac:dyDescent="0.15">
      <c r="A176" s="174"/>
      <c r="B176" s="156"/>
      <c r="C176" s="157"/>
      <c r="D176" s="158"/>
      <c r="E176" s="159"/>
      <c r="F176" s="160"/>
      <c r="G176" s="161"/>
      <c r="H176" s="159"/>
      <c r="I176" s="177"/>
      <c r="J176" s="162"/>
      <c r="K176" s="136"/>
    </row>
    <row r="177" spans="1:11" s="144" customFormat="1" ht="12.75" outlineLevel="3" x14ac:dyDescent="0.15">
      <c r="A177" s="174"/>
      <c r="B177" s="156"/>
      <c r="C177" s="157"/>
      <c r="D177" s="158"/>
      <c r="E177" s="159"/>
      <c r="F177" s="160"/>
      <c r="G177" s="161"/>
      <c r="H177" s="159"/>
      <c r="I177" s="177"/>
      <c r="J177" s="162"/>
      <c r="K177" s="136"/>
    </row>
    <row r="178" spans="1:11" s="144" customFormat="1" ht="12.75" outlineLevel="2" x14ac:dyDescent="0.15">
      <c r="A178" s="174"/>
      <c r="B178" s="156" t="s">
        <v>1089</v>
      </c>
      <c r="C178" s="157"/>
      <c r="D178" s="158">
        <f>E178/K$2*10000</f>
        <v>1.2000011687541818</v>
      </c>
      <c r="E178" s="159">
        <v>13.9636</v>
      </c>
      <c r="F178" s="160">
        <f>SUM(F179:F180)</f>
        <v>0</v>
      </c>
      <c r="G178" s="160">
        <f t="shared" ref="G178:J178" si="59">SUM(G179:G180)</f>
        <v>0</v>
      </c>
      <c r="H178" s="160">
        <f t="shared" si="59"/>
        <v>0</v>
      </c>
      <c r="I178" s="160">
        <f t="shared" si="59"/>
        <v>0</v>
      </c>
      <c r="J178" s="160">
        <f t="shared" si="59"/>
        <v>0</v>
      </c>
      <c r="K178" s="136"/>
    </row>
    <row r="179" spans="1:11" s="144" customFormat="1" ht="12.75" outlineLevel="3" x14ac:dyDescent="0.15">
      <c r="A179" s="174"/>
      <c r="B179" s="156"/>
      <c r="C179" s="157"/>
      <c r="D179" s="158"/>
      <c r="E179" s="159"/>
      <c r="F179" s="160"/>
      <c r="G179" s="161"/>
      <c r="H179" s="159"/>
      <c r="I179" s="177"/>
      <c r="J179" s="162"/>
      <c r="K179" s="136"/>
    </row>
    <row r="180" spans="1:11" s="144" customFormat="1" ht="12.75" outlineLevel="3" x14ac:dyDescent="0.15">
      <c r="A180" s="174"/>
      <c r="B180" s="156"/>
      <c r="C180" s="157"/>
      <c r="D180" s="158"/>
      <c r="E180" s="159"/>
      <c r="F180" s="160"/>
      <c r="G180" s="161"/>
      <c r="H180" s="159"/>
      <c r="I180" s="177"/>
      <c r="J180" s="162"/>
      <c r="K180" s="136"/>
    </row>
    <row r="181" spans="1:11" s="144" customFormat="1" ht="12.75" outlineLevel="2" x14ac:dyDescent="0.15">
      <c r="A181" s="174"/>
      <c r="B181" s="156" t="s">
        <v>1090</v>
      </c>
      <c r="C181" s="157"/>
      <c r="D181" s="158">
        <f>E181/K$2*10000</f>
        <v>0.66601800809568523</v>
      </c>
      <c r="E181" s="159">
        <v>7.75</v>
      </c>
      <c r="F181" s="160">
        <f>SUM(F182:F183)</f>
        <v>19645</v>
      </c>
      <c r="G181" s="160">
        <f t="shared" ref="G181:H181" si="60">SUM(G182:G183)</f>
        <v>0.16882482282631917</v>
      </c>
      <c r="H181" s="160">
        <f t="shared" si="60"/>
        <v>19645</v>
      </c>
      <c r="I181" s="177"/>
      <c r="J181" s="162"/>
      <c r="K181" s="136"/>
    </row>
    <row r="182" spans="1:11" s="154" customFormat="1" ht="12.75" outlineLevel="3" x14ac:dyDescent="0.15">
      <c r="A182" s="145" t="s">
        <v>1091</v>
      </c>
      <c r="B182" s="146" t="str">
        <f>IF(A182&lt;&gt;0,VLOOKUP(A182,[1]合同台帐!$A$4:$D$893,4,1),"")</f>
        <v>人防工程资料编制费</v>
      </c>
      <c r="C182" s="147"/>
      <c r="D182" s="148"/>
      <c r="E182" s="149"/>
      <c r="F182" s="150">
        <f>IF(A182&lt;&gt;0,VLOOKUP(A182,[1]合同台帐!$A$4:$J$893,6,1),"")</f>
        <v>19645</v>
      </c>
      <c r="G182" s="151">
        <f>F182/K2</f>
        <v>0.16882482282631917</v>
      </c>
      <c r="H182" s="149">
        <f>IF(A182&lt;&gt;0,IF($H$2="元",VLOOKUP(A182,[1]合同台帐!$A$4:$K$1093,11,1),VLOOKUP(A182,[1]合同台帐!$A$4:$K$1093,11,1)),0)</f>
        <v>19645</v>
      </c>
      <c r="I182" s="177"/>
      <c r="J182" s="152"/>
      <c r="K182" s="178"/>
    </row>
    <row r="183" spans="1:11" s="144" customFormat="1" ht="12.75" outlineLevel="3" x14ac:dyDescent="0.15">
      <c r="A183" s="174"/>
      <c r="B183" s="156"/>
      <c r="C183" s="157"/>
      <c r="D183" s="158"/>
      <c r="E183" s="159"/>
      <c r="F183" s="160"/>
      <c r="G183" s="161"/>
      <c r="H183" s="159"/>
      <c r="I183" s="177"/>
      <c r="J183" s="162"/>
      <c r="K183" s="136"/>
    </row>
    <row r="184" spans="1:11" s="144" customFormat="1" ht="12.75" outlineLevel="2" x14ac:dyDescent="0.15">
      <c r="A184" s="174"/>
      <c r="B184" s="156" t="s">
        <v>1092</v>
      </c>
      <c r="C184" s="157"/>
      <c r="D184" s="158">
        <f>E184/K$2*10000</f>
        <v>0.19635929634810725</v>
      </c>
      <c r="E184" s="159">
        <v>2.2848999999999999</v>
      </c>
      <c r="F184" s="160">
        <f>SUM(F185:F186)</f>
        <v>2336</v>
      </c>
      <c r="G184" s="160" t="e">
        <f t="shared" ref="G184:H184" si="61">SUM(G185:G186)</f>
        <v>#DIV/0!</v>
      </c>
      <c r="H184" s="160">
        <f t="shared" si="61"/>
        <v>2336</v>
      </c>
      <c r="I184" s="177"/>
      <c r="J184" s="162"/>
      <c r="K184" s="136"/>
    </row>
    <row r="185" spans="1:11" s="154" customFormat="1" ht="12.75" outlineLevel="3" x14ac:dyDescent="0.15">
      <c r="A185" s="145" t="s">
        <v>1093</v>
      </c>
      <c r="B185" s="146" t="str">
        <f>IF(A185&lt;&gt;0,VLOOKUP(A185,[1]合同台帐!$A$4:$D$893,4,1),"")</f>
        <v>二期消防缩微费</v>
      </c>
      <c r="C185" s="147"/>
      <c r="D185" s="148"/>
      <c r="E185" s="149"/>
      <c r="F185" s="150">
        <f>IF(A185&lt;&gt;0,VLOOKUP(A185,[1]合同台帐!$A$4:$J$893,6,1),"")</f>
        <v>2336</v>
      </c>
      <c r="G185" s="151" t="e">
        <f>F185/K5</f>
        <v>#DIV/0!</v>
      </c>
      <c r="H185" s="149">
        <f>IF(A185&lt;&gt;0,IF($H$2="元",VLOOKUP(A185,[1]合同台帐!$A$4:$K$1093,11,1),VLOOKUP(A185,[1]合同台帐!$A$4:$K$1093,11,1)),0)</f>
        <v>2336</v>
      </c>
      <c r="I185" s="177"/>
      <c r="J185" s="152"/>
      <c r="K185" s="178"/>
    </row>
    <row r="186" spans="1:11" s="144" customFormat="1" ht="12.75" outlineLevel="3" x14ac:dyDescent="0.15">
      <c r="A186" s="155"/>
      <c r="B186" s="156"/>
      <c r="C186" s="157"/>
      <c r="D186" s="158"/>
      <c r="E186" s="159"/>
      <c r="F186" s="160"/>
      <c r="G186" s="161"/>
      <c r="H186" s="159"/>
      <c r="I186" s="177"/>
      <c r="J186" s="162"/>
      <c r="K186" s="136"/>
    </row>
    <row r="187" spans="1:11" ht="12" customHeight="1" outlineLevel="1" x14ac:dyDescent="0.15">
      <c r="A187" s="138"/>
      <c r="B187" s="139" t="s">
        <v>1094</v>
      </c>
      <c r="C187" s="140" t="s">
        <v>1043</v>
      </c>
      <c r="D187" s="165">
        <f t="shared" ref="D187:J187" si="62">D188+D193+D198+D203+D206+D209+D213</f>
        <v>5.6058263083472593</v>
      </c>
      <c r="E187" s="165">
        <f t="shared" si="62"/>
        <v>65.231200000000001</v>
      </c>
      <c r="F187" s="165">
        <f t="shared" si="62"/>
        <v>276430.3</v>
      </c>
      <c r="G187" s="165">
        <f t="shared" si="62"/>
        <v>2.3755813907521639</v>
      </c>
      <c r="H187" s="165">
        <f t="shared" si="62"/>
        <v>198410.91999999998</v>
      </c>
      <c r="I187" s="165">
        <f t="shared" si="62"/>
        <v>0</v>
      </c>
      <c r="J187" s="165">
        <f t="shared" si="62"/>
        <v>0</v>
      </c>
      <c r="K187" s="136"/>
    </row>
    <row r="188" spans="1:11" s="144" customFormat="1" ht="12.75" outlineLevel="2" x14ac:dyDescent="0.15">
      <c r="A188" s="174"/>
      <c r="B188" s="156" t="s">
        <v>1095</v>
      </c>
      <c r="C188" s="157"/>
      <c r="D188" s="158">
        <f>E188/K$2*10000</f>
        <v>0.50000335157449238</v>
      </c>
      <c r="E188" s="159">
        <v>5.8182</v>
      </c>
      <c r="F188" s="160">
        <f t="shared" ref="F188:H188" si="63">SUM(F189:F192)</f>
        <v>16128.76</v>
      </c>
      <c r="G188" s="160">
        <f t="shared" si="63"/>
        <v>0.13860702720326923</v>
      </c>
      <c r="H188" s="160">
        <f t="shared" si="63"/>
        <v>16128.76</v>
      </c>
      <c r="I188" s="177"/>
      <c r="J188" s="162"/>
      <c r="K188" s="136"/>
    </row>
    <row r="189" spans="1:11" s="154" customFormat="1" ht="12.75" outlineLevel="3" x14ac:dyDescent="0.15">
      <c r="A189" s="181" t="s">
        <v>1096</v>
      </c>
      <c r="B189" s="146" t="str">
        <f>IF(A189&lt;&gt;0,VLOOKUP(A189,[1]合同台帐!$A$4:$D$195,4,1),"")</f>
        <v>南郡蓝山核定用地图合同</v>
      </c>
      <c r="C189" s="147"/>
      <c r="D189" s="148"/>
      <c r="E189" s="149"/>
      <c r="F189" s="150">
        <f>IF(A189&lt;&gt;0,IF(VLOOKUP(A189,[1]合同台帐!$A$4:$G$195,7,1),IF($H$2="元",VLOOKUP(A189,[1]合同台帐!$A$4:$G$195,7,1),VLOOKUP(A189,[1]合同台帐!$A$4:$G$195,7,1)),IF($H$2="元",VLOOKUP(A189,[1]合同台帐!$A$4:$F$195,6,1),VLOOKUP(A189,[1]合同台帐!$A$4:$F$195,6,1))),0)</f>
        <v>12055.17</v>
      </c>
      <c r="G189" s="151">
        <f t="shared" ref="G189:G190" si="64">F189/K$2</f>
        <v>0.10359948787941757</v>
      </c>
      <c r="H189" s="149">
        <f>IF(A189&lt;&gt;0,IF($H$2="元",VLOOKUP(A189,[1]合同台帐!$A$4:$K$1093,11,1),VLOOKUP(A189,[1]合同台帐!$A$4:$K$1093,11,1)),0)</f>
        <v>12055.17</v>
      </c>
      <c r="I189" s="177"/>
      <c r="J189" s="152"/>
      <c r="K189" s="136"/>
    </row>
    <row r="190" spans="1:11" s="154" customFormat="1" ht="12.75" outlineLevel="3" x14ac:dyDescent="0.15">
      <c r="A190" s="182" t="s">
        <v>1097</v>
      </c>
      <c r="B190" s="146" t="str">
        <f>IF(A190&lt;&gt;0,VLOOKUP(A190,[1]合同台帐!$A$4:$D$195,4,1),"")</f>
        <v>地形图测绘费（一期）</v>
      </c>
      <c r="C190" s="147"/>
      <c r="D190" s="148"/>
      <c r="E190" s="149"/>
      <c r="F190" s="150">
        <f>IF(A190&lt;&gt;0,IF(VLOOKUP(A190,[1]合同台帐!$A$4:$G$195,7,1),IF($H$2="元",VLOOKUP(A190,[1]合同台帐!$A$4:$G$195,7,1),VLOOKUP(A190,[1]合同台帐!$A$4:$G$195,7,1)),IF($H$2="元",VLOOKUP(A190,[1]合同台帐!$A$4:$F$195,6,1),VLOOKUP(A190,[1]合同台帐!$A$4:$F$195,6,1))),0)</f>
        <v>4073.59</v>
      </c>
      <c r="G190" s="151">
        <f t="shared" si="64"/>
        <v>3.5007539323851644E-2</v>
      </c>
      <c r="H190" s="149">
        <f>IF(A190&lt;&gt;0,IF($H$2="元",VLOOKUP(A190,[1]合同台帐!$A$4:$K$1093,11,1),VLOOKUP(A190,[1]合同台帐!$A$4:$K$1093,11,1)),0)</f>
        <v>4073.59</v>
      </c>
      <c r="I190" s="177"/>
      <c r="J190" s="152"/>
      <c r="K190" s="136"/>
    </row>
    <row r="191" spans="1:11" s="154" customFormat="1" ht="12.75" outlineLevel="3" x14ac:dyDescent="0.15">
      <c r="A191" s="183"/>
      <c r="B191" s="146"/>
      <c r="C191" s="147"/>
      <c r="D191" s="148"/>
      <c r="E191" s="149"/>
      <c r="F191" s="150"/>
      <c r="G191" s="151"/>
      <c r="H191" s="149"/>
      <c r="I191" s="177"/>
      <c r="J191" s="152"/>
      <c r="K191" s="136"/>
    </row>
    <row r="192" spans="1:11" s="154" customFormat="1" ht="12.75" outlineLevel="3" x14ac:dyDescent="0.15">
      <c r="A192" s="183"/>
      <c r="B192" s="146"/>
      <c r="C192" s="147"/>
      <c r="D192" s="148"/>
      <c r="E192" s="149"/>
      <c r="F192" s="150"/>
      <c r="G192" s="151"/>
      <c r="H192" s="149"/>
      <c r="I192" s="177"/>
      <c r="J192" s="152"/>
      <c r="K192" s="136"/>
    </row>
    <row r="193" spans="1:11" s="144" customFormat="1" ht="12.75" outlineLevel="2" x14ac:dyDescent="0.15">
      <c r="A193" s="174"/>
      <c r="B193" s="156" t="s">
        <v>1098</v>
      </c>
      <c r="C193" s="157"/>
      <c r="D193" s="158">
        <f>E193/K$2*10000</f>
        <v>0.25781342248865236</v>
      </c>
      <c r="E193" s="159">
        <v>3</v>
      </c>
      <c r="F193" s="160">
        <f>SUM(F194:F197)</f>
        <v>24000</v>
      </c>
      <c r="G193" s="160">
        <f t="shared" ref="G193:H193" si="65">SUM(G194:G197)</f>
        <v>0.20625073799092186</v>
      </c>
      <c r="H193" s="160">
        <f t="shared" si="65"/>
        <v>6000</v>
      </c>
      <c r="I193" s="177"/>
      <c r="J193" s="162"/>
      <c r="K193" s="136"/>
    </row>
    <row r="194" spans="1:11" s="154" customFormat="1" ht="12.75" outlineLevel="3" x14ac:dyDescent="0.15">
      <c r="A194" s="181" t="s">
        <v>1099</v>
      </c>
      <c r="B194" s="146" t="str">
        <f>IF(A194&lt;&gt;0,VLOOKUP(A194,[1]合同台帐!$A$4:$D$195,4,1),"")</f>
        <v>销许公告费（一期22个楼的）</v>
      </c>
      <c r="C194" s="147"/>
      <c r="D194" s="148"/>
      <c r="E194" s="149"/>
      <c r="F194" s="150">
        <f>IF(A194&lt;&gt;0,IF(VLOOKUP(A194,[1]合同台帐!$A$4:$G$195,7,1),IF($H$2="元",VLOOKUP(A194,[1]合同台帐!$A$4:$G$195,7,1),VLOOKUP(A194,[1]合同台帐!$A$4:$G$195,7,1)),IF($H$2="元",VLOOKUP(A194,[1]合同台帐!$A$4:$F$195,6,1),VLOOKUP(A194,[1]合同台帐!$A$4:$F$195,6,1))),0)</f>
        <v>6000</v>
      </c>
      <c r="G194" s="151">
        <f t="shared" ref="G194:G196" si="66">F194/K$2</f>
        <v>5.1562684497730465E-2</v>
      </c>
      <c r="H194" s="149">
        <f>IF(A194&lt;&gt;0,IF($H$2="元",VLOOKUP(A194,[1]合同台帐!$A$4:$K$1093,11,1),VLOOKUP(A194,[1]合同台帐!$A$4:$K$1093,11,1)),0)</f>
        <v>6000</v>
      </c>
      <c r="I194" s="177"/>
      <c r="J194" s="152"/>
      <c r="K194" s="136"/>
    </row>
    <row r="195" spans="1:11" s="154" customFormat="1" ht="12.75" outlineLevel="3" x14ac:dyDescent="0.15">
      <c r="A195" s="181" t="s">
        <v>1100</v>
      </c>
      <c r="B195" s="146" t="str">
        <f>IF(A195&lt;&gt;0,VLOOKUP(A195,[1]合同台帐!$A$4:$D$195,4,1),"")</f>
        <v>销许公告费（一期6个楼的）</v>
      </c>
      <c r="C195" s="147"/>
      <c r="D195" s="148"/>
      <c r="E195" s="149"/>
      <c r="F195" s="150">
        <f>IF(A195&lt;&gt;0,IF(VLOOKUP(A195,[1]合同台帐!$A$4:$G$195,7,1),IF($H$2="元",VLOOKUP(A195,[1]合同台帐!$A$4:$G$195,7,1),VLOOKUP(A195,[1]合同台帐!$A$4:$G$195,7,1)),IF($H$2="元",VLOOKUP(A195,[1]合同台帐!$A$4:$F$195,6,1),VLOOKUP(A195,[1]合同台帐!$A$4:$F$195,6,1))),0)</f>
        <v>6000</v>
      </c>
      <c r="G195" s="151">
        <f t="shared" si="66"/>
        <v>5.1562684497730465E-2</v>
      </c>
      <c r="H195" s="149">
        <f>IF(A195&lt;&gt;0,IF($H$2="元",VLOOKUP(A195,[1]合同台帐!$A$4:$K$1093,11,1),VLOOKUP(A195,[1]合同台帐!$A$4:$K$1093,11,1)),0)</f>
        <v>0</v>
      </c>
      <c r="I195" s="177"/>
      <c r="J195" s="152"/>
      <c r="K195" s="136"/>
    </row>
    <row r="196" spans="1:11" s="154" customFormat="1" ht="12.75" outlineLevel="3" x14ac:dyDescent="0.15">
      <c r="A196" s="182" t="s">
        <v>1101</v>
      </c>
      <c r="B196" s="146" t="str">
        <f>IF(A196&lt;&gt;0,VLOOKUP(A196,[1]合同台帐!$A$4:$D$195,4,1),"")</f>
        <v>销许公告费（一期2个证、10个楼）</v>
      </c>
      <c r="C196" s="147"/>
      <c r="D196" s="148"/>
      <c r="E196" s="149"/>
      <c r="F196" s="150">
        <f>IF(A196&lt;&gt;0,IF(VLOOKUP(A196,[1]合同台帐!$A$4:$G$195,7,1),IF($H$2="元",VLOOKUP(A196,[1]合同台帐!$A$4:$G$195,7,1),VLOOKUP(A196,[1]合同台帐!$A$4:$G$195,7,1)),IF($H$2="元",VLOOKUP(A196,[1]合同台帐!$A$4:$F$195,6,1),VLOOKUP(A196,[1]合同台帐!$A$4:$F$195,6,1))),0)</f>
        <v>12000</v>
      </c>
      <c r="G196" s="151">
        <f t="shared" si="66"/>
        <v>0.10312536899546093</v>
      </c>
      <c r="H196" s="149">
        <f>IF(A196&lt;&gt;0,IF($H$2="元",VLOOKUP(A196,[1]合同台帐!$A$4:$K$1093,11,1),VLOOKUP(A196,[1]合同台帐!$A$4:$K$1093,11,1)),0)</f>
        <v>0</v>
      </c>
      <c r="I196" s="177"/>
      <c r="J196" s="152"/>
      <c r="K196" s="136"/>
    </row>
    <row r="197" spans="1:11" s="144" customFormat="1" ht="12.75" outlineLevel="3" x14ac:dyDescent="0.15">
      <c r="A197" s="155"/>
      <c r="B197" s="156"/>
      <c r="C197" s="157"/>
      <c r="D197" s="158"/>
      <c r="E197" s="159"/>
      <c r="F197" s="160"/>
      <c r="G197" s="161"/>
      <c r="H197" s="159"/>
      <c r="I197" s="177"/>
      <c r="J197" s="162"/>
      <c r="K197" s="136"/>
    </row>
    <row r="198" spans="1:11" s="144" customFormat="1" ht="12.75" outlineLevel="2" x14ac:dyDescent="0.15">
      <c r="A198" s="174"/>
      <c r="B198" s="156" t="s">
        <v>1102</v>
      </c>
      <c r="C198" s="157"/>
      <c r="D198" s="158">
        <f>E198/K$2*10000</f>
        <v>0.47643920475902951</v>
      </c>
      <c r="E198" s="159">
        <v>5.5439999999999996</v>
      </c>
      <c r="F198" s="160">
        <f>SUM(F199:F202)</f>
        <v>25680</v>
      </c>
      <c r="G198" s="160">
        <f t="shared" ref="G198:H198" si="67">SUM(G199:G202)</f>
        <v>0.22068828965028642</v>
      </c>
      <c r="H198" s="160">
        <f t="shared" si="67"/>
        <v>17200</v>
      </c>
      <c r="I198" s="177"/>
      <c r="J198" s="162"/>
      <c r="K198" s="136"/>
    </row>
    <row r="199" spans="1:11" s="154" customFormat="1" ht="12.75" outlineLevel="3" x14ac:dyDescent="0.15">
      <c r="A199" s="181" t="s">
        <v>1103</v>
      </c>
      <c r="B199" s="146" t="str">
        <f>IF(A199&lt;&gt;0,VLOOKUP(A199,[1]合同台帐!$A$4:$D$195,4,1),"")</f>
        <v>商品房预售登记费（一期143套）</v>
      </c>
      <c r="C199" s="147"/>
      <c r="D199" s="148"/>
      <c r="E199" s="149"/>
      <c r="F199" s="150">
        <f>IF(A199&lt;&gt;0,IF(VLOOKUP(A199,[1]合同台帐!$A$4:$G$195,7,1),IF($H$2="元",VLOOKUP(A199,[1]合同台帐!$A$4:$G$195,7,1),VLOOKUP(A199,[1]合同台帐!$A$4:$G$195,7,1)),IF($H$2="元",VLOOKUP(A199,[1]合同台帐!$A$4:$F$195,6,1),VLOOKUP(A199,[1]合同台帐!$A$4:$F$195,6,1))),0)</f>
        <v>11440</v>
      </c>
      <c r="G199" s="151">
        <f t="shared" ref="G199:G201" si="68">F199/K$2</f>
        <v>9.8312851775672755E-2</v>
      </c>
      <c r="H199" s="149">
        <f>IF(A199&lt;&gt;0,IF($H$2="元",VLOOKUP(A199,[1]合同台帐!$A$4:$K$1093,11,1),VLOOKUP(A199,[1]合同台帐!$A$4:$K$1093,11,1)),0)</f>
        <v>11440</v>
      </c>
      <c r="I199" s="177"/>
      <c r="J199" s="152"/>
      <c r="K199" s="136"/>
    </row>
    <row r="200" spans="1:11" s="154" customFormat="1" ht="12.75" outlineLevel="3" x14ac:dyDescent="0.15">
      <c r="A200" s="181" t="s">
        <v>1104</v>
      </c>
      <c r="B200" s="146" t="str">
        <f>IF(A200&lt;&gt;0,VLOOKUP(A200,[1]合同台帐!$A$4:$D$195,4,1),"")</f>
        <v>预售登记费(一期72套）</v>
      </c>
      <c r="C200" s="147"/>
      <c r="D200" s="148"/>
      <c r="E200" s="149"/>
      <c r="F200" s="150">
        <f>IF(A200&lt;&gt;0,IF(VLOOKUP(A200,[1]合同台帐!$A$4:$G$195,7,1),IF($H$2="元",VLOOKUP(A200,[1]合同台帐!$A$4:$G$195,7,1),VLOOKUP(A200,[1]合同台帐!$A$4:$G$195,7,1)),IF($H$2="元",VLOOKUP(A200,[1]合同台帐!$A$4:$F$195,6,1),VLOOKUP(A200,[1]合同台帐!$A$4:$F$195,6,1))),0)</f>
        <v>5760</v>
      </c>
      <c r="G200" s="151">
        <f t="shared" si="68"/>
        <v>4.9500177117821252E-2</v>
      </c>
      <c r="H200" s="149">
        <f>IF(A200&lt;&gt;0,IF($H$2="元",VLOOKUP(A200,[1]合同台帐!$A$4:$K$1093,11,1),VLOOKUP(A200,[1]合同台帐!$A$4:$K$1093,11,1)),0)</f>
        <v>5760</v>
      </c>
      <c r="I200" s="177"/>
      <c r="J200" s="152"/>
      <c r="K200" s="136"/>
    </row>
    <row r="201" spans="1:11" s="154" customFormat="1" ht="12.75" outlineLevel="3" x14ac:dyDescent="0.15">
      <c r="A201" s="183" t="s">
        <v>1105</v>
      </c>
      <c r="B201" s="146" t="str">
        <f>IF(A201&lt;&gt;0,VLOOKUP(A201,[1]合同台帐!$A$4:$D$195,4,1),"")</f>
        <v>商品房预售登记费（一期106套）</v>
      </c>
      <c r="C201" s="147"/>
      <c r="D201" s="148"/>
      <c r="E201" s="149"/>
      <c r="F201" s="150">
        <f>IF(A201&lt;&gt;0,IF(VLOOKUP(A201,[1]合同台帐!$A$4:$G$195,7,1),IF($H$2="元",VLOOKUP(A201,[1]合同台帐!$A$4:$G$195,7,1),VLOOKUP(A201,[1]合同台帐!$A$4:$G$195,7,1)),IF($H$2="元",VLOOKUP(A201,[1]合同台帐!$A$4:$F$195,6,1),VLOOKUP(A201,[1]合同台帐!$A$4:$F$195,6,1))),0)</f>
        <v>8480</v>
      </c>
      <c r="G201" s="151">
        <f t="shared" si="68"/>
        <v>7.287526075679239E-2</v>
      </c>
      <c r="H201" s="149">
        <f>IF(A201&lt;&gt;0,IF($H$2="元",VLOOKUP(A201,[1]合同台帐!$A$4:$K$1093,11,1),VLOOKUP(A201,[1]合同台帐!$A$4:$K$1093,11,1)),0)</f>
        <v>0</v>
      </c>
      <c r="I201" s="177"/>
      <c r="J201" s="152"/>
      <c r="K201" s="136"/>
    </row>
    <row r="202" spans="1:11" s="144" customFormat="1" ht="12.75" outlineLevel="3" x14ac:dyDescent="0.15">
      <c r="A202" s="155"/>
      <c r="B202" s="156"/>
      <c r="C202" s="157"/>
      <c r="D202" s="158"/>
      <c r="E202" s="159"/>
      <c r="F202" s="160"/>
      <c r="G202" s="161"/>
      <c r="H202" s="159"/>
      <c r="I202" s="177"/>
      <c r="J202" s="162"/>
      <c r="K202" s="136"/>
    </row>
    <row r="203" spans="1:11" s="144" customFormat="1" ht="12.75" outlineLevel="2" x14ac:dyDescent="0.15">
      <c r="A203" s="174"/>
      <c r="B203" s="156" t="s">
        <v>1106</v>
      </c>
      <c r="C203" s="157"/>
      <c r="D203" s="158">
        <f>E203/K$2*10000</f>
        <v>0</v>
      </c>
      <c r="E203" s="159">
        <v>0</v>
      </c>
      <c r="F203" s="160">
        <f>SUM(F204:F205)</f>
        <v>0</v>
      </c>
      <c r="G203" s="160">
        <f t="shared" ref="G203:J203" si="69">SUM(G204:G205)</f>
        <v>0</v>
      </c>
      <c r="H203" s="160">
        <f t="shared" si="69"/>
        <v>0</v>
      </c>
      <c r="I203" s="160">
        <f t="shared" si="69"/>
        <v>0</v>
      </c>
      <c r="J203" s="160">
        <f t="shared" si="69"/>
        <v>0</v>
      </c>
      <c r="K203" s="136"/>
    </row>
    <row r="204" spans="1:11" s="144" customFormat="1" ht="12.75" outlineLevel="3" x14ac:dyDescent="0.15">
      <c r="A204" s="155"/>
      <c r="B204" s="156"/>
      <c r="C204" s="157"/>
      <c r="D204" s="158"/>
      <c r="E204" s="159"/>
      <c r="F204" s="160"/>
      <c r="G204" s="161"/>
      <c r="H204" s="159"/>
      <c r="I204" s="168"/>
      <c r="J204" s="162"/>
      <c r="K204" s="136"/>
    </row>
    <row r="205" spans="1:11" s="144" customFormat="1" ht="12.75" outlineLevel="3" x14ac:dyDescent="0.15">
      <c r="A205" s="155"/>
      <c r="B205" s="156"/>
      <c r="C205" s="157"/>
      <c r="D205" s="158"/>
      <c r="E205" s="159"/>
      <c r="F205" s="160"/>
      <c r="G205" s="161"/>
      <c r="H205" s="159"/>
      <c r="I205" s="168"/>
      <c r="J205" s="162"/>
      <c r="K205" s="136"/>
    </row>
    <row r="206" spans="1:11" s="144" customFormat="1" ht="12.75" outlineLevel="2" x14ac:dyDescent="0.15">
      <c r="A206" s="174"/>
      <c r="B206" s="156" t="s">
        <v>1107</v>
      </c>
      <c r="C206" s="157"/>
      <c r="D206" s="158">
        <f>E206/K$2*10000</f>
        <v>2.7500098398789582E-2</v>
      </c>
      <c r="E206" s="159">
        <v>0.32</v>
      </c>
      <c r="F206" s="160">
        <f>SUM(F207:F208)</f>
        <v>0</v>
      </c>
      <c r="G206" s="160">
        <f t="shared" ref="G206:H206" si="70">SUM(G207:G208)</f>
        <v>0</v>
      </c>
      <c r="H206" s="160">
        <f t="shared" si="70"/>
        <v>0</v>
      </c>
      <c r="I206" s="177"/>
      <c r="J206" s="162"/>
      <c r="K206" s="136"/>
    </row>
    <row r="207" spans="1:11" s="144" customFormat="1" ht="12.75" outlineLevel="3" x14ac:dyDescent="0.15">
      <c r="A207" s="155"/>
      <c r="B207" s="156"/>
      <c r="C207" s="157"/>
      <c r="D207" s="158"/>
      <c r="E207" s="159"/>
      <c r="F207" s="160"/>
      <c r="G207" s="161"/>
      <c r="H207" s="159"/>
      <c r="I207" s="168"/>
      <c r="J207" s="162"/>
      <c r="K207" s="136"/>
    </row>
    <row r="208" spans="1:11" s="144" customFormat="1" ht="12.75" outlineLevel="3" x14ac:dyDescent="0.15">
      <c r="A208" s="155"/>
      <c r="B208" s="156"/>
      <c r="C208" s="157"/>
      <c r="D208" s="158"/>
      <c r="E208" s="159"/>
      <c r="F208" s="160"/>
      <c r="G208" s="161"/>
      <c r="H208" s="159"/>
      <c r="I208" s="168"/>
      <c r="J208" s="162"/>
      <c r="K208" s="136"/>
    </row>
    <row r="209" spans="1:11" s="144" customFormat="1" ht="24" outlineLevel="2" x14ac:dyDescent="0.15">
      <c r="A209" s="174"/>
      <c r="B209" s="156" t="s">
        <v>1108</v>
      </c>
      <c r="C209" s="157"/>
      <c r="D209" s="158">
        <f>E209/K$2*10000</f>
        <v>1.4856670346523584</v>
      </c>
      <c r="E209" s="159">
        <v>17.287700000000001</v>
      </c>
      <c r="F209" s="160">
        <f>SUM(F210:F212)</f>
        <v>81518.990000000005</v>
      </c>
      <c r="G209" s="160">
        <f t="shared" ref="G209:H209" si="71">SUM(G210:G212)</f>
        <v>0.70055632699060755</v>
      </c>
      <c r="H209" s="160">
        <f t="shared" si="71"/>
        <v>81518.990000000005</v>
      </c>
      <c r="I209" s="177"/>
      <c r="J209" s="162"/>
      <c r="K209" s="136"/>
    </row>
    <row r="210" spans="1:11" s="154" customFormat="1" ht="12.75" outlineLevel="3" x14ac:dyDescent="0.15">
      <c r="A210" s="181" t="s">
        <v>1109</v>
      </c>
      <c r="B210" s="146" t="str">
        <f>IF(A210&lt;&gt;0,VLOOKUP(A210,[1]合同台帐!$A$4:$D$195,4,1),"")</f>
        <v>前置面积测量（一期）</v>
      </c>
      <c r="C210" s="147"/>
      <c r="D210" s="148"/>
      <c r="E210" s="149"/>
      <c r="F210" s="150">
        <f>IF(A210&lt;&gt;0,IF(VLOOKUP(A210,[1]合同台帐!$A$4:$G$195,7,1),IF($H$2="元",VLOOKUP(A210,[1]合同台帐!$A$4:$G$195,7,1),VLOOKUP(A210,[1]合同台帐!$A$4:$G$195,7,1)),IF($H$2="元",VLOOKUP(A210,[1]合同台帐!$A$4:$F$195,6,1),VLOOKUP(A210,[1]合同台帐!$A$4:$F$195,6,1))),0)</f>
        <v>80518.990000000005</v>
      </c>
      <c r="G210" s="151">
        <f t="shared" ref="G210:G211" si="72">F210/K$2</f>
        <v>0.69196254624098585</v>
      </c>
      <c r="H210" s="149">
        <f>IF(A210&lt;&gt;0,IF($H$2="元",VLOOKUP(A210,[1]合同台帐!$A$4:$K$1093,11,1),VLOOKUP(A210,[1]合同台帐!$A$4:$K$1093,11,1)),0)</f>
        <v>80518.990000000005</v>
      </c>
      <c r="I210" s="177"/>
      <c r="J210" s="152"/>
      <c r="K210" s="178"/>
    </row>
    <row r="211" spans="1:11" s="154" customFormat="1" ht="12.75" outlineLevel="3" x14ac:dyDescent="0.15">
      <c r="A211" s="181" t="s">
        <v>1110</v>
      </c>
      <c r="B211" s="146" t="str">
        <f>IF(A211&lt;&gt;0,VLOOKUP(A211,[1]合同台帐!$A$4:$D$195,4,1),"")</f>
        <v>前置测量购买本册费（一期）</v>
      </c>
      <c r="C211" s="147"/>
      <c r="D211" s="148"/>
      <c r="E211" s="149"/>
      <c r="F211" s="150">
        <f>IF(A211&lt;&gt;0,IF(VLOOKUP(A211,[1]合同台帐!$A$4:$G$195,7,1),IF($H$2="元",VLOOKUP(A211,[1]合同台帐!$A$4:$G$195,7,1),VLOOKUP(A211,[1]合同台帐!$A$4:$G$195,7,1)),IF($H$2="元",VLOOKUP(A211,[1]合同台帐!$A$4:$F$195,6,1),VLOOKUP(A211,[1]合同台帐!$A$4:$F$195,6,1))),0)</f>
        <v>1000</v>
      </c>
      <c r="G211" s="151">
        <f t="shared" si="72"/>
        <v>8.5937807496217454E-3</v>
      </c>
      <c r="H211" s="149">
        <f>IF(A211&lt;&gt;0,IF($H$2="元",VLOOKUP(A211,[1]合同台帐!$A$4:$K$1093,11,1),VLOOKUP(A211,[1]合同台帐!$A$4:$K$1093,11,1)),0)</f>
        <v>1000</v>
      </c>
      <c r="I211" s="177"/>
      <c r="J211" s="152"/>
      <c r="K211" s="178"/>
    </row>
    <row r="212" spans="1:11" s="144" customFormat="1" ht="12.75" outlineLevel="3" x14ac:dyDescent="0.15">
      <c r="A212" s="155"/>
      <c r="B212" s="156"/>
      <c r="C212" s="157"/>
      <c r="D212" s="158"/>
      <c r="E212" s="159"/>
      <c r="F212" s="160"/>
      <c r="G212" s="161"/>
      <c r="H212" s="159"/>
      <c r="I212" s="168"/>
      <c r="J212" s="162"/>
      <c r="K212" s="136"/>
    </row>
    <row r="213" spans="1:11" s="144" customFormat="1" ht="12.75" outlineLevel="2" x14ac:dyDescent="0.15">
      <c r="A213" s="174"/>
      <c r="B213" s="156" t="s">
        <v>1111</v>
      </c>
      <c r="C213" s="157"/>
      <c r="D213" s="158">
        <f>E213/K$2*10000</f>
        <v>2.8584031964739371</v>
      </c>
      <c r="E213" s="159">
        <v>33.261299999999999</v>
      </c>
      <c r="F213" s="160">
        <f>SUM(F214:F217)</f>
        <v>129102.55</v>
      </c>
      <c r="G213" s="160">
        <f t="shared" ref="G213:H213" si="73">SUM(G214:G217)</f>
        <v>1.109479008917079</v>
      </c>
      <c r="H213" s="160">
        <f t="shared" si="73"/>
        <v>77563.17</v>
      </c>
      <c r="I213" s="177"/>
      <c r="J213" s="162"/>
      <c r="K213" s="136"/>
    </row>
    <row r="214" spans="1:11" s="154" customFormat="1" ht="24" outlineLevel="3" x14ac:dyDescent="0.15">
      <c r="A214" s="181" t="s">
        <v>1112</v>
      </c>
      <c r="B214" s="146" t="str">
        <f>IF(A214&lt;&gt;0,VLOOKUP(A214,[1]合同台帐!$A$4:$D$195,4,1),"")</f>
        <v>房屋转让手续费（一期22个楼）产权登记</v>
      </c>
      <c r="C214" s="147"/>
      <c r="D214" s="148"/>
      <c r="E214" s="149"/>
      <c r="F214" s="150">
        <f>IF(A214&lt;&gt;0,IF(VLOOKUP(A214,[1]合同台帐!$A$4:$G$195,7,1),IF($H$2="元",VLOOKUP(A214,[1]合同台帐!$A$4:$G$195,7,1),VLOOKUP(A214,[1]合同台帐!$A$4:$G$195,7,1)),IF($H$2="元",VLOOKUP(A214,[1]合同台帐!$A$4:$F$195,6,1),VLOOKUP(A214,[1]合同台帐!$A$4:$F$195,6,1))),0)</f>
        <v>77563.17</v>
      </c>
      <c r="G214" s="151">
        <f t="shared" ref="G214:G216" si="74">F214/K$2</f>
        <v>0.66656087722563884</v>
      </c>
      <c r="H214" s="149">
        <f>IF(A214&lt;&gt;0,IF($H$2="元",VLOOKUP(A214,[1]合同台帐!$A$4:$K$1093,11,1),VLOOKUP(A214,[1]合同台帐!$A$4:$K$1093,11,1)),0)</f>
        <v>77563.17</v>
      </c>
      <c r="I214" s="177"/>
      <c r="J214" s="152"/>
      <c r="K214" s="178"/>
    </row>
    <row r="215" spans="1:11" s="154" customFormat="1" ht="24" outlineLevel="3" x14ac:dyDescent="0.15">
      <c r="A215" s="183" t="s">
        <v>1113</v>
      </c>
      <c r="B215" s="146" t="str">
        <f>IF(A215&lt;&gt;0,VLOOKUP(A215,[1]合同台帐!$A$4:$D$195,4,1),"")</f>
        <v>房屋转让手续费（一期6个楼）产权登记</v>
      </c>
      <c r="C215" s="147"/>
      <c r="D215" s="148"/>
      <c r="E215" s="149"/>
      <c r="F215" s="150">
        <f>IF(A215&lt;&gt;0,IF(VLOOKUP(A215,[1]合同台帐!$A$4:$G$195,7,1),IF($H$2="元",VLOOKUP(A215,[1]合同台帐!$A$4:$G$195,7,1),VLOOKUP(A215,[1]合同台帐!$A$4:$G$195,7,1)),IF($H$2="元",VLOOKUP(A215,[1]合同台帐!$A$4:$F$195,6,1),VLOOKUP(A215,[1]合同台帐!$A$4:$F$195,6,1))),0)</f>
        <v>20569.8</v>
      </c>
      <c r="G215" s="151">
        <f t="shared" si="74"/>
        <v>0.17677235126356936</v>
      </c>
      <c r="H215" s="149">
        <f>IF(A215&lt;&gt;0,IF($H$2="元",VLOOKUP(A215,[1]合同台帐!$A$4:$K$1093,11,1),VLOOKUP(A215,[1]合同台帐!$A$4:$K$1093,11,1)),0)</f>
        <v>0</v>
      </c>
      <c r="I215" s="177"/>
      <c r="J215" s="152"/>
      <c r="K215" s="178"/>
    </row>
    <row r="216" spans="1:11" s="154" customFormat="1" ht="12.75" outlineLevel="3" x14ac:dyDescent="0.15">
      <c r="A216" s="182" t="s">
        <v>1114</v>
      </c>
      <c r="B216" s="146" t="str">
        <f>IF(A216&lt;&gt;0,VLOOKUP(A216,[1]合同台帐!$A$4:$D$195,4,1),"")</f>
        <v>房屋转让手续费（一期10个楼）</v>
      </c>
      <c r="C216" s="147"/>
      <c r="D216" s="148"/>
      <c r="E216" s="149"/>
      <c r="F216" s="150">
        <f>IF(A216&lt;&gt;0,IF(VLOOKUP(A216,[1]合同台帐!$A$4:$G$195,7,1),IF($H$2="元",VLOOKUP(A216,[1]合同台帐!$A$4:$G$195,7,1),VLOOKUP(A216,[1]合同台帐!$A$4:$G$195,7,1)),IF($H$2="元",VLOOKUP(A216,[1]合同台帐!$A$4:$F$195,6,1),VLOOKUP(A216,[1]合同台帐!$A$4:$F$195,6,1))),0)</f>
        <v>30969.58</v>
      </c>
      <c r="G216" s="151">
        <f t="shared" si="74"/>
        <v>0.26614578042787063</v>
      </c>
      <c r="H216" s="149">
        <f>IF(A216&lt;&gt;0,IF($H$2="元",VLOOKUP(A216,[1]合同台帐!$A$4:$K$1093,11,1),VLOOKUP(A216,[1]合同台帐!$A$4:$K$1093,11,1)),0)</f>
        <v>0</v>
      </c>
      <c r="I216" s="177"/>
      <c r="J216" s="152"/>
      <c r="K216" s="178"/>
    </row>
    <row r="217" spans="1:11" s="144" customFormat="1" ht="12.75" outlineLevel="3" x14ac:dyDescent="0.15">
      <c r="A217" s="155"/>
      <c r="B217" s="156"/>
      <c r="C217" s="157"/>
      <c r="D217" s="158"/>
      <c r="E217" s="159"/>
      <c r="F217" s="160"/>
      <c r="G217" s="161"/>
      <c r="H217" s="159"/>
      <c r="I217" s="168"/>
      <c r="J217" s="162"/>
      <c r="K217" s="136"/>
    </row>
    <row r="218" spans="1:11" ht="12.75" outlineLevel="1" x14ac:dyDescent="0.15">
      <c r="A218" s="138"/>
      <c r="B218" s="139" t="s">
        <v>1115</v>
      </c>
      <c r="C218" s="140" t="s">
        <v>1043</v>
      </c>
      <c r="D218" s="163"/>
      <c r="E218" s="164">
        <v>0</v>
      </c>
      <c r="F218" s="165">
        <f t="shared" ref="F218:K218" si="75">SUM(F219:F226)</f>
        <v>1520</v>
      </c>
      <c r="G218" s="165">
        <f t="shared" si="75"/>
        <v>1.306254673942505E-2</v>
      </c>
      <c r="H218" s="165">
        <f t="shared" si="75"/>
        <v>1520</v>
      </c>
      <c r="I218" s="165">
        <f t="shared" si="75"/>
        <v>0</v>
      </c>
      <c r="J218" s="165">
        <f t="shared" si="75"/>
        <v>0</v>
      </c>
      <c r="K218" s="165">
        <f t="shared" si="75"/>
        <v>0</v>
      </c>
    </row>
    <row r="219" spans="1:11" s="154" customFormat="1" ht="12.75" outlineLevel="3" x14ac:dyDescent="0.15">
      <c r="A219" s="181" t="s">
        <v>1116</v>
      </c>
      <c r="B219" s="191" t="str">
        <f>IF(A219&lt;&gt;0,VLOOKUP(A219,[1]合同台帐!$A$4:$D$195,4,1),"")</f>
        <v>技术服务费《2014年造价信息参考》</v>
      </c>
      <c r="C219" s="147"/>
      <c r="D219" s="148"/>
      <c r="E219" s="149"/>
      <c r="F219" s="150">
        <f>IF(A219&lt;&gt;0,IF(VLOOKUP(A219,[1]合同台帐!$A$4:$G$195,7,1),IF($H$2="元",VLOOKUP(A219,[1]合同台帐!$A$4:$G$195,7,1),VLOOKUP(A219,[1]合同台帐!$A$4:$G$195,7,1)),IF($H$2="元",VLOOKUP(A219,[1]合同台帐!$A$4:$F$195,6,1),VLOOKUP(A219,[1]合同台帐!$A$4:$F$195,6,1))),0)</f>
        <v>320</v>
      </c>
      <c r="G219" s="151">
        <f t="shared" ref="G219:G226" si="76">F219/K$2</f>
        <v>2.7500098398789584E-3</v>
      </c>
      <c r="H219" s="149">
        <f>IF(A219&lt;&gt;0,IF($H$2="元",VLOOKUP(A219,[1]合同台帐!$A$4:$K$1093,11,1),VLOOKUP(A219,[1]合同台帐!$A$4:$K$1093,11,1)),0)</f>
        <v>320</v>
      </c>
      <c r="I219" s="177"/>
      <c r="J219" s="152"/>
      <c r="K219" s="178"/>
    </row>
    <row r="220" spans="1:11" s="154" customFormat="1" ht="12.75" outlineLevel="3" x14ac:dyDescent="0.15">
      <c r="A220" s="181" t="s">
        <v>1117</v>
      </c>
      <c r="B220" s="191" t="str">
        <f>IF(A220&lt;&gt;0,VLOOKUP(A220,[1]合同台帐!$A$4:$D$195,4,1),"")</f>
        <v>技术咨询费《2014年工程造价信息》</v>
      </c>
      <c r="C220" s="147"/>
      <c r="D220" s="148"/>
      <c r="E220" s="149"/>
      <c r="F220" s="150">
        <f>IF(A220&lt;&gt;0,IF(VLOOKUP(A220,[1]合同台帐!$A$4:$G$195,7,1),IF($H$2="元",VLOOKUP(A220,[1]合同台帐!$A$4:$G$195,7,1),VLOOKUP(A220,[1]合同台帐!$A$4:$G$195,7,1)),IF($H$2="元",VLOOKUP(A220,[1]合同台帐!$A$4:$F$195,6,1),VLOOKUP(A220,[1]合同台帐!$A$4:$F$195,6,1))),0)</f>
        <v>840</v>
      </c>
      <c r="G220" s="151">
        <f t="shared" si="76"/>
        <v>7.2187758296822658E-3</v>
      </c>
      <c r="H220" s="149">
        <f>IF(A220&lt;&gt;0,IF($H$2="元",VLOOKUP(A220,[1]合同台帐!$A$4:$K$1093,11,1),VLOOKUP(A220,[1]合同台帐!$A$4:$K$1093,11,1)),0)</f>
        <v>840</v>
      </c>
      <c r="I220" s="177"/>
      <c r="J220" s="152"/>
      <c r="K220" s="178"/>
    </row>
    <row r="221" spans="1:11" s="154" customFormat="1" ht="12.75" outlineLevel="3" x14ac:dyDescent="0.15">
      <c r="A221" s="181" t="s">
        <v>1118</v>
      </c>
      <c r="B221" s="191" t="str">
        <f>IF(A221&lt;&gt;0,VLOOKUP(A221,[1]合同台帐!$A$4:$D$195,4,1),"")</f>
        <v>图纸复印费</v>
      </c>
      <c r="C221" s="147"/>
      <c r="D221" s="148"/>
      <c r="E221" s="149"/>
      <c r="F221" s="150">
        <f>IF(A221&lt;&gt;0,IF(VLOOKUP(A221,[1]合同台帐!$A$4:$G$195,7,1),IF($H$2="元",VLOOKUP(A221,[1]合同台帐!$A$4:$G$195,7,1),VLOOKUP(A221,[1]合同台帐!$A$4:$G$195,7,1)),IF($H$2="元",VLOOKUP(A221,[1]合同台帐!$A$4:$F$195,6,1),VLOOKUP(A221,[1]合同台帐!$A$4:$F$195,6,1))),0)</f>
        <v>240</v>
      </c>
      <c r="G221" s="151">
        <f t="shared" si="76"/>
        <v>2.0625073799092185E-3</v>
      </c>
      <c r="H221" s="149">
        <f>IF(A221&lt;&gt;0,IF($H$2="元",VLOOKUP(A221,[1]合同台帐!$A$4:$K$1093,11,1),VLOOKUP(A221,[1]合同台帐!$A$4:$K$1093,11,1)),0)</f>
        <v>240</v>
      </c>
      <c r="I221" s="177"/>
      <c r="J221" s="152"/>
      <c r="K221" s="178"/>
    </row>
    <row r="222" spans="1:11" s="154" customFormat="1" ht="12.75" outlineLevel="3" x14ac:dyDescent="0.15">
      <c r="A222" s="181" t="s">
        <v>1119</v>
      </c>
      <c r="B222" s="191" t="str">
        <f>IF(A222&lt;&gt;0,VLOOKUP(A222,[1]合同台帐!$A$4:$D$195,4,1),"")</f>
        <v>图纸打印费</v>
      </c>
      <c r="C222" s="147"/>
      <c r="D222" s="148"/>
      <c r="E222" s="149"/>
      <c r="F222" s="150">
        <f>IF(A222&lt;&gt;0,IF(VLOOKUP(A222,[1]合同台帐!$A$4:$G$195,7,1),IF($H$2="元",VLOOKUP(A222,[1]合同台帐!$A$4:$G$195,7,1),VLOOKUP(A222,[1]合同台帐!$A$4:$G$195,7,1)),IF($H$2="元",VLOOKUP(A222,[1]合同台帐!$A$4:$F$195,6,1),VLOOKUP(A222,[1]合同台帐!$A$4:$F$195,6,1))),0)</f>
        <v>120</v>
      </c>
      <c r="G222" s="151">
        <f t="shared" si="76"/>
        <v>1.0312536899546093E-3</v>
      </c>
      <c r="H222" s="149">
        <f>IF(A222&lt;&gt;0,IF($H$2="元",VLOOKUP(A222,[1]合同台帐!$A$4:$K$1093,11,1),VLOOKUP(A222,[1]合同台帐!$A$4:$K$1093,11,1)),0)</f>
        <v>120</v>
      </c>
      <c r="I222" s="177"/>
      <c r="J222" s="152"/>
      <c r="K222" s="178"/>
    </row>
    <row r="223" spans="1:11" s="154" customFormat="1" ht="12.75" outlineLevel="2" x14ac:dyDescent="0.15">
      <c r="A223" s="183"/>
      <c r="B223" s="146" t="str">
        <f>IF(A223&lt;&gt;0,VLOOKUP(A223,[1]合同台帐!$A$4:$D$195,4,1),"")</f>
        <v/>
      </c>
      <c r="C223" s="147"/>
      <c r="D223" s="148"/>
      <c r="E223" s="149"/>
      <c r="F223" s="150">
        <f>IF(A223&lt;&gt;0,IF(VLOOKUP(A223,[1]合同台帐!$A$4:$G$195,7,1),IF($H$2="元",VLOOKUP(A223,[1]合同台帐!$A$4:$G$195,7,1),VLOOKUP(A223,[1]合同台帐!$A$4:$G$195,7,1)),IF($H$2="元",VLOOKUP(A223,[1]合同台帐!$A$4:$F$195,6,1),VLOOKUP(A223,[1]合同台帐!$A$4:$F$195,6,1))),0)</f>
        <v>0</v>
      </c>
      <c r="G223" s="151">
        <f t="shared" si="76"/>
        <v>0</v>
      </c>
      <c r="H223" s="149">
        <f>IF(A223&lt;&gt;0,IF($H$2="元",VLOOKUP(A223,[1]合同台帐!$A$4:$K$1093,11,1),VLOOKUP(A223,[1]合同台帐!$A$4:$K$1093,11,1)),0)</f>
        <v>0</v>
      </c>
      <c r="I223" s="177"/>
      <c r="J223" s="152"/>
      <c r="K223" s="178"/>
    </row>
    <row r="224" spans="1:11" s="154" customFormat="1" ht="12.75" outlineLevel="2" x14ac:dyDescent="0.15">
      <c r="A224" s="183"/>
      <c r="B224" s="146" t="str">
        <f>IF(A224&lt;&gt;0,VLOOKUP(A224,[1]合同台帐!$A$4:$D$195,4,1),"")</f>
        <v/>
      </c>
      <c r="C224" s="147"/>
      <c r="D224" s="148"/>
      <c r="E224" s="149"/>
      <c r="F224" s="150">
        <f>IF(A224&lt;&gt;0,IF(VLOOKUP(A224,[1]合同台帐!$A$4:$G$195,7,1),IF($H$2="元",VLOOKUP(A224,[1]合同台帐!$A$4:$G$195,7,1),VLOOKUP(A224,[1]合同台帐!$A$4:$G$195,7,1)),IF($H$2="元",VLOOKUP(A224,[1]合同台帐!$A$4:$F$195,6,1),VLOOKUP(A224,[1]合同台帐!$A$4:$F$195,6,1))),0)</f>
        <v>0</v>
      </c>
      <c r="G224" s="151">
        <f t="shared" si="76"/>
        <v>0</v>
      </c>
      <c r="H224" s="149">
        <f>IF(A224&lt;&gt;0,IF($H$2="元",VLOOKUP(A224,[1]合同台帐!$A$4:$K$1093,11,1),VLOOKUP(A224,[1]合同台帐!$A$4:$K$1093,11,1)),0)</f>
        <v>0</v>
      </c>
      <c r="I224" s="177"/>
      <c r="J224" s="152"/>
      <c r="K224" s="178"/>
    </row>
    <row r="225" spans="1:11" s="154" customFormat="1" ht="12.75" outlineLevel="2" x14ac:dyDescent="0.15">
      <c r="A225" s="183"/>
      <c r="B225" s="146" t="str">
        <f>IF(A225&lt;&gt;0,VLOOKUP(A225,[1]合同台帐!$A$4:$D$195,4,1),"")</f>
        <v/>
      </c>
      <c r="C225" s="147"/>
      <c r="D225" s="148"/>
      <c r="E225" s="149"/>
      <c r="F225" s="150">
        <f>IF(A225&lt;&gt;0,IF(VLOOKUP(A225,[1]合同台帐!$A$4:$G$195,7,1),IF($H$2="元",VLOOKUP(A225,[1]合同台帐!$A$4:$G$195,7,1),VLOOKUP(A225,[1]合同台帐!$A$4:$G$195,7,1)),IF($H$2="元",VLOOKUP(A225,[1]合同台帐!$A$4:$F$195,6,1),VLOOKUP(A225,[1]合同台帐!$A$4:$F$195,6,1))),0)</f>
        <v>0</v>
      </c>
      <c r="G225" s="151">
        <f t="shared" si="76"/>
        <v>0</v>
      </c>
      <c r="H225" s="149">
        <f>IF(A225&lt;&gt;0,IF($H$2="元",VLOOKUP(A225,[1]合同台帐!$A$4:$K$1093,11,1),VLOOKUP(A225,[1]合同台帐!$A$4:$K$1093,11,1)),0)</f>
        <v>0</v>
      </c>
      <c r="I225" s="177"/>
      <c r="J225" s="152"/>
      <c r="K225" s="178"/>
    </row>
    <row r="226" spans="1:11" s="154" customFormat="1" ht="12.75" outlineLevel="2" x14ac:dyDescent="0.15">
      <c r="A226" s="183"/>
      <c r="B226" s="146" t="str">
        <f>IF(A226&lt;&gt;0,VLOOKUP(A226,[1]合同台帐!$A$4:$D$195,4,1),"")</f>
        <v/>
      </c>
      <c r="C226" s="147"/>
      <c r="D226" s="148"/>
      <c r="E226" s="149"/>
      <c r="F226" s="150">
        <f>IF(A226&lt;&gt;0,IF(VLOOKUP(A226,[1]合同台帐!$A$4:$G$195,7,1),IF($H$2="元",VLOOKUP(A226,[1]合同台帐!$A$4:$G$195,7,1),VLOOKUP(A226,[1]合同台帐!$A$4:$G$195,7,1)),IF($H$2="元",VLOOKUP(A226,[1]合同台帐!$A$4:$F$195,6,1),VLOOKUP(A226,[1]合同台帐!$A$4:$F$195,6,1))),0)</f>
        <v>0</v>
      </c>
      <c r="G226" s="151">
        <f t="shared" si="76"/>
        <v>0</v>
      </c>
      <c r="H226" s="149">
        <f>IF(A226&lt;&gt;0,IF($H$2="元",VLOOKUP(A226,[1]合同台帐!$A$4:$K$1093,11,1),VLOOKUP(A226,[1]合同台帐!$A$4:$K$1093,11,1)),0)</f>
        <v>0</v>
      </c>
      <c r="I226" s="177"/>
      <c r="J226" s="152"/>
      <c r="K226" s="178"/>
    </row>
    <row r="227" spans="1:11" s="137" customFormat="1" ht="12.75" x14ac:dyDescent="0.15">
      <c r="A227" s="131"/>
      <c r="B227" s="132" t="s">
        <v>1120</v>
      </c>
      <c r="C227" s="133" t="s">
        <v>1121</v>
      </c>
      <c r="D227" s="135">
        <f t="shared" ref="D227:H227" si="77">D228+D257+D297+D322+D337+D344+D347</f>
        <v>3348.4060942968063</v>
      </c>
      <c r="E227" s="135">
        <f t="shared" si="77"/>
        <v>38963.131499999996</v>
      </c>
      <c r="F227" s="135">
        <f t="shared" si="77"/>
        <v>333158322</v>
      </c>
      <c r="G227" s="135">
        <f t="shared" si="77"/>
        <v>2863.0895741798822</v>
      </c>
      <c r="H227" s="135">
        <f t="shared" si="77"/>
        <v>65824962.5</v>
      </c>
      <c r="I227" s="192">
        <f>F227-E227*10000</f>
        <v>-56472992.99999994</v>
      </c>
      <c r="J227" s="134">
        <f>G227-D227</f>
        <v>-485.31652011692404</v>
      </c>
      <c r="K227" s="136"/>
    </row>
    <row r="228" spans="1:11" ht="12.75" outlineLevel="1" x14ac:dyDescent="0.15">
      <c r="A228" s="138"/>
      <c r="B228" s="139" t="s">
        <v>1122</v>
      </c>
      <c r="C228" s="140" t="s">
        <v>1123</v>
      </c>
      <c r="D228" s="165">
        <f t="shared" ref="D228:H228" si="78">D229+D232+D236+D239+D245+D248+D252</f>
        <v>101.4815849887963</v>
      </c>
      <c r="E228" s="165">
        <f t="shared" si="78"/>
        <v>1180.8724</v>
      </c>
      <c r="F228" s="165">
        <f t="shared" si="78"/>
        <v>8362141</v>
      </c>
      <c r="G228" s="165">
        <f t="shared" si="78"/>
        <v>71.86240635142272</v>
      </c>
      <c r="H228" s="165">
        <f t="shared" si="78"/>
        <v>1899260</v>
      </c>
      <c r="I228" s="142">
        <f>F228-E228*10000</f>
        <v>-3446583</v>
      </c>
      <c r="J228" s="143">
        <f>G228-D228</f>
        <v>-29.619178637373579</v>
      </c>
      <c r="K228" s="136"/>
    </row>
    <row r="229" spans="1:11" ht="12.75" outlineLevel="2" x14ac:dyDescent="0.15">
      <c r="A229" s="174"/>
      <c r="B229" s="156" t="s">
        <v>1124</v>
      </c>
      <c r="C229" s="157"/>
      <c r="D229" s="158">
        <f>E229/K$2*10000</f>
        <v>8.9313702388091354</v>
      </c>
      <c r="E229" s="159">
        <v>103.92829999999999</v>
      </c>
      <c r="F229" s="160">
        <f t="shared" ref="F229:H229" si="79">SUM(F230:F231)</f>
        <v>5764660</v>
      </c>
      <c r="G229" s="160">
        <f t="shared" si="79"/>
        <v>49.540224136114489</v>
      </c>
      <c r="H229" s="160">
        <f t="shared" si="79"/>
        <v>0</v>
      </c>
      <c r="I229" s="177"/>
      <c r="J229" s="162"/>
      <c r="K229" s="136"/>
    </row>
    <row r="230" spans="1:11" s="154" customFormat="1" ht="12.75" outlineLevel="3" x14ac:dyDescent="0.15">
      <c r="A230" s="183" t="s">
        <v>1125</v>
      </c>
      <c r="B230" s="146" t="str">
        <f>IF(A230&lt;&gt;0,VLOOKUP(A230,[1]合同台帐!$A$4:$D$195,4,1),"")</f>
        <v>三期桩基工程</v>
      </c>
      <c r="C230" s="147"/>
      <c r="D230" s="148"/>
      <c r="E230" s="149"/>
      <c r="F230" s="150">
        <f>IF(A230&lt;&gt;0,IF(VLOOKUP(A230,[1]合同台帐!$A$4:$G$195,7,1),IF($H$2="元",VLOOKUP(A230,[1]合同台帐!$A$4:$G$195,7,1),VLOOKUP(A230,[1]合同台帐!$A$4:$G$195,7,1)),IF($H$2="元",VLOOKUP(A230,[1]合同台帐!$A$4:$F$195,6,1),VLOOKUP(A230,[1]合同台帐!$A$4:$F$195,6,1))),0)</f>
        <v>5764660</v>
      </c>
      <c r="G230" s="151">
        <f>F230/K$2</f>
        <v>49.540224136114489</v>
      </c>
      <c r="H230" s="149">
        <f>IF(A230&lt;&gt;0,IF($H$2="元",VLOOKUP(A230,[1]合同台帐!$A$4:$K$1093,11,1),VLOOKUP(A230,[1]合同台帐!$A$4:$K$1093,11,1)),0)</f>
        <v>0</v>
      </c>
      <c r="I230" s="177"/>
      <c r="J230" s="152"/>
      <c r="K230" s="178"/>
    </row>
    <row r="231" spans="1:11" s="144" customFormat="1" ht="12.75" outlineLevel="3" x14ac:dyDescent="0.15">
      <c r="A231" s="155"/>
      <c r="B231" s="156"/>
      <c r="C231" s="157"/>
      <c r="D231" s="158"/>
      <c r="E231" s="159"/>
      <c r="F231" s="160"/>
      <c r="G231" s="161"/>
      <c r="H231" s="159">
        <f>IF(A231&lt;&gt;0,IF($H$2="元",VLOOKUP(A231,[1]合同台帐!$A$4:$K$1093,11,1),VLOOKUP(A231,[1]合同台帐!$A$4:$K$1093,11,1)),0)</f>
        <v>0</v>
      </c>
      <c r="I231" s="168"/>
      <c r="J231" s="162"/>
      <c r="K231" s="136"/>
    </row>
    <row r="232" spans="1:11" ht="12.75" outlineLevel="2" x14ac:dyDescent="0.15">
      <c r="A232" s="174"/>
      <c r="B232" s="156" t="s">
        <v>1126</v>
      </c>
      <c r="C232" s="157"/>
      <c r="D232" s="158">
        <f>E232/K$2*10000</f>
        <v>0.534318318107732</v>
      </c>
      <c r="E232" s="159">
        <v>6.2175000000000002</v>
      </c>
      <c r="F232" s="160">
        <f>SUM(F233:F235)</f>
        <v>184940</v>
      </c>
      <c r="G232" s="160">
        <f t="shared" ref="G232:H232" si="80">SUM(G233:G235)</f>
        <v>1.5893338118350455</v>
      </c>
      <c r="H232" s="160">
        <f t="shared" si="80"/>
        <v>0</v>
      </c>
      <c r="I232" s="177"/>
      <c r="J232" s="162"/>
      <c r="K232" s="136"/>
    </row>
    <row r="233" spans="1:11" s="154" customFormat="1" ht="12.75" outlineLevel="3" x14ac:dyDescent="0.15">
      <c r="A233" s="182" t="s">
        <v>1127</v>
      </c>
      <c r="B233" s="146" t="str">
        <f>IF(A233&lt;&gt;0,VLOOKUP(A233,[1]合同台帐!$A$4:$D$195,4,1),"")</f>
        <v>三期桩基检测</v>
      </c>
      <c r="C233" s="147"/>
      <c r="D233" s="148"/>
      <c r="E233" s="149"/>
      <c r="F233" s="150">
        <f>IF(A233&lt;&gt;0,IF(VLOOKUP(A233,[1]合同台帐!$A$4:$G$195,7,1),IF($H$2="元",VLOOKUP(A233,[1]合同台帐!$A$4:$G$195,7,1),VLOOKUP(A233,[1]合同台帐!$A$4:$G$195,7,1)),IF($H$2="元",VLOOKUP(A233,[1]合同台帐!$A$4:$F$195,6,1),VLOOKUP(A233,[1]合同台帐!$A$4:$F$195,6,1))),0)</f>
        <v>184940</v>
      </c>
      <c r="G233" s="151">
        <f>F233/K$2</f>
        <v>1.5893338118350455</v>
      </c>
      <c r="H233" s="149">
        <f>IF(A233&lt;&gt;0,IF($H$2="元",VLOOKUP(A233,[1]合同台帐!$A$4:$K$1093,11,1),VLOOKUP(A233,[1]合同台帐!$A$4:$K$1093,11,1)),0)</f>
        <v>0</v>
      </c>
      <c r="I233" s="177"/>
      <c r="J233" s="152"/>
      <c r="K233" s="178"/>
    </row>
    <row r="234" spans="1:11" ht="12.75" outlineLevel="3" x14ac:dyDescent="0.15">
      <c r="A234" s="155"/>
      <c r="B234" s="156"/>
      <c r="C234" s="157"/>
      <c r="D234" s="158"/>
      <c r="E234" s="159"/>
      <c r="F234" s="160"/>
      <c r="G234" s="161"/>
      <c r="H234" s="159">
        <f>IF(A234&lt;&gt;0,IF($H$2="元",VLOOKUP(A234,[1]合同台帐!$A$4:$K$1093,11,1),VLOOKUP(A234,[1]合同台帐!$A$4:$K$1093,11,1)),0)</f>
        <v>0</v>
      </c>
      <c r="I234" s="168"/>
      <c r="J234" s="162"/>
      <c r="K234" s="136"/>
    </row>
    <row r="235" spans="1:11" ht="12.75" outlineLevel="3" x14ac:dyDescent="0.15">
      <c r="A235" s="155"/>
      <c r="B235" s="156"/>
      <c r="C235" s="157"/>
      <c r="D235" s="158"/>
      <c r="E235" s="159"/>
      <c r="F235" s="160"/>
      <c r="G235" s="161"/>
      <c r="H235" s="159">
        <f>IF(A235&lt;&gt;0,IF($H$2="元",VLOOKUP(A235,[1]合同台帐!$A$4:$K$1093,11,1),VLOOKUP(A235,[1]合同台帐!$A$4:$K$1093,11,1)),0)</f>
        <v>0</v>
      </c>
      <c r="I235" s="168"/>
      <c r="J235" s="162"/>
      <c r="K235" s="136"/>
    </row>
    <row r="236" spans="1:11" ht="12.75" outlineLevel="2" x14ac:dyDescent="0.15">
      <c r="A236" s="174"/>
      <c r="B236" s="156" t="s">
        <v>1128</v>
      </c>
      <c r="C236" s="157"/>
      <c r="D236" s="158">
        <f>E236/K$2*10000</f>
        <v>19.999996562487702</v>
      </c>
      <c r="E236" s="159">
        <v>232.72640000000001</v>
      </c>
      <c r="F236" s="160">
        <f>SUM(F237:F238)</f>
        <v>0</v>
      </c>
      <c r="G236" s="160">
        <f t="shared" ref="G236:H236" si="81">SUM(G237:G238)</f>
        <v>0</v>
      </c>
      <c r="H236" s="160">
        <f t="shared" si="81"/>
        <v>0</v>
      </c>
      <c r="I236" s="177"/>
      <c r="J236" s="162"/>
      <c r="K236" s="136"/>
    </row>
    <row r="237" spans="1:11" s="144" customFormat="1" ht="16.5" customHeight="1" outlineLevel="3" x14ac:dyDescent="0.15">
      <c r="A237" s="180"/>
      <c r="B237" s="156" t="str">
        <f>IF(A237&lt;&gt;0,VLOOKUP(A237,[1]合同台帐!$A$4:$D$893,4,1),"")</f>
        <v/>
      </c>
      <c r="C237" s="157"/>
      <c r="D237" s="158"/>
      <c r="E237" s="159"/>
      <c r="F237" s="160" t="str">
        <f>IF(A237&lt;&gt;0,VLOOKUP(A237,[1]合同台帐!$A$4:$J$893,6,1),"")</f>
        <v/>
      </c>
      <c r="G237" s="161"/>
      <c r="H237" s="159">
        <f>IF(A237&lt;&gt;0,IF($H$2="元",VLOOKUP(A237,[1]合同台帐!$A$4:$K$1093,11,1),VLOOKUP(A237,[1]合同台帐!$A$4:$K$1093,11,1)),0)</f>
        <v>0</v>
      </c>
      <c r="I237" s="160"/>
      <c r="J237" s="162"/>
      <c r="K237" s="136"/>
    </row>
    <row r="238" spans="1:11" s="144" customFormat="1" ht="16.5" customHeight="1" outlineLevel="3" x14ac:dyDescent="0.15">
      <c r="A238" s="180"/>
      <c r="B238" s="156"/>
      <c r="C238" s="157"/>
      <c r="D238" s="158"/>
      <c r="E238" s="159"/>
      <c r="F238" s="160"/>
      <c r="G238" s="161"/>
      <c r="H238" s="159"/>
      <c r="I238" s="168"/>
      <c r="J238" s="162"/>
      <c r="K238" s="136"/>
    </row>
    <row r="239" spans="1:11" ht="12.75" outlineLevel="2" x14ac:dyDescent="0.15">
      <c r="A239" s="174"/>
      <c r="B239" s="156" t="s">
        <v>1129</v>
      </c>
      <c r="C239" s="157"/>
      <c r="D239" s="158">
        <f>E239/K$2*10000</f>
        <v>25.000004296890374</v>
      </c>
      <c r="E239" s="159">
        <v>290.90809999999999</v>
      </c>
      <c r="F239" s="160">
        <f>SUM(F240:F244)</f>
        <v>1916178</v>
      </c>
      <c r="G239" s="160">
        <f t="shared" ref="G239:H239" si="82">SUM(G240:G244)</f>
        <v>16.467213609248695</v>
      </c>
      <c r="H239" s="160">
        <f t="shared" si="82"/>
        <v>1486000</v>
      </c>
      <c r="I239" s="177"/>
      <c r="J239" s="162"/>
      <c r="K239" s="136"/>
    </row>
    <row r="240" spans="1:11" s="154" customFormat="1" ht="12.75" outlineLevel="3" x14ac:dyDescent="0.15">
      <c r="A240" s="181" t="s">
        <v>1130</v>
      </c>
      <c r="B240" s="146" t="str">
        <f>IF(A240&lt;&gt;0,VLOOKUP(A240,[1]合同台帐!$A$4:$D$195,4,1),"")</f>
        <v>示范区强夯工程合同</v>
      </c>
      <c r="C240" s="147"/>
      <c r="D240" s="148"/>
      <c r="E240" s="149"/>
      <c r="F240" s="150">
        <f>IF(A240&lt;&gt;0,IF(VLOOKUP(A240,[1]合同台帐!$A$4:$G$195,7,1),IF($H$2="元",VLOOKUP(A240,[1]合同台帐!$A$4:$G$195,7,1),VLOOKUP(A240,[1]合同台帐!$A$4:$G$195,7,1)),IF($H$2="元",VLOOKUP(A240,[1]合同台帐!$A$4:$F$195,6,1),VLOOKUP(A240,[1]合同台帐!$A$4:$F$195,6,1))),0)</f>
        <v>748148</v>
      </c>
      <c r="G240" s="151">
        <f t="shared" ref="G240:G243" si="83">F240/K$2</f>
        <v>6.4294198802680089</v>
      </c>
      <c r="H240" s="149">
        <f>IF(A240&lt;&gt;0,IF($H$2="元",VLOOKUP(A240,[1]合同台帐!$A$4:$K$1093,11,1),VLOOKUP(A240,[1]合同台帐!$A$4:$K$1093,11,1)),0)</f>
        <v>678130</v>
      </c>
      <c r="I240" s="177"/>
      <c r="J240" s="152"/>
      <c r="K240" s="178"/>
    </row>
    <row r="241" spans="1:11" s="154" customFormat="1" ht="12.75" outlineLevel="3" x14ac:dyDescent="0.15">
      <c r="A241" s="181" t="s">
        <v>1131</v>
      </c>
      <c r="B241" s="146" t="str">
        <f>IF(A241&lt;&gt;0,VLOOKUP(A241,[1]合同台帐!$A$4:$D$195,4,1),"")</f>
        <v>一期强夯工程补充合同</v>
      </c>
      <c r="C241" s="147"/>
      <c r="D241" s="148"/>
      <c r="E241" s="149"/>
      <c r="F241" s="150">
        <f>IF(A241&lt;&gt;0,IF(VLOOKUP(A241,[1]合同台帐!$A$4:$G$195,7,1),IF($H$2="元",VLOOKUP(A241,[1]合同台帐!$A$4:$G$195,7,1),VLOOKUP(A241,[1]合同台帐!$A$4:$G$195,7,1)),IF($H$2="元",VLOOKUP(A241,[1]合同台帐!$A$4:$F$195,6,1),VLOOKUP(A241,[1]合同台帐!$A$4:$F$195,6,1))),0)</f>
        <v>967950</v>
      </c>
      <c r="G241" s="151">
        <f t="shared" si="83"/>
        <v>8.3183500765963672</v>
      </c>
      <c r="H241" s="149">
        <f>IF(A241&lt;&gt;0,IF($H$2="元",VLOOKUP(A241,[1]合同台帐!$A$4:$K$1093,11,1),VLOOKUP(A241,[1]合同台帐!$A$4:$K$1093,11,1)),0)</f>
        <v>807870</v>
      </c>
      <c r="I241" s="177"/>
      <c r="J241" s="152"/>
      <c r="K241" s="178"/>
    </row>
    <row r="242" spans="1:11" s="154" customFormat="1" ht="12.75" outlineLevel="3" x14ac:dyDescent="0.15">
      <c r="A242" s="181" t="s">
        <v>1132</v>
      </c>
      <c r="B242" s="146" t="str">
        <f>IF(A242&lt;&gt;0,VLOOKUP(A242,[1]合同台帐!$A$4:$D$195,4,1),"")</f>
        <v>一期工程强夯检测（一期）</v>
      </c>
      <c r="C242" s="147"/>
      <c r="D242" s="148"/>
      <c r="E242" s="149"/>
      <c r="F242" s="150">
        <f>IF(A242&lt;&gt;0,IF(VLOOKUP(A242,[1]合同台帐!$A$4:$G$195,7,1),IF($H$2="元",VLOOKUP(A242,[1]合同台帐!$A$4:$G$195,7,1),VLOOKUP(A242,[1]合同台帐!$A$4:$G$195,7,1)),IF($H$2="元",VLOOKUP(A242,[1]合同台帐!$A$4:$F$195,6,1),VLOOKUP(A242,[1]合同台帐!$A$4:$F$195,6,1))),0)</f>
        <v>150000</v>
      </c>
      <c r="G242" s="151">
        <f t="shared" si="83"/>
        <v>1.2890671124432618</v>
      </c>
      <c r="H242" s="149">
        <f>IF(A242&lt;&gt;0,IF($H$2="元",VLOOKUP(A242,[1]合同台帐!$A$4:$K$1093,11,1),VLOOKUP(A242,[1]合同台帐!$A$4:$K$1093,11,1)),0)</f>
        <v>0</v>
      </c>
      <c r="I242" s="177"/>
      <c r="J242" s="152"/>
      <c r="K242" s="178"/>
    </row>
    <row r="243" spans="1:11" s="154" customFormat="1" ht="12.75" outlineLevel="3" x14ac:dyDescent="0.15">
      <c r="A243" s="181" t="s">
        <v>1133</v>
      </c>
      <c r="B243" s="146" t="str">
        <f>IF(A243&lt;&gt;0,VLOOKUP(A243,[1]合同台帐!$A$4:$D$195,4,1),"")</f>
        <v>二期强夯检测</v>
      </c>
      <c r="C243" s="147"/>
      <c r="D243" s="148"/>
      <c r="E243" s="149"/>
      <c r="F243" s="150">
        <f>IF(A243&lt;&gt;0,IF(VLOOKUP(A243,[1]合同台帐!$A$4:$G$195,7,1),IF($H$2="元",VLOOKUP(A243,[1]合同台帐!$A$4:$G$195,7,1),VLOOKUP(A243,[1]合同台帐!$A$4:$G$195,7,1)),IF($H$2="元",VLOOKUP(A243,[1]合同台帐!$A$4:$F$195,6,1),VLOOKUP(A243,[1]合同台帐!$A$4:$F$195,6,1))),0)</f>
        <v>50080</v>
      </c>
      <c r="G243" s="151">
        <f t="shared" si="83"/>
        <v>0.43037653994105696</v>
      </c>
      <c r="H243" s="149">
        <f>IF(A243&lt;&gt;0,IF($H$2="元",VLOOKUP(A243,[1]合同台帐!$A$4:$K$1093,11,1),VLOOKUP(A243,[1]合同台帐!$A$4:$K$1093,11,1)),0)</f>
        <v>0</v>
      </c>
      <c r="I243" s="177"/>
      <c r="J243" s="152"/>
      <c r="K243" s="178"/>
    </row>
    <row r="244" spans="1:11" s="154" customFormat="1" ht="12.75" outlineLevel="3" x14ac:dyDescent="0.15">
      <c r="A244" s="183"/>
      <c r="B244" s="146"/>
      <c r="C244" s="147"/>
      <c r="D244" s="148"/>
      <c r="E244" s="149"/>
      <c r="F244" s="150"/>
      <c r="G244" s="151"/>
      <c r="H244" s="187"/>
      <c r="I244" s="177"/>
      <c r="J244" s="152"/>
      <c r="K244" s="178"/>
    </row>
    <row r="245" spans="1:11" ht="12.75" outlineLevel="2" x14ac:dyDescent="0.15">
      <c r="A245" s="174"/>
      <c r="B245" s="156" t="s">
        <v>1134</v>
      </c>
      <c r="C245" s="157"/>
      <c r="D245" s="158">
        <f>E245/K$2*10000</f>
        <v>43.499999398435349</v>
      </c>
      <c r="E245" s="159">
        <v>506.18</v>
      </c>
      <c r="F245" s="160">
        <f>SUM(F246:F247)</f>
        <v>0</v>
      </c>
      <c r="G245" s="160">
        <f t="shared" ref="G245:H245" si="84">SUM(G246:G247)</f>
        <v>0</v>
      </c>
      <c r="H245" s="160">
        <f t="shared" si="84"/>
        <v>0</v>
      </c>
      <c r="I245" s="177"/>
      <c r="J245" s="162"/>
      <c r="K245" s="136"/>
    </row>
    <row r="246" spans="1:11" s="144" customFormat="1" ht="16.5" customHeight="1" outlineLevel="3" x14ac:dyDescent="0.15">
      <c r="A246" s="180"/>
      <c r="B246" s="156" t="str">
        <f>IF(A246&lt;&gt;0,VLOOKUP(A246,[1]合同台帐!$A$4:$D$893,4,1),"")</f>
        <v/>
      </c>
      <c r="C246" s="157"/>
      <c r="D246" s="158"/>
      <c r="E246" s="159"/>
      <c r="F246" s="160" t="str">
        <f>IF(A246&lt;&gt;0,VLOOKUP(A246,[1]合同台帐!$A$4:$J$893,6,1),"")</f>
        <v/>
      </c>
      <c r="G246" s="161"/>
      <c r="H246" s="159">
        <f>IF(A246&lt;&gt;0,IF($H$2="元",VLOOKUP(A246,[1]合同台帐!$A$4:$K$1093,11,1),VLOOKUP(A246,[1]合同台帐!$A$4:$K$1093,11,1)),0)</f>
        <v>0</v>
      </c>
      <c r="I246" s="160"/>
      <c r="J246" s="162"/>
      <c r="K246" s="136"/>
    </row>
    <row r="247" spans="1:11" s="144" customFormat="1" ht="12.75" outlineLevel="3" x14ac:dyDescent="0.15">
      <c r="A247" s="155"/>
      <c r="B247" s="156"/>
      <c r="C247" s="157"/>
      <c r="D247" s="158"/>
      <c r="E247" s="159"/>
      <c r="F247" s="160"/>
      <c r="G247" s="161"/>
      <c r="H247" s="159">
        <f>IF(A247&lt;&gt;0,IF($H$2="元",VLOOKUP(A247,[1]合同台帐!$A$4:$K$1093,11,1),VLOOKUP(A247,[1]合同台帐!$A$4:$K$1093,11,1)),0)</f>
        <v>0</v>
      </c>
      <c r="I247" s="168"/>
      <c r="J247" s="162"/>
      <c r="K247" s="136"/>
    </row>
    <row r="248" spans="1:11" ht="12.75" outlineLevel="2" x14ac:dyDescent="0.15">
      <c r="A248" s="174"/>
      <c r="B248" s="156" t="s">
        <v>1135</v>
      </c>
      <c r="C248" s="157"/>
      <c r="D248" s="158">
        <f>E248/K$2*10000</f>
        <v>0.71589631156648981</v>
      </c>
      <c r="E248" s="159">
        <v>8.3303999999999991</v>
      </c>
      <c r="F248" s="160">
        <f>SUM(F249:F251)</f>
        <v>83103</v>
      </c>
      <c r="G248" s="160">
        <f t="shared" ref="G248:H248" si="85">SUM(G249:G251)</f>
        <v>0.71416896163581589</v>
      </c>
      <c r="H248" s="160">
        <f t="shared" si="85"/>
        <v>0</v>
      </c>
      <c r="I248" s="177"/>
      <c r="J248" s="162"/>
      <c r="K248" s="136"/>
    </row>
    <row r="249" spans="1:11" s="154" customFormat="1" ht="12.75" outlineLevel="3" x14ac:dyDescent="0.15">
      <c r="A249" s="181" t="s">
        <v>1136</v>
      </c>
      <c r="B249" s="146" t="str">
        <f>IF(A249&lt;&gt;0,VLOOKUP(A249,[1]合同台帐!$A$4:$D$195,4,1),"")</f>
        <v>沉降观测合同</v>
      </c>
      <c r="C249" s="147"/>
      <c r="D249" s="148"/>
      <c r="E249" s="149"/>
      <c r="F249" s="150">
        <f>IF(A249&lt;&gt;0,IF(VLOOKUP(A249,[1]合同台帐!$A$4:$G$195,7,1),IF($H$2="元",VLOOKUP(A249,[1]合同台帐!$A$4:$G$195,7,1),VLOOKUP(A249,[1]合同台帐!$A$4:$G$195,7,1)),IF($H$2="元",VLOOKUP(A249,[1]合同台帐!$A$4:$F$195,6,1),VLOOKUP(A249,[1]合同台帐!$A$4:$F$195,6,1))),0)</f>
        <v>83103</v>
      </c>
      <c r="G249" s="151">
        <f t="shared" ref="G249" si="86">F249/K$2</f>
        <v>0.71416896163581589</v>
      </c>
      <c r="H249" s="149">
        <f>IF(A249&lt;&gt;0,IF($H$2="元",VLOOKUP(A249,[1]合同台帐!$A$4:$K$1093,11,1),VLOOKUP(A249,[1]合同台帐!$A$4:$K$1093,11,1)),0)</f>
        <v>0</v>
      </c>
      <c r="I249" s="177"/>
      <c r="J249" s="152"/>
      <c r="K249" s="178"/>
    </row>
    <row r="250" spans="1:11" ht="12.75" outlineLevel="2" x14ac:dyDescent="0.15">
      <c r="A250" s="174"/>
      <c r="B250" s="156"/>
      <c r="C250" s="157"/>
      <c r="D250" s="158"/>
      <c r="E250" s="159"/>
      <c r="F250" s="160"/>
      <c r="G250" s="161"/>
      <c r="H250" s="193"/>
      <c r="I250" s="177"/>
      <c r="J250" s="162"/>
      <c r="K250" s="136"/>
    </row>
    <row r="251" spans="1:11" ht="12.75" outlineLevel="2" x14ac:dyDescent="0.15">
      <c r="A251" s="174"/>
      <c r="B251" s="156"/>
      <c r="C251" s="157"/>
      <c r="D251" s="158"/>
      <c r="E251" s="159"/>
      <c r="F251" s="160"/>
      <c r="G251" s="161"/>
      <c r="H251" s="193"/>
      <c r="I251" s="177"/>
      <c r="J251" s="162"/>
      <c r="K251" s="136"/>
    </row>
    <row r="252" spans="1:11" ht="24" outlineLevel="2" x14ac:dyDescent="0.15">
      <c r="A252" s="174"/>
      <c r="B252" s="156" t="s">
        <v>1137</v>
      </c>
      <c r="C252" s="157"/>
      <c r="D252" s="158">
        <f>E252/K$2*10000</f>
        <v>2.7999998624995075</v>
      </c>
      <c r="E252" s="159">
        <v>32.581699999999998</v>
      </c>
      <c r="F252" s="160">
        <f>SUM(F253:F256)</f>
        <v>413260</v>
      </c>
      <c r="G252" s="160">
        <f t="shared" ref="G252:H252" si="87">SUM(G253:G256)</f>
        <v>3.5514658325886823</v>
      </c>
      <c r="H252" s="160">
        <f t="shared" si="87"/>
        <v>413260</v>
      </c>
      <c r="I252" s="177"/>
      <c r="J252" s="162"/>
      <c r="K252" s="136"/>
    </row>
    <row r="253" spans="1:11" s="154" customFormat="1" ht="12.75" outlineLevel="3" x14ac:dyDescent="0.15">
      <c r="A253" s="181" t="s">
        <v>1138</v>
      </c>
      <c r="B253" s="146" t="str">
        <f>IF(A253&lt;&gt;0,VLOOKUP(A253,[1]合同台帐!$A$4:$D$195,4,1),"")</f>
        <v>建筑物放线（一期楼座测绘）</v>
      </c>
      <c r="C253" s="147"/>
      <c r="D253" s="148"/>
      <c r="E253" s="149"/>
      <c r="F253" s="150">
        <f>IF(A253&lt;&gt;0,IF(VLOOKUP(A253,[1]合同台帐!$A$4:$G$195,7,1),IF($H$2="元",VLOOKUP(A253,[1]合同台帐!$A$4:$G$195,7,1),VLOOKUP(A253,[1]合同台帐!$A$4:$G$195,7,1)),IF($H$2="元",VLOOKUP(A253,[1]合同台帐!$A$4:$F$195,6,1),VLOOKUP(A253,[1]合同台帐!$A$4:$F$195,6,1))),0)</f>
        <v>137711</v>
      </c>
      <c r="G253" s="151">
        <f t="shared" ref="G253:G255" si="88">F253/K$2</f>
        <v>1.1834581408111602</v>
      </c>
      <c r="H253" s="149">
        <f>IF(A253&lt;&gt;0,IF($H$2="元",VLOOKUP(A253,[1]合同台帐!$A$4:$K$1093,11,1),VLOOKUP(A253,[1]合同台帐!$A$4:$K$1093,11,1)),0)</f>
        <v>137711</v>
      </c>
      <c r="I253" s="177"/>
      <c r="J253" s="152"/>
      <c r="K253" s="178"/>
    </row>
    <row r="254" spans="1:11" s="154" customFormat="1" ht="12.75" outlineLevel="3" x14ac:dyDescent="0.15">
      <c r="A254" s="181" t="s">
        <v>1139</v>
      </c>
      <c r="B254" s="146" t="str">
        <f>IF(A254&lt;&gt;0,VLOOKUP(A254,[1]合同台帐!$A$4:$D$195,4,1),"")</f>
        <v>二期放线、检线报告</v>
      </c>
      <c r="C254" s="147"/>
      <c r="D254" s="148"/>
      <c r="E254" s="149"/>
      <c r="F254" s="150">
        <f>IF(A254&lt;&gt;0,IF(VLOOKUP(A254,[1]合同台帐!$A$4:$G$195,7,1),IF($H$2="元",VLOOKUP(A254,[1]合同台帐!$A$4:$G$195,7,1),VLOOKUP(A254,[1]合同台帐!$A$4:$G$195,7,1)),IF($H$2="元",VLOOKUP(A254,[1]合同台帐!$A$4:$F$195,6,1),VLOOKUP(A254,[1]合同台帐!$A$4:$F$195,6,1))),0)</f>
        <v>37738</v>
      </c>
      <c r="G254" s="151">
        <f t="shared" si="88"/>
        <v>0.32431209792922538</v>
      </c>
      <c r="H254" s="149">
        <f>IF(A254&lt;&gt;0,IF($H$2="元",VLOOKUP(A254,[1]合同台帐!$A$4:$K$1093,11,1),VLOOKUP(A254,[1]合同台帐!$A$4:$K$1093,11,1)),0)</f>
        <v>37738</v>
      </c>
      <c r="I254" s="177"/>
      <c r="J254" s="152"/>
      <c r="K254" s="178"/>
    </row>
    <row r="255" spans="1:11" s="154" customFormat="1" ht="12.75" outlineLevel="3" x14ac:dyDescent="0.15">
      <c r="A255" s="181" t="s">
        <v>1140</v>
      </c>
      <c r="B255" s="146" t="str">
        <f>IF(A255&lt;&gt;0,VLOOKUP(A255,[1]合同台帐!$A$4:$D$195,4,1),"")</f>
        <v>三期放、验线报告</v>
      </c>
      <c r="C255" s="147"/>
      <c r="D255" s="148"/>
      <c r="E255" s="149"/>
      <c r="F255" s="150">
        <f>IF(A255&lt;&gt;0,IF(VLOOKUP(A255,[1]合同台帐!$A$4:$G$195,7,1),IF($H$2="元",VLOOKUP(A255,[1]合同台帐!$A$4:$G$195,7,1),VLOOKUP(A255,[1]合同台帐!$A$4:$G$195,7,1)),IF($H$2="元",VLOOKUP(A255,[1]合同台帐!$A$4:$F$195,6,1),VLOOKUP(A255,[1]合同台帐!$A$4:$F$195,6,1))),0)</f>
        <v>237811</v>
      </c>
      <c r="G255" s="151">
        <f t="shared" si="88"/>
        <v>2.0436955938482968</v>
      </c>
      <c r="H255" s="149">
        <f>IF(A255&lt;&gt;0,IF($H$2="元",VLOOKUP(A255,[1]合同台帐!$A$4:$K$1093,11,1),VLOOKUP(A255,[1]合同台帐!$A$4:$K$1093,11,1)),0)</f>
        <v>237811</v>
      </c>
      <c r="I255" s="177"/>
      <c r="J255" s="152"/>
      <c r="K255" s="178"/>
    </row>
    <row r="256" spans="1:11" ht="12.75" outlineLevel="2" x14ac:dyDescent="0.15">
      <c r="A256" s="174"/>
      <c r="B256" s="156"/>
      <c r="C256" s="157"/>
      <c r="D256" s="158"/>
      <c r="E256" s="159"/>
      <c r="F256" s="160"/>
      <c r="G256" s="161"/>
      <c r="H256" s="193"/>
      <c r="I256" s="177"/>
      <c r="J256" s="162"/>
      <c r="K256" s="136"/>
    </row>
    <row r="257" spans="1:11" ht="12.75" outlineLevel="1" x14ac:dyDescent="0.15">
      <c r="A257" s="138"/>
      <c r="B257" s="139" t="s">
        <v>1141</v>
      </c>
      <c r="C257" s="140" t="s">
        <v>1142</v>
      </c>
      <c r="D257" s="165">
        <f t="shared" ref="D257:H257" si="89">D258+D266+D270+D274+D279+D282+D285+D292</f>
        <v>2680.9616217220528</v>
      </c>
      <c r="E257" s="165">
        <f t="shared" si="89"/>
        <v>31196.5327</v>
      </c>
      <c r="F257" s="165">
        <f t="shared" si="89"/>
        <v>289611669</v>
      </c>
      <c r="G257" s="165">
        <f t="shared" si="89"/>
        <v>2488.8591859180242</v>
      </c>
      <c r="H257" s="165">
        <f t="shared" si="89"/>
        <v>48110654</v>
      </c>
      <c r="I257" s="165" t="e">
        <f>I258+I266+I270+I274+#REF!+I279+#REF!+#REF!+I282+I285+I292+#REF!</f>
        <v>#REF!</v>
      </c>
      <c r="J257" s="165" t="e">
        <f>J258+J266+J270+J274+#REF!+J279+#REF!+#REF!+J282+J285+J292+#REF!</f>
        <v>#REF!</v>
      </c>
      <c r="K257" s="136"/>
    </row>
    <row r="258" spans="1:11" s="144" customFormat="1" ht="12.75" outlineLevel="2" x14ac:dyDescent="0.15">
      <c r="A258" s="169"/>
      <c r="B258" s="156" t="s">
        <v>1143</v>
      </c>
      <c r="C258" s="157"/>
      <c r="D258" s="158">
        <f>E258/K$2*10000</f>
        <v>1917.3951614608122</v>
      </c>
      <c r="E258" s="159">
        <v>22311.427500000002</v>
      </c>
      <c r="F258" s="160">
        <f>SUM(F259:F265)</f>
        <v>239900072</v>
      </c>
      <c r="G258" s="160">
        <f t="shared" ref="G258:H258" si="90">SUM(G259:G265)</f>
        <v>2061.6486205864703</v>
      </c>
      <c r="H258" s="160">
        <f t="shared" si="90"/>
        <v>34122692</v>
      </c>
      <c r="I258" s="142">
        <f>F258-E258*10000</f>
        <v>16785796.99999997</v>
      </c>
      <c r="J258" s="162"/>
      <c r="K258" s="136"/>
    </row>
    <row r="259" spans="1:11" s="154" customFormat="1" ht="12" customHeight="1" outlineLevel="3" x14ac:dyDescent="0.15">
      <c r="A259" s="183" t="s">
        <v>1144</v>
      </c>
      <c r="B259" s="146" t="str">
        <f>IF(A259&lt;&gt;0,VLOOKUP(A259,[1]合同台帐!$A$4:$D$195,4,1),"")</f>
        <v>总包一期工程</v>
      </c>
      <c r="C259" s="147"/>
      <c r="D259" s="148"/>
      <c r="E259" s="149"/>
      <c r="F259" s="150">
        <f>IF(A259&lt;&gt;0,IF(VLOOKUP(A259,[1]合同台帐!$A$4:$G$195,7,1),IF($H$2="元",VLOOKUP(A259,[1]合同台帐!$A$4:$G$195,7,1),VLOOKUP(A259,[1]合同台帐!$A$4:$G$195,7,1)),IF($H$2="元",VLOOKUP(A259,[1]合同台帐!$A$4:$F$195,6,1),VLOOKUP(A259,[1]合同台帐!$A$4:$F$195,6,1))),0)</f>
        <v>110000000</v>
      </c>
      <c r="G259" s="151">
        <f t="shared" ref="G259:G264" si="91">F259/K$2</f>
        <v>945.31588245839191</v>
      </c>
      <c r="H259" s="149">
        <f>IF(A259&lt;&gt;0,IF($H$2="元",VLOOKUP(A259,[1]合同台帐!$A$4:$K$1093,11,1),VLOOKUP(A259,[1]合同台帐!$A$4:$K$1093,11,1)),0)</f>
        <v>33863610</v>
      </c>
      <c r="I259" s="177"/>
      <c r="J259" s="152"/>
      <c r="K259" s="178"/>
    </row>
    <row r="260" spans="1:11" s="154" customFormat="1" ht="12" customHeight="1" outlineLevel="3" x14ac:dyDescent="0.15">
      <c r="A260" s="181" t="s">
        <v>1145</v>
      </c>
      <c r="B260" s="146" t="str">
        <f>IF(A260&lt;&gt;0,VLOOKUP(A260,[1]合同台帐!$A$4:$D$195,4,1),"")</f>
        <v>清运拉圾（三期）</v>
      </c>
      <c r="C260" s="147"/>
      <c r="D260" s="148"/>
      <c r="E260" s="149"/>
      <c r="F260" s="150">
        <f>IF(A260&lt;&gt;0,IF(VLOOKUP(A260,[1]合同台帐!$A$4:$G$195,7,1),IF($H$2="元",VLOOKUP(A260,[1]合同台帐!$A$4:$G$195,7,1),VLOOKUP(A260,[1]合同台帐!$A$4:$G$195,7,1)),IF($H$2="元",VLOOKUP(A260,[1]合同台帐!$A$4:$F$195,6,1),VLOOKUP(A260,[1]合同台帐!$A$4:$F$195,6,1))),0)</f>
        <v>135990</v>
      </c>
      <c r="G260" s="151">
        <f t="shared" si="91"/>
        <v>1.168668244141061</v>
      </c>
      <c r="H260" s="149">
        <f>IF(A260&lt;&gt;0,IF($H$2="元",VLOOKUP(A260,[1]合同台帐!$A$4:$K$1093,11,1),VLOOKUP(A260,[1]合同台帐!$A$4:$K$1093,11,1)),0)</f>
        <v>95000</v>
      </c>
      <c r="I260" s="177"/>
      <c r="J260" s="152"/>
      <c r="K260" s="178"/>
    </row>
    <row r="261" spans="1:11" s="154" customFormat="1" ht="12" customHeight="1" outlineLevel="3" x14ac:dyDescent="0.15">
      <c r="A261" s="181" t="s">
        <v>1146</v>
      </c>
      <c r="B261" s="146" t="str">
        <f>IF(A261&lt;&gt;0,VLOOKUP(A261,[1]合同台帐!$A$4:$D$195,4,1),"")</f>
        <v>示范区现场垃圾清运（结签证）</v>
      </c>
      <c r="C261" s="147"/>
      <c r="D261" s="148"/>
      <c r="E261" s="149"/>
      <c r="F261" s="150">
        <f>IF(A261&lt;&gt;0,IF(VLOOKUP(A261,[1]合同台帐!$A$4:$G$195,7,1),IF($H$2="元",VLOOKUP(A261,[1]合同台帐!$A$4:$G$195,7,1),VLOOKUP(A261,[1]合同台帐!$A$4:$G$195,7,1)),IF($H$2="元",VLOOKUP(A261,[1]合同台帐!$A$4:$F$195,6,1),VLOOKUP(A261,[1]合同台帐!$A$4:$F$195,6,1))),0)</f>
        <v>164082</v>
      </c>
      <c r="G261" s="151">
        <f t="shared" si="91"/>
        <v>1.410084732959435</v>
      </c>
      <c r="H261" s="149">
        <f>IF(A261&lt;&gt;0,IF($H$2="元",VLOOKUP(A261,[1]合同台帐!$A$4:$K$1093,11,1),VLOOKUP(A261,[1]合同台帐!$A$4:$K$1093,11,1)),0)</f>
        <v>164082</v>
      </c>
      <c r="I261" s="177"/>
      <c r="J261" s="152"/>
      <c r="K261" s="178"/>
    </row>
    <row r="262" spans="1:11" s="154" customFormat="1" ht="12" customHeight="1" outlineLevel="3" x14ac:dyDescent="0.15">
      <c r="A262" s="183" t="s">
        <v>1147</v>
      </c>
      <c r="B262" s="146" t="str">
        <f>IF(A262&lt;&gt;0,VLOOKUP(A262,[1]合同台帐!$A$4:$D$195,4,1),"")</f>
        <v>东侧挡土墙</v>
      </c>
      <c r="C262" s="147"/>
      <c r="D262" s="148"/>
      <c r="E262" s="149"/>
      <c r="F262" s="150">
        <f>IF(A262&lt;&gt;0,IF(VLOOKUP(A262,[1]合同台帐!$A$4:$G$195,7,1),IF($H$2="元",VLOOKUP(A262,[1]合同台帐!$A$4:$G$195,7,1),VLOOKUP(A262,[1]合同台帐!$A$4:$G$195,7,1)),IF($H$2="元",VLOOKUP(A262,[1]合同台帐!$A$4:$F$195,6,1),VLOOKUP(A262,[1]合同台帐!$A$4:$F$195,6,1))),0)</f>
        <v>4700000</v>
      </c>
      <c r="G262" s="151">
        <f t="shared" si="91"/>
        <v>40.390769523222197</v>
      </c>
      <c r="H262" s="149">
        <f>IF(A262&lt;&gt;0,IF($H$2="元",VLOOKUP(A262,[1]合同台帐!$A$4:$K$1093,11,1),VLOOKUP(A262,[1]合同台帐!$A$4:$K$1093,11,1)),0)</f>
        <v>0</v>
      </c>
      <c r="I262" s="177"/>
      <c r="J262" s="152"/>
      <c r="K262" s="178"/>
    </row>
    <row r="263" spans="1:11" s="154" customFormat="1" ht="12" customHeight="1" outlineLevel="3" x14ac:dyDescent="0.15">
      <c r="A263" s="183" t="s">
        <v>1148</v>
      </c>
      <c r="B263" s="146" t="str">
        <f>IF(A263&lt;&gt;0,VLOOKUP(A263,[1]合同台帐!$A$4:$D$195,4,1),"")</f>
        <v>二期总包工程</v>
      </c>
      <c r="C263" s="147"/>
      <c r="D263" s="148"/>
      <c r="E263" s="149"/>
      <c r="F263" s="150">
        <f>IF(A263&lt;&gt;0,IF(VLOOKUP(A263,[1]合同台帐!$A$4:$G$195,7,1),IF($H$2="元",VLOOKUP(A263,[1]合同台帐!$A$4:$G$195,7,1),VLOOKUP(A263,[1]合同台帐!$A$4:$G$195,7,1)),IF($H$2="元",VLOOKUP(A263,[1]合同台帐!$A$4:$F$195,6,1),VLOOKUP(A263,[1]合同台帐!$A$4:$F$195,6,1))),0)</f>
        <v>46454897</v>
      </c>
      <c r="G263" s="151">
        <f t="shared" si="91"/>
        <v>399.22319956426094</v>
      </c>
      <c r="H263" s="149">
        <f>IF(A263&lt;&gt;0,IF($H$2="元",VLOOKUP(A263,[1]合同台帐!$A$4:$K$1093,11,1),VLOOKUP(A263,[1]合同台帐!$A$4:$K$1093,11,1)),0)</f>
        <v>0</v>
      </c>
      <c r="I263" s="177"/>
      <c r="J263" s="152"/>
      <c r="K263" s="178"/>
    </row>
    <row r="264" spans="1:11" s="154" customFormat="1" ht="12" customHeight="1" outlineLevel="3" x14ac:dyDescent="0.15">
      <c r="A264" s="183" t="s">
        <v>1149</v>
      </c>
      <c r="B264" s="146" t="str">
        <f>IF(A264&lt;&gt;0,VLOOKUP(A264,[1]合同台帐!$A$4:$D$195,4,1),"")</f>
        <v>三期总包工程</v>
      </c>
      <c r="C264" s="147"/>
      <c r="D264" s="148"/>
      <c r="E264" s="149"/>
      <c r="F264" s="150">
        <f>IF(A264&lt;&gt;0,IF(VLOOKUP(A264,[1]合同台帐!$A$4:$G$195,7,1),IF($H$2="元",VLOOKUP(A264,[1]合同台帐!$A$4:$G$195,7,1),VLOOKUP(A264,[1]合同台帐!$A$4:$G$195,7,1)),IF($H$2="元",VLOOKUP(A264,[1]合同台帐!$A$4:$F$195,6,1),VLOOKUP(A264,[1]合同台帐!$A$4:$F$195,6,1))),0)</f>
        <v>78445103</v>
      </c>
      <c r="G264" s="151">
        <f t="shared" si="91"/>
        <v>674.14001606349495</v>
      </c>
      <c r="H264" s="149">
        <f>IF(A264&lt;&gt;0,IF($H$2="元",VLOOKUP(A264,[1]合同台帐!$A$4:$K$1093,11,1),VLOOKUP(A264,[1]合同台帐!$A$4:$K$1093,11,1)),0)</f>
        <v>0</v>
      </c>
      <c r="I264" s="177"/>
      <c r="J264" s="152"/>
      <c r="K264" s="178"/>
    </row>
    <row r="265" spans="1:11" s="144" customFormat="1" ht="12.75" outlineLevel="3" x14ac:dyDescent="0.15">
      <c r="A265" s="174"/>
      <c r="B265" s="156"/>
      <c r="C265" s="157"/>
      <c r="D265" s="158"/>
      <c r="E265" s="159"/>
      <c r="F265" s="160"/>
      <c r="G265" s="161"/>
      <c r="H265" s="159">
        <f>IF(A265&lt;&gt;0,IF($H$2="元",VLOOKUP(A265,[1]合同台帐!$A$4:$K$1093,11,1),VLOOKUP(A265,[1]合同台帐!$A$4:$K$1093,11,1)),0)</f>
        <v>0</v>
      </c>
      <c r="I265" s="160"/>
      <c r="J265" s="162"/>
      <c r="K265" s="136"/>
    </row>
    <row r="266" spans="1:11" s="144" customFormat="1" ht="12.75" outlineLevel="2" x14ac:dyDescent="0.15">
      <c r="A266" s="169"/>
      <c r="B266" s="156" t="s">
        <v>1150</v>
      </c>
      <c r="C266" s="157"/>
      <c r="D266" s="158">
        <f>E266/K$2*10000</f>
        <v>0</v>
      </c>
      <c r="E266" s="159">
        <v>0</v>
      </c>
      <c r="F266" s="160">
        <f>SUM(F267:F269)</f>
        <v>149014</v>
      </c>
      <c r="G266" s="160">
        <f t="shared" ref="G266:H266" si="92">SUM(G267:G269)</f>
        <v>1.2805936446241346</v>
      </c>
      <c r="H266" s="160">
        <f t="shared" si="92"/>
        <v>124507</v>
      </c>
      <c r="I266" s="142">
        <f>F266-E266*10000</f>
        <v>149014</v>
      </c>
      <c r="J266" s="162"/>
      <c r="K266" s="136"/>
    </row>
    <row r="267" spans="1:11" s="154" customFormat="1" ht="12.75" outlineLevel="3" x14ac:dyDescent="0.15">
      <c r="A267" s="181" t="s">
        <v>1151</v>
      </c>
      <c r="B267" s="146" t="str">
        <f>IF(A267&lt;&gt;0,VLOOKUP(A267,[1]合同台帐!$A$4:$D$195,4,1),"")</f>
        <v>33#楼公共部位精装修、门卫精装修</v>
      </c>
      <c r="C267" s="147"/>
      <c r="D267" s="148"/>
      <c r="E267" s="149"/>
      <c r="F267" s="150">
        <f>IF(A267&lt;&gt;0,IF(VLOOKUP(A267,[1]合同台帐!$A$4:$G$195,7,1),IF($H$2="元",VLOOKUP(A267,[1]合同台帐!$A$4:$G$195,7,1),VLOOKUP(A267,[1]合同台帐!$A$4:$G$195,7,1)),IF($H$2="元",VLOOKUP(A267,[1]合同台帐!$A$4:$F$195,6,1),VLOOKUP(A267,[1]合同台帐!$A$4:$F$195,6,1))),0)</f>
        <v>149014</v>
      </c>
      <c r="G267" s="151">
        <f>F267/K$2</f>
        <v>1.2805936446241346</v>
      </c>
      <c r="H267" s="149">
        <f>IF(A267&lt;&gt;0,IF($H$2="元",VLOOKUP(A267,[1]合同台帐!$A$4:$K$1093,11,1),VLOOKUP(A267,[1]合同台帐!$A$4:$K$1093,11,1)),0)</f>
        <v>124507</v>
      </c>
      <c r="I267" s="177"/>
      <c r="J267" s="152"/>
      <c r="K267" s="178"/>
    </row>
    <row r="268" spans="1:11" s="144" customFormat="1" ht="12.75" outlineLevel="3" x14ac:dyDescent="0.15">
      <c r="A268" s="174"/>
      <c r="B268" s="156"/>
      <c r="C268" s="157"/>
      <c r="D268" s="158"/>
      <c r="E268" s="159"/>
      <c r="F268" s="160"/>
      <c r="G268" s="161"/>
      <c r="H268" s="159">
        <f>IF(A268&lt;&gt;0,IF($H$2="元",VLOOKUP(A268,[1]合同台帐!$A$4:$K$1093,11,1),VLOOKUP(A268,[1]合同台帐!$A$4:$K$1093,11,1)),0)</f>
        <v>0</v>
      </c>
      <c r="I268" s="162"/>
      <c r="J268" s="162"/>
      <c r="K268" s="136"/>
    </row>
    <row r="269" spans="1:11" s="144" customFormat="1" ht="12.75" outlineLevel="3" x14ac:dyDescent="0.15">
      <c r="A269" s="169"/>
      <c r="B269" s="156"/>
      <c r="C269" s="157"/>
      <c r="D269" s="158"/>
      <c r="E269" s="159"/>
      <c r="F269" s="160"/>
      <c r="G269" s="161"/>
      <c r="H269" s="159">
        <f>IF(A269&lt;&gt;0,IF($H$2="元",VLOOKUP(A269,[1]合同台帐!$A$4:$K$1093,11,1),VLOOKUP(A269,[1]合同台帐!$A$4:$K$1093,11,1)),0)</f>
        <v>0</v>
      </c>
      <c r="I269" s="162"/>
      <c r="J269" s="162"/>
      <c r="K269" s="136"/>
    </row>
    <row r="270" spans="1:11" s="144" customFormat="1" ht="21.75" customHeight="1" outlineLevel="2" x14ac:dyDescent="0.15">
      <c r="A270" s="169"/>
      <c r="B270" s="156" t="s">
        <v>1152</v>
      </c>
      <c r="C270" s="157"/>
      <c r="D270" s="158">
        <f>E270/K$2*10000</f>
        <v>35.329427975609477</v>
      </c>
      <c r="E270" s="159">
        <v>411.1046</v>
      </c>
      <c r="F270" s="160">
        <f t="shared" ref="F270:H270" si="93">SUM(F271:F273)</f>
        <v>4210474</v>
      </c>
      <c r="G270" s="160">
        <f t="shared" si="93"/>
        <v>36.183890407982865</v>
      </c>
      <c r="H270" s="160">
        <f t="shared" si="93"/>
        <v>2480397</v>
      </c>
      <c r="I270" s="142">
        <f>F270-E270*10000</f>
        <v>99428</v>
      </c>
      <c r="J270" s="162"/>
      <c r="K270" s="136"/>
    </row>
    <row r="271" spans="1:11" s="154" customFormat="1" ht="12.75" outlineLevel="3" x14ac:dyDescent="0.15">
      <c r="A271" s="181" t="s">
        <v>1153</v>
      </c>
      <c r="B271" s="146" t="str">
        <f>IF(A271&lt;&gt;0,VLOOKUP(A271,[1]合同台帐!$A$4:$D$195,4,1),"")</f>
        <v>售楼处样板间精装修工程</v>
      </c>
      <c r="C271" s="147"/>
      <c r="D271" s="148"/>
      <c r="E271" s="149"/>
      <c r="F271" s="150">
        <f>IF(A271&lt;&gt;0,IF(VLOOKUP(A271,[1]合同台帐!$A$4:$G$195,7,1),IF($H$2="元",VLOOKUP(A271,[1]合同台帐!$A$4:$G$195,7,1),VLOOKUP(A271,[1]合同台帐!$A$4:$G$195,7,1)),IF($H$2="元",VLOOKUP(A271,[1]合同台帐!$A$4:$F$195,6,1),VLOOKUP(A271,[1]合同台帐!$A$4:$F$195,6,1))),0)</f>
        <v>3760794</v>
      </c>
      <c r="G271" s="151">
        <f t="shared" ref="G271:G273" si="94">F271/K$2</f>
        <v>32.319439080492963</v>
      </c>
      <c r="H271" s="149">
        <f>IF(A271&lt;&gt;0,IF($H$2="元",VLOOKUP(A271,[1]合同台帐!$A$4:$K$1093,11,1),VLOOKUP(A271,[1]合同台帐!$A$4:$K$1093,11,1)),0)</f>
        <v>2130397</v>
      </c>
      <c r="I271" s="177"/>
      <c r="J271" s="152"/>
      <c r="K271" s="178"/>
    </row>
    <row r="272" spans="1:11" s="154" customFormat="1" ht="12.75" outlineLevel="3" x14ac:dyDescent="0.15">
      <c r="A272" s="181" t="s">
        <v>1154</v>
      </c>
      <c r="B272" s="146" t="str">
        <f>IF(A272&lt;&gt;0,VLOOKUP(A272,[1]合同台帐!$A$4:$D$195,4,1),"")</f>
        <v>售楼处、样板间钢结构工程</v>
      </c>
      <c r="C272" s="147"/>
      <c r="D272" s="148"/>
      <c r="E272" s="149"/>
      <c r="F272" s="150">
        <f>IF(A272&lt;&gt;0,IF(VLOOKUP(A272,[1]合同台帐!$A$4:$G$195,7,1),IF($H$2="元",VLOOKUP(A272,[1]合同台帐!$A$4:$G$195,7,1),VLOOKUP(A272,[1]合同台帐!$A$4:$G$195,7,1)),IF($H$2="元",VLOOKUP(A272,[1]合同台帐!$A$4:$F$195,6,1),VLOOKUP(A272,[1]合同台帐!$A$4:$F$195,6,1))),0)</f>
        <v>349680</v>
      </c>
      <c r="G272" s="151">
        <f t="shared" si="94"/>
        <v>3.0050732525277315</v>
      </c>
      <c r="H272" s="149">
        <f>IF(A272&lt;&gt;0,IF($H$2="元",VLOOKUP(A272,[1]合同台帐!$A$4:$K$1093,11,1),VLOOKUP(A272,[1]合同台帐!$A$4:$K$1093,11,1)),0)</f>
        <v>250000</v>
      </c>
      <c r="I272" s="177"/>
      <c r="J272" s="152"/>
      <c r="K272" s="178"/>
    </row>
    <row r="273" spans="1:11" s="154" customFormat="1" ht="12.75" outlineLevel="3" x14ac:dyDescent="0.15">
      <c r="A273" s="181" t="s">
        <v>1155</v>
      </c>
      <c r="B273" s="146" t="str">
        <f>IF(A273&lt;&gt;0,VLOOKUP(A273,[1]合同台帐!$A$4:$D$195,4,1),"")</f>
        <v>维修改建工程（集团办公室精装）</v>
      </c>
      <c r="C273" s="147"/>
      <c r="D273" s="148"/>
      <c r="E273" s="149"/>
      <c r="F273" s="150">
        <f>IF(A273&lt;&gt;0,IF(VLOOKUP(A273,[1]合同台帐!$A$4:$G$195,7,1),IF($H$2="元",VLOOKUP(A273,[1]合同台帐!$A$4:$G$195,7,1),VLOOKUP(A273,[1]合同台帐!$A$4:$G$195,7,1)),IF($H$2="元",VLOOKUP(A273,[1]合同台帐!$A$4:$F$195,6,1),VLOOKUP(A273,[1]合同台帐!$A$4:$F$195,6,1))),0)</f>
        <v>100000</v>
      </c>
      <c r="G273" s="151">
        <f t="shared" si="94"/>
        <v>0.85937807496217444</v>
      </c>
      <c r="H273" s="149">
        <f>IF(A273&lt;&gt;0,IF($H$2="元",VLOOKUP(A273,[1]合同台帐!$A$4:$K$1093,11,1),VLOOKUP(A273,[1]合同台帐!$A$4:$K$1093,11,1)),0)</f>
        <v>100000</v>
      </c>
      <c r="I273" s="177"/>
      <c r="J273" s="152"/>
      <c r="K273" s="178"/>
    </row>
    <row r="274" spans="1:11" s="144" customFormat="1" ht="12.75" outlineLevel="2" x14ac:dyDescent="0.15">
      <c r="A274" s="169"/>
      <c r="B274" s="156" t="s">
        <v>1156</v>
      </c>
      <c r="C274" s="157"/>
      <c r="D274" s="158">
        <f>E274/K$2*10000</f>
        <v>542.14585158437524</v>
      </c>
      <c r="E274" s="159">
        <v>6308.5837000000001</v>
      </c>
      <c r="F274" s="160">
        <f>F275+F276+F277+F278</f>
        <v>34438905</v>
      </c>
      <c r="G274" s="160">
        <f t="shared" ref="G274:H274" si="95">G275+G276+G277+G278</f>
        <v>295.96039882705207</v>
      </c>
      <c r="H274" s="160">
        <f t="shared" si="95"/>
        <v>9635504</v>
      </c>
      <c r="I274" s="142">
        <f>F274-E274*10000</f>
        <v>-28646932</v>
      </c>
      <c r="J274" s="162"/>
      <c r="K274" s="136"/>
    </row>
    <row r="275" spans="1:11" s="154" customFormat="1" ht="12.75" outlineLevel="3" x14ac:dyDescent="0.15">
      <c r="A275" s="181" t="s">
        <v>1157</v>
      </c>
      <c r="B275" s="146" t="str">
        <f>IF(A275&lt;&gt;0,VLOOKUP(A275,[1]合同台帐!$A$4:$D$195,4,1),"")</f>
        <v>一期保温涂料线条线角</v>
      </c>
      <c r="C275" s="147"/>
      <c r="D275" s="148"/>
      <c r="E275" s="149"/>
      <c r="F275" s="150">
        <f>IF(A275&lt;&gt;0,IF(VLOOKUP(A275,[1]合同台帐!$A$4:$G$195,7,1),IF($H$2="元",VLOOKUP(A275,[1]合同台帐!$A$4:$G$195,7,1),VLOOKUP(A275,[1]合同台帐!$A$4:$G$195,7,1)),IF($H$2="元",VLOOKUP(A275,[1]合同台帐!$A$4:$F$195,6,1),VLOOKUP(A275,[1]合同台帐!$A$4:$F$195,6,1))),0)</f>
        <v>22594696</v>
      </c>
      <c r="G275" s="151">
        <f t="shared" ref="G275:G277" si="96">F275/K$2</f>
        <v>194.17386352835544</v>
      </c>
      <c r="H275" s="149">
        <f>IF(A275&lt;&gt;0,IF($H$2="元",VLOOKUP(A275,[1]合同台帐!$A$4:$K$1093,11,1),VLOOKUP(A275,[1]合同台帐!$A$4:$K$1093,11,1)),0)</f>
        <v>5505504</v>
      </c>
      <c r="I275" s="177"/>
      <c r="J275" s="152"/>
      <c r="K275" s="178"/>
    </row>
    <row r="276" spans="1:11" s="154" customFormat="1" ht="12.75" outlineLevel="3" x14ac:dyDescent="0.15">
      <c r="A276" s="183" t="s">
        <v>1158</v>
      </c>
      <c r="B276" s="146" t="str">
        <f>IF(A276&lt;&gt;0,VLOOKUP(A276,[1]合同台帐!$A$4:$D$195,4,1),"")</f>
        <v>外檐石材一体板及保温（一期）</v>
      </c>
      <c r="C276" s="147"/>
      <c r="D276" s="148"/>
      <c r="E276" s="149"/>
      <c r="F276" s="150">
        <f>IF(A276&lt;&gt;0,IF(VLOOKUP(A276,[1]合同台帐!$A$4:$G$195,7,1),IF($H$2="元",VLOOKUP(A276,[1]合同台帐!$A$4:$G$195,7,1),VLOOKUP(A276,[1]合同台帐!$A$4:$G$195,7,1)),IF($H$2="元",VLOOKUP(A276,[1]合同台帐!$A$4:$F$195,6,1),VLOOKUP(A276,[1]合同台帐!$A$4:$F$195,6,1))),0)</f>
        <v>11284542</v>
      </c>
      <c r="G276" s="151">
        <f t="shared" si="96"/>
        <v>96.976879807898058</v>
      </c>
      <c r="H276" s="149">
        <f>IF(A276&lt;&gt;0,IF($H$2="元",VLOOKUP(A276,[1]合同台帐!$A$4:$K$1093,11,1),VLOOKUP(A276,[1]合同台帐!$A$4:$K$1093,11,1)),0)</f>
        <v>3600000</v>
      </c>
      <c r="I276" s="177"/>
      <c r="J276" s="152"/>
      <c r="K276" s="178"/>
    </row>
    <row r="277" spans="1:11" s="154" customFormat="1" ht="12.75" outlineLevel="3" x14ac:dyDescent="0.15">
      <c r="A277" s="181" t="s">
        <v>1159</v>
      </c>
      <c r="B277" s="146" t="str">
        <f>IF(A277&lt;&gt;0,VLOOKUP(A277,[1]合同台帐!$A$4:$D$195,4,1),"")</f>
        <v>大门入口外檐装饰</v>
      </c>
      <c r="C277" s="147"/>
      <c r="D277" s="148"/>
      <c r="E277" s="149"/>
      <c r="F277" s="150">
        <f>IF(A277&lt;&gt;0,IF(VLOOKUP(A277,[1]合同台帐!$A$4:$G$195,7,1),IF($H$2="元",VLOOKUP(A277,[1]合同台帐!$A$4:$G$195,7,1),VLOOKUP(A277,[1]合同台帐!$A$4:$G$195,7,1)),IF($H$2="元",VLOOKUP(A277,[1]合同台帐!$A$4:$F$195,6,1),VLOOKUP(A277,[1]合同台帐!$A$4:$F$195,6,1))),0)</f>
        <v>559667</v>
      </c>
      <c r="G277" s="151">
        <f t="shared" si="96"/>
        <v>4.8096554907985531</v>
      </c>
      <c r="H277" s="149">
        <f>IF(A277&lt;&gt;0,IF($H$2="元",VLOOKUP(A277,[1]合同台帐!$A$4:$K$1093,11,1),VLOOKUP(A277,[1]合同台帐!$A$4:$K$1093,11,1)),0)</f>
        <v>530000</v>
      </c>
      <c r="I277" s="177"/>
      <c r="J277" s="152"/>
      <c r="K277" s="178"/>
    </row>
    <row r="278" spans="1:11" s="144" customFormat="1" ht="12.75" outlineLevel="3" x14ac:dyDescent="0.15">
      <c r="A278" s="169"/>
      <c r="B278" s="156"/>
      <c r="C278" s="157"/>
      <c r="D278" s="158"/>
      <c r="E278" s="159"/>
      <c r="F278" s="160"/>
      <c r="G278" s="161"/>
      <c r="H278" s="159">
        <f>IF(A278&lt;&gt;0,IF($H$2="元",VLOOKUP(A278,[1]合同台帐!$A$4:$K$1093,11,1),VLOOKUP(A278,[1]合同台帐!$A$4:$K$1093,11,1)),0)</f>
        <v>0</v>
      </c>
      <c r="I278" s="162"/>
      <c r="J278" s="162"/>
      <c r="K278" s="136"/>
    </row>
    <row r="279" spans="1:11" s="144" customFormat="1" ht="12.75" outlineLevel="2" x14ac:dyDescent="0.15">
      <c r="A279" s="169"/>
      <c r="B279" s="156" t="s">
        <v>1160</v>
      </c>
      <c r="C279" s="157"/>
      <c r="D279" s="158">
        <f>E279/K$2*10000</f>
        <v>108.58183539437975</v>
      </c>
      <c r="E279" s="159">
        <v>1263.4931999999999</v>
      </c>
      <c r="F279" s="160">
        <f>SUM(F280:F281)</f>
        <v>6801387</v>
      </c>
      <c r="G279" s="160">
        <f t="shared" ref="G279:H279" si="97">SUM(G280:G281)</f>
        <v>58.449628671327588</v>
      </c>
      <c r="H279" s="160">
        <f t="shared" si="97"/>
        <v>1232374</v>
      </c>
      <c r="I279" s="142">
        <f>F279-E279*10000</f>
        <v>-5833544.9999999981</v>
      </c>
      <c r="J279" s="162"/>
      <c r="K279" s="136"/>
    </row>
    <row r="280" spans="1:11" s="154" customFormat="1" ht="12.75" outlineLevel="3" x14ac:dyDescent="0.15">
      <c r="A280" s="181" t="s">
        <v>1161</v>
      </c>
      <c r="B280" s="146" t="str">
        <f>IF(A280&lt;&gt;0,VLOOKUP(A280,[1]合同台帐!$A$4:$D$195,4,1),"")</f>
        <v>一期断桥铝合金门窗安装</v>
      </c>
      <c r="C280" s="147"/>
      <c r="D280" s="148"/>
      <c r="E280" s="149"/>
      <c r="F280" s="150">
        <f>IF(A280&lt;&gt;0,IF(VLOOKUP(A280,[1]合同台帐!$A$4:$G$195,7,1),IF($H$2="元",VLOOKUP(A280,[1]合同台帐!$A$4:$G$195,7,1),VLOOKUP(A280,[1]合同台帐!$A$4:$G$195,7,1)),IF($H$2="元",VLOOKUP(A280,[1]合同台帐!$A$4:$F$195,6,1),VLOOKUP(A280,[1]合同台帐!$A$4:$F$195,6,1))),0)</f>
        <v>6801387</v>
      </c>
      <c r="G280" s="151">
        <f t="shared" ref="G280" si="98">F280/K$2</f>
        <v>58.449628671327588</v>
      </c>
      <c r="H280" s="149">
        <f>IF(A280&lt;&gt;0,IF($H$2="元",VLOOKUP(A280,[1]合同台帐!$A$4:$K$1093,11,1),VLOOKUP(A280,[1]合同台帐!$A$4:$K$1093,11,1)),0)</f>
        <v>1232374</v>
      </c>
      <c r="I280" s="177"/>
      <c r="J280" s="152"/>
      <c r="K280" s="178"/>
    </row>
    <row r="281" spans="1:11" s="144" customFormat="1" ht="12.75" outlineLevel="3" x14ac:dyDescent="0.15">
      <c r="A281" s="169"/>
      <c r="B281" s="156"/>
      <c r="C281" s="157"/>
      <c r="D281" s="158"/>
      <c r="E281" s="159"/>
      <c r="F281" s="160"/>
      <c r="G281" s="161"/>
      <c r="H281" s="159">
        <f>IF(A281&lt;&gt;0,IF($H$2="元",VLOOKUP(A281,[1]合同台帐!$A$4:$K$1093,11,1),VLOOKUP(A281,[1]合同台帐!$A$4:$K$1093,11,1)),0)</f>
        <v>0</v>
      </c>
      <c r="I281" s="162"/>
      <c r="J281" s="162"/>
      <c r="K281" s="136"/>
    </row>
    <row r="282" spans="1:11" s="144" customFormat="1" ht="12.75" outlineLevel="2" x14ac:dyDescent="0.15">
      <c r="A282" s="169"/>
      <c r="B282" s="156" t="s">
        <v>1162</v>
      </c>
      <c r="C282" s="157"/>
      <c r="D282" s="158">
        <f>E282/K$2*10000</f>
        <v>4.0279737875937087</v>
      </c>
      <c r="E282" s="159">
        <v>46.870800000000003</v>
      </c>
      <c r="F282" s="160">
        <f>SUM(F283:F284)</f>
        <v>12235</v>
      </c>
      <c r="G282" s="160">
        <f t="shared" ref="G282:H282" si="99">SUM(G283:G284)</f>
        <v>0.10514490747162204</v>
      </c>
      <c r="H282" s="160">
        <f t="shared" si="99"/>
        <v>11623</v>
      </c>
      <c r="I282" s="142">
        <f>F282-E282*10000</f>
        <v>-456473</v>
      </c>
      <c r="J282" s="162"/>
      <c r="K282" s="136"/>
    </row>
    <row r="283" spans="1:11" s="154" customFormat="1" ht="12.75" outlineLevel="3" x14ac:dyDescent="0.15">
      <c r="A283" s="181" t="s">
        <v>1163</v>
      </c>
      <c r="B283" s="146" t="str">
        <f>IF(A283&lt;&gt;0,VLOOKUP(A283,[1]合同台帐!$A$4:$D$195,4,1),"")</f>
        <v>33#楼空调铁艺护栏</v>
      </c>
      <c r="C283" s="147"/>
      <c r="D283" s="148"/>
      <c r="E283" s="149"/>
      <c r="F283" s="150">
        <f>IF(A283&lt;&gt;0,IF(VLOOKUP(A283,[1]合同台帐!$A$4:$G$195,7,1),IF($H$2="元",VLOOKUP(A283,[1]合同台帐!$A$4:$G$195,7,1),VLOOKUP(A283,[1]合同台帐!$A$4:$G$195,7,1)),IF($H$2="元",VLOOKUP(A283,[1]合同台帐!$A$4:$F$195,6,1),VLOOKUP(A283,[1]合同台帐!$A$4:$F$195,6,1))),0)</f>
        <v>12235</v>
      </c>
      <c r="G283" s="151">
        <f t="shared" ref="G283" si="100">F283/K$2</f>
        <v>0.10514490747162204</v>
      </c>
      <c r="H283" s="149">
        <f>IF(A283&lt;&gt;0,IF($H$2="元",VLOOKUP(A283,[1]合同台帐!$A$4:$K$1093,11,1),VLOOKUP(A283,[1]合同台帐!$A$4:$K$1093,11,1)),0)</f>
        <v>11623</v>
      </c>
      <c r="I283" s="177"/>
      <c r="J283" s="152"/>
      <c r="K283" s="178"/>
    </row>
    <row r="284" spans="1:11" s="144" customFormat="1" ht="12.75" outlineLevel="3" x14ac:dyDescent="0.15">
      <c r="A284" s="169"/>
      <c r="B284" s="156"/>
      <c r="C284" s="157"/>
      <c r="D284" s="158"/>
      <c r="E284" s="159"/>
      <c r="F284" s="160"/>
      <c r="G284" s="161"/>
      <c r="H284" s="159">
        <f>IF(A284&lt;&gt;0,IF($H$2="元",VLOOKUP(A284,[1]合同台帐!$A$4:$K$1093,11,1),VLOOKUP(A284,[1]合同台帐!$A$4:$K$1093,11,1)),0)</f>
        <v>0</v>
      </c>
      <c r="I284" s="162"/>
      <c r="J284" s="162"/>
      <c r="K284" s="136"/>
    </row>
    <row r="285" spans="1:11" s="144" customFormat="1" ht="12.75" outlineLevel="2" x14ac:dyDescent="0.15">
      <c r="A285" s="169"/>
      <c r="B285" s="156" t="s">
        <v>1164</v>
      </c>
      <c r="C285" s="157"/>
      <c r="D285" s="158">
        <f>E285/K$2*10000</f>
        <v>33.481369800526316</v>
      </c>
      <c r="E285" s="159">
        <v>389.6</v>
      </c>
      <c r="F285" s="160">
        <f>SUM(F286:F288)</f>
        <v>2049582</v>
      </c>
      <c r="G285" s="160">
        <f t="shared" ref="G285:H285" si="101">SUM(G286:G288)</f>
        <v>17.613658336371234</v>
      </c>
      <c r="H285" s="160">
        <f t="shared" si="101"/>
        <v>103557</v>
      </c>
      <c r="I285" s="142">
        <f>F285-E285*10000</f>
        <v>-1846418</v>
      </c>
      <c r="J285" s="162"/>
      <c r="K285" s="136"/>
    </row>
    <row r="286" spans="1:11" s="154" customFormat="1" ht="12.75" outlineLevel="3" x14ac:dyDescent="0.15">
      <c r="A286" s="181" t="s">
        <v>1165</v>
      </c>
      <c r="B286" s="146" t="str">
        <f>IF(A286&lt;&gt;0,VLOOKUP(A286,[1]合同台帐!$A$4:$D$195,4,1),"")</f>
        <v>一期入户门感应密码锁采购安装</v>
      </c>
      <c r="C286" s="147"/>
      <c r="D286" s="148"/>
      <c r="E286" s="149"/>
      <c r="F286" s="150">
        <f>IF(A286&lt;&gt;0,IF(VLOOKUP(A286,[1]合同台帐!$A$4:$G$195,7,1),IF($H$2="元",VLOOKUP(A286,[1]合同台帐!$A$4:$G$195,7,1),VLOOKUP(A286,[1]合同台帐!$A$4:$G$195,7,1)),IF($H$2="元",VLOOKUP(A286,[1]合同台帐!$A$4:$F$195,6,1),VLOOKUP(A286,[1]合同台帐!$A$4:$F$195,6,1))),0)</f>
        <v>250325</v>
      </c>
      <c r="G286" s="151">
        <f t="shared" ref="G286:G289" si="102">F286/K$2</f>
        <v>2.1512381661490632</v>
      </c>
      <c r="H286" s="149">
        <f>IF(A286&lt;&gt;0,IF($H$2="元",VLOOKUP(A286,[1]合同台帐!$A$4:$K$1093,11,1),VLOOKUP(A286,[1]合同台帐!$A$4:$K$1093,11,1)),0)</f>
        <v>0</v>
      </c>
      <c r="I286" s="177"/>
      <c r="J286" s="152"/>
      <c r="K286" s="178"/>
    </row>
    <row r="287" spans="1:11" s="154" customFormat="1" ht="12.75" outlineLevel="3" x14ac:dyDescent="0.15">
      <c r="A287" s="181" t="s">
        <v>1166</v>
      </c>
      <c r="B287" s="146" t="str">
        <f>IF(A287&lt;&gt;0,VLOOKUP(A287,[1]合同台帐!$A$4:$D$195,4,1),"")</f>
        <v>一期入户门采购安装合同</v>
      </c>
      <c r="C287" s="147"/>
      <c r="D287" s="148"/>
      <c r="E287" s="149"/>
      <c r="F287" s="150">
        <f>IF(A287&lt;&gt;0,IF(VLOOKUP(A287,[1]合同台帐!$A$4:$G$195,7,1),IF($H$2="元",VLOOKUP(A287,[1]合同台帐!$A$4:$G$195,7,1),VLOOKUP(A287,[1]合同台帐!$A$4:$G$195,7,1)),IF($H$2="元",VLOOKUP(A287,[1]合同台帐!$A$4:$F$195,6,1),VLOOKUP(A287,[1]合同台帐!$A$4:$F$195,6,1))),0)</f>
        <v>1774697</v>
      </c>
      <c r="G287" s="151">
        <f t="shared" si="102"/>
        <v>15.251356915011462</v>
      </c>
      <c r="H287" s="149">
        <f>IF(A287&lt;&gt;0,IF($H$2="元",VLOOKUP(A287,[1]合同台帐!$A$4:$K$1093,11,1),VLOOKUP(A287,[1]合同台帐!$A$4:$K$1093,11,1)),0)</f>
        <v>80225</v>
      </c>
      <c r="I287" s="177"/>
      <c r="J287" s="152"/>
      <c r="K287" s="178"/>
    </row>
    <row r="288" spans="1:11" s="154" customFormat="1" ht="24" outlineLevel="3" x14ac:dyDescent="0.15">
      <c r="A288" s="181" t="s">
        <v>1167</v>
      </c>
      <c r="B288" s="146" t="str">
        <f>IF(A288&lt;&gt;0,VLOOKUP(A288,[1]合同台帐!$A$4:$D$195,4,1),"")</f>
        <v>33#楼宇门及样板单元首层楼梯间户门采购安装</v>
      </c>
      <c r="C288" s="147"/>
      <c r="D288" s="148"/>
      <c r="E288" s="149"/>
      <c r="F288" s="150">
        <f>IF(A288&lt;&gt;0,IF(VLOOKUP(A288,[1]合同台帐!$A$4:$G$195,7,1),IF($H$2="元",VLOOKUP(A288,[1]合同台帐!$A$4:$G$195,7,1),VLOOKUP(A288,[1]合同台帐!$A$4:$G$195,7,1)),IF($H$2="元",VLOOKUP(A288,[1]合同台帐!$A$4:$F$195,6,1),VLOOKUP(A288,[1]合同台帐!$A$4:$F$195,6,1))),0)</f>
        <v>24560</v>
      </c>
      <c r="G288" s="151">
        <f t="shared" si="102"/>
        <v>0.21106325521071004</v>
      </c>
      <c r="H288" s="149">
        <f>IF(A288&lt;&gt;0,IF($H$2="元",VLOOKUP(A288,[1]合同台帐!$A$4:$K$1093,11,1),VLOOKUP(A288,[1]合同台帐!$A$4:$K$1093,11,1)),0)</f>
        <v>23332</v>
      </c>
      <c r="I288" s="177"/>
      <c r="J288" s="152"/>
      <c r="K288" s="178"/>
    </row>
    <row r="289" spans="1:11" s="154" customFormat="1" ht="24" outlineLevel="3" x14ac:dyDescent="0.15">
      <c r="A289" s="181" t="s">
        <v>1168</v>
      </c>
      <c r="B289" s="146" t="str">
        <f>IF(A289&lt;&gt;0,VLOOKUP(A289,[1]合同台帐!$A$4:$D$195,4,1),"")</f>
        <v>一期（复式）钢质防盗门采购安装（不含33#楼6樘门）</v>
      </c>
      <c r="C289" s="147"/>
      <c r="D289" s="148"/>
      <c r="E289" s="149"/>
      <c r="F289" s="150">
        <f>IF(A289&lt;&gt;0,IF(VLOOKUP(A289,[1]合同台帐!$A$4:$G$195,7,1),IF($H$2="元",VLOOKUP(A289,[1]合同台帐!$A$4:$G$195,7,1),VLOOKUP(A289,[1]合同台帐!$A$4:$G$195,7,1)),IF($H$2="元",VLOOKUP(A289,[1]合同台帐!$A$4:$F$195,6,1),VLOOKUP(A289,[1]合同台帐!$A$4:$F$195,6,1))),0)</f>
        <v>644860</v>
      </c>
      <c r="G289" s="151">
        <f t="shared" si="102"/>
        <v>5.5417854542010785</v>
      </c>
      <c r="H289" s="149">
        <f>IF(A289&lt;&gt;0,IF($H$2="元",VLOOKUP(A289,[1]合同台帐!$A$4:$K$1093,11,1),VLOOKUP(A289,[1]合同台帐!$A$4:$K$1093,11,1)),0)</f>
        <v>0</v>
      </c>
      <c r="I289" s="177"/>
      <c r="J289" s="152"/>
      <c r="K289" s="178"/>
    </row>
    <row r="290" spans="1:11" s="144" customFormat="1" ht="12.75" outlineLevel="3" x14ac:dyDescent="0.15">
      <c r="A290" s="174"/>
      <c r="B290" s="156"/>
      <c r="C290" s="157"/>
      <c r="D290" s="158"/>
      <c r="E290" s="159"/>
      <c r="F290" s="160"/>
      <c r="G290" s="161"/>
      <c r="H290" s="159"/>
      <c r="I290" s="162"/>
      <c r="J290" s="162"/>
      <c r="K290" s="136"/>
    </row>
    <row r="291" spans="1:11" s="144" customFormat="1" ht="12.75" outlineLevel="3" x14ac:dyDescent="0.15">
      <c r="A291" s="174"/>
      <c r="B291" s="156"/>
      <c r="C291" s="157"/>
      <c r="D291" s="158"/>
      <c r="E291" s="159"/>
      <c r="F291" s="160"/>
      <c r="G291" s="161"/>
      <c r="H291" s="159">
        <f>IF(A291&lt;&gt;0,IF($H$2="元",VLOOKUP(A291,[1]合同台帐!$A$4:$K$1093,11,1),VLOOKUP(A291,[1]合同台帐!$A$4:$K$1093,11,1)),0)</f>
        <v>0</v>
      </c>
      <c r="I291" s="162"/>
      <c r="J291" s="162"/>
      <c r="K291" s="136"/>
    </row>
    <row r="292" spans="1:11" s="144" customFormat="1" ht="12.75" outlineLevel="2" x14ac:dyDescent="0.15">
      <c r="A292" s="169"/>
      <c r="B292" s="156" t="s">
        <v>1169</v>
      </c>
      <c r="C292" s="157"/>
      <c r="D292" s="158">
        <f>E292/K$2*10000</f>
        <v>40.000001718756145</v>
      </c>
      <c r="E292" s="159">
        <v>465.4529</v>
      </c>
      <c r="F292" s="160">
        <f>SUM(F293:F296)</f>
        <v>2050000</v>
      </c>
      <c r="G292" s="160">
        <f t="shared" ref="G292:H292" si="103">SUM(G293:G296)</f>
        <v>17.617250536724576</v>
      </c>
      <c r="H292" s="160">
        <f t="shared" si="103"/>
        <v>400000</v>
      </c>
      <c r="I292" s="142">
        <f>F292-E292*10000</f>
        <v>-2604529</v>
      </c>
      <c r="J292" s="162"/>
      <c r="K292" s="136"/>
    </row>
    <row r="293" spans="1:11" s="154" customFormat="1" ht="12.75" outlineLevel="3" x14ac:dyDescent="0.15">
      <c r="A293" s="181" t="s">
        <v>1170</v>
      </c>
      <c r="B293" s="146" t="str">
        <f>IF(A293&lt;&gt;0,VLOOKUP(A293,[1]合同台帐!$A$4:$D$195,4,1),"")</f>
        <v>一期配电箱采购合同（含电表箱）</v>
      </c>
      <c r="C293" s="147"/>
      <c r="D293" s="148"/>
      <c r="E293" s="149"/>
      <c r="F293" s="150">
        <f>IF(A293&lt;&gt;0,IF(VLOOKUP(A293,[1]合同台帐!$A$4:$G$195,7,1),IF($H$2="元",VLOOKUP(A293,[1]合同台帐!$A$4:$G$195,7,1),VLOOKUP(A293,[1]合同台帐!$A$4:$G$195,7,1)),IF($H$2="元",VLOOKUP(A293,[1]合同台帐!$A$4:$F$195,6,1),VLOOKUP(A293,[1]合同台帐!$A$4:$F$195,6,1))),0)</f>
        <v>2050000</v>
      </c>
      <c r="G293" s="151">
        <f t="shared" ref="G293" si="104">F293/K$2</f>
        <v>17.617250536724576</v>
      </c>
      <c r="H293" s="149">
        <f>IF(A293&lt;&gt;0,IF($H$2="元",VLOOKUP(A293,[1]合同台帐!$A$4:$K$1093,11,1),VLOOKUP(A293,[1]合同台帐!$A$4:$K$1093,11,1)),0)</f>
        <v>400000</v>
      </c>
      <c r="I293" s="177"/>
      <c r="J293" s="152"/>
      <c r="K293" s="178"/>
    </row>
    <row r="294" spans="1:11" s="144" customFormat="1" ht="12.75" outlineLevel="3" x14ac:dyDescent="0.15">
      <c r="A294" s="174"/>
      <c r="B294" s="156"/>
      <c r="C294" s="157"/>
      <c r="D294" s="158"/>
      <c r="E294" s="159"/>
      <c r="F294" s="160"/>
      <c r="G294" s="161"/>
      <c r="H294" s="159">
        <f>IF(A294&lt;&gt;0,IF($H$2="元",VLOOKUP(A294,[1]合同台帐!$A$4:$K$1093,11,1),VLOOKUP(A294,[1]合同台帐!$A$4:$K$1093,11,1)),0)</f>
        <v>0</v>
      </c>
      <c r="I294" s="162"/>
      <c r="J294" s="162"/>
      <c r="K294" s="136"/>
    </row>
    <row r="295" spans="1:11" s="144" customFormat="1" ht="12.75" outlineLevel="3" x14ac:dyDescent="0.15">
      <c r="A295" s="174"/>
      <c r="B295" s="170"/>
      <c r="C295" s="157"/>
      <c r="D295" s="158"/>
      <c r="E295" s="159"/>
      <c r="F295" s="160"/>
      <c r="G295" s="161"/>
      <c r="H295" s="159"/>
      <c r="I295" s="162"/>
      <c r="J295" s="162"/>
      <c r="K295" s="136"/>
    </row>
    <row r="296" spans="1:11" s="144" customFormat="1" ht="12.75" outlineLevel="3" x14ac:dyDescent="0.15">
      <c r="A296" s="174"/>
      <c r="B296" s="156"/>
      <c r="C296" s="157"/>
      <c r="D296" s="158"/>
      <c r="E296" s="159"/>
      <c r="F296" s="160"/>
      <c r="G296" s="161"/>
      <c r="H296" s="159">
        <f>IF(A296&lt;&gt;0,IF($H$2="元",VLOOKUP(A296,[1]合同台帐!$A$4:$K$1093,11,1),VLOOKUP(A296,[1]合同台帐!$A$4:$K$1093,11,1)),0)</f>
        <v>0</v>
      </c>
      <c r="I296" s="162"/>
      <c r="J296" s="162"/>
      <c r="K296" s="136"/>
    </row>
    <row r="297" spans="1:11" ht="12.75" outlineLevel="1" x14ac:dyDescent="0.15">
      <c r="A297" s="138"/>
      <c r="B297" s="139" t="s">
        <v>1171</v>
      </c>
      <c r="C297" s="140" t="s">
        <v>1142</v>
      </c>
      <c r="D297" s="165">
        <f>D298+D301+D304+D307+D310+D313+D316+D319</f>
        <v>100.95151199837888</v>
      </c>
      <c r="E297" s="165">
        <f t="shared" ref="E297:H297" si="105">E298+E301+E304+E307+E310+E313+E316+E319</f>
        <v>1174.7043000000001</v>
      </c>
      <c r="F297" s="165">
        <f t="shared" si="105"/>
        <v>1043196</v>
      </c>
      <c r="G297" s="165">
        <f t="shared" si="105"/>
        <v>8.9649977028824068</v>
      </c>
      <c r="H297" s="165">
        <f t="shared" si="105"/>
        <v>609915</v>
      </c>
      <c r="I297" s="142">
        <f t="shared" ref="I297:I301" si="106">F297-E297*10000</f>
        <v>-10703847.000000002</v>
      </c>
      <c r="J297" s="143">
        <f>G297-D297</f>
        <v>-91.986514295496477</v>
      </c>
      <c r="K297" s="136"/>
    </row>
    <row r="298" spans="1:11" s="144" customFormat="1" ht="12.75" outlineLevel="2" x14ac:dyDescent="0.15">
      <c r="A298" s="169"/>
      <c r="B298" s="156" t="s">
        <v>1172</v>
      </c>
      <c r="C298" s="157"/>
      <c r="D298" s="158">
        <f>E298/K$2*10000</f>
        <v>2.320320802397871</v>
      </c>
      <c r="E298" s="159">
        <v>27</v>
      </c>
      <c r="F298" s="160">
        <f>SUM(F299:F300)</f>
        <v>0</v>
      </c>
      <c r="G298" s="160">
        <f t="shared" ref="G298:H298" si="107">SUM(G299:G300)</f>
        <v>0</v>
      </c>
      <c r="H298" s="160">
        <f t="shared" si="107"/>
        <v>0</v>
      </c>
      <c r="I298" s="142">
        <f t="shared" si="106"/>
        <v>-270000</v>
      </c>
      <c r="J298" s="162"/>
      <c r="K298" s="136"/>
    </row>
    <row r="299" spans="1:11" s="144" customFormat="1" ht="12.75" outlineLevel="3" x14ac:dyDescent="0.15">
      <c r="A299" s="174"/>
      <c r="B299" s="156"/>
      <c r="C299" s="157"/>
      <c r="D299" s="158"/>
      <c r="E299" s="159"/>
      <c r="F299" s="160"/>
      <c r="G299" s="161"/>
      <c r="H299" s="159"/>
      <c r="I299" s="160"/>
      <c r="J299" s="162"/>
      <c r="K299" s="136"/>
    </row>
    <row r="300" spans="1:11" s="144" customFormat="1" ht="12.75" outlineLevel="3" x14ac:dyDescent="0.15">
      <c r="A300" s="174"/>
      <c r="B300" s="156"/>
      <c r="C300" s="157"/>
      <c r="D300" s="158"/>
      <c r="E300" s="159"/>
      <c r="F300" s="160"/>
      <c r="G300" s="161"/>
      <c r="H300" s="159"/>
      <c r="I300" s="160"/>
      <c r="J300" s="162"/>
      <c r="K300" s="136"/>
    </row>
    <row r="301" spans="1:11" s="144" customFormat="1" ht="12.75" outlineLevel="2" x14ac:dyDescent="0.15">
      <c r="A301" s="169"/>
      <c r="B301" s="156" t="s">
        <v>1173</v>
      </c>
      <c r="C301" s="157"/>
      <c r="D301" s="158">
        <f>E301/K$2*10000</f>
        <v>15.030522531088433</v>
      </c>
      <c r="E301" s="159">
        <v>174.9</v>
      </c>
      <c r="F301" s="160">
        <f>SUM(F302:F303)</f>
        <v>513000</v>
      </c>
      <c r="G301" s="160">
        <f t="shared" ref="G301:H301" si="108">SUM(G302:G303)</f>
        <v>4.4086095245559553</v>
      </c>
      <c r="H301" s="160">
        <f t="shared" si="108"/>
        <v>150000</v>
      </c>
      <c r="I301" s="142">
        <f t="shared" si="106"/>
        <v>-1236000</v>
      </c>
      <c r="J301" s="162"/>
      <c r="K301" s="136"/>
    </row>
    <row r="302" spans="1:11" s="154" customFormat="1" ht="16.5" customHeight="1" outlineLevel="3" x14ac:dyDescent="0.15">
      <c r="A302" s="145" t="s">
        <v>1174</v>
      </c>
      <c r="B302" s="146" t="str">
        <f>IF(A302&lt;&gt;0,VLOOKUP(A302,[1]合同台帐!$A$4:$D$893,4,1),"")</f>
        <v>示范区智能化工程</v>
      </c>
      <c r="C302" s="147"/>
      <c r="D302" s="148"/>
      <c r="E302" s="149"/>
      <c r="F302" s="150">
        <f>IF(A302&lt;&gt;0,VLOOKUP(A302,[1]合同台帐!$A$4:$J$893,6,1),"")</f>
        <v>513000</v>
      </c>
      <c r="G302" s="151">
        <f>F302/K2</f>
        <v>4.4086095245559553</v>
      </c>
      <c r="H302" s="149">
        <f>IF(A302&lt;&gt;0,IF($H$2="元",VLOOKUP(A302,[1]合同台帐!$A$4:$K$1093,11,1),VLOOKUP(A302,[1]合同台帐!$A$4:$K$1093,11,1)),0)</f>
        <v>150000</v>
      </c>
      <c r="I302" s="150"/>
      <c r="J302" s="152"/>
      <c r="K302" s="153"/>
    </row>
    <row r="303" spans="1:11" s="144" customFormat="1" ht="12.75" outlineLevel="3" x14ac:dyDescent="0.15">
      <c r="A303" s="169"/>
      <c r="B303" s="156"/>
      <c r="C303" s="157"/>
      <c r="D303" s="158"/>
      <c r="E303" s="159"/>
      <c r="F303" s="160"/>
      <c r="G303" s="161"/>
      <c r="H303" s="159"/>
      <c r="I303" s="162"/>
      <c r="J303" s="162"/>
      <c r="K303" s="136"/>
    </row>
    <row r="304" spans="1:11" s="144" customFormat="1" ht="12.75" outlineLevel="2" x14ac:dyDescent="0.15">
      <c r="A304" s="169"/>
      <c r="B304" s="156" t="s">
        <v>1175</v>
      </c>
      <c r="C304" s="157"/>
      <c r="D304" s="158">
        <f>E304/K$2*10000</f>
        <v>21.773254469926151</v>
      </c>
      <c r="E304" s="159">
        <v>253.36060000000001</v>
      </c>
      <c r="F304" s="160">
        <f>SUM(F305:F306)</f>
        <v>0</v>
      </c>
      <c r="G304" s="160">
        <f t="shared" ref="G304:H304" si="109">SUM(G305:G306)</f>
        <v>0</v>
      </c>
      <c r="H304" s="160">
        <f t="shared" si="109"/>
        <v>0</v>
      </c>
      <c r="I304" s="142">
        <f>F304-E304*10000</f>
        <v>-2533606</v>
      </c>
      <c r="J304" s="162"/>
      <c r="K304" s="136"/>
    </row>
    <row r="305" spans="1:11" s="144" customFormat="1" ht="12.75" outlineLevel="3" x14ac:dyDescent="0.15">
      <c r="A305" s="174"/>
      <c r="B305" s="156"/>
      <c r="C305" s="157"/>
      <c r="D305" s="158"/>
      <c r="E305" s="159"/>
      <c r="F305" s="160"/>
      <c r="G305" s="161"/>
      <c r="H305" s="159"/>
      <c r="I305" s="162"/>
      <c r="J305" s="162"/>
      <c r="K305" s="136"/>
    </row>
    <row r="306" spans="1:11" s="144" customFormat="1" ht="12.75" outlineLevel="3" x14ac:dyDescent="0.15">
      <c r="A306" s="169"/>
      <c r="B306" s="156"/>
      <c r="C306" s="157"/>
      <c r="D306" s="158"/>
      <c r="E306" s="159"/>
      <c r="F306" s="160"/>
      <c r="G306" s="161"/>
      <c r="H306" s="159"/>
      <c r="I306" s="162"/>
      <c r="J306" s="162"/>
      <c r="K306" s="136"/>
    </row>
    <row r="307" spans="1:11" s="144" customFormat="1" ht="12.75" outlineLevel="2" x14ac:dyDescent="0.15">
      <c r="A307" s="169"/>
      <c r="B307" s="156" t="s">
        <v>1176</v>
      </c>
      <c r="C307" s="157"/>
      <c r="D307" s="158">
        <f>E307/K$2*10000</f>
        <v>18.648504226679187</v>
      </c>
      <c r="E307" s="159">
        <v>217</v>
      </c>
      <c r="F307" s="160">
        <f>SUM(F308:F309)</f>
        <v>0</v>
      </c>
      <c r="G307" s="160">
        <f t="shared" ref="G307:H307" si="110">SUM(G308:G309)</f>
        <v>0</v>
      </c>
      <c r="H307" s="160">
        <f t="shared" si="110"/>
        <v>0</v>
      </c>
      <c r="I307" s="142">
        <f>F307-E307*10000</f>
        <v>-2170000</v>
      </c>
      <c r="J307" s="162"/>
      <c r="K307" s="136"/>
    </row>
    <row r="308" spans="1:11" s="144" customFormat="1" ht="12.75" outlineLevel="3" x14ac:dyDescent="0.15">
      <c r="A308" s="174"/>
      <c r="B308" s="156"/>
      <c r="C308" s="157"/>
      <c r="D308" s="158"/>
      <c r="E308" s="159"/>
      <c r="F308" s="160"/>
      <c r="G308" s="161"/>
      <c r="H308" s="159"/>
      <c r="I308" s="160"/>
      <c r="J308" s="162"/>
      <c r="K308" s="136"/>
    </row>
    <row r="309" spans="1:11" s="144" customFormat="1" ht="12.75" outlineLevel="3" x14ac:dyDescent="0.15">
      <c r="A309" s="174"/>
      <c r="B309" s="156"/>
      <c r="C309" s="157"/>
      <c r="D309" s="158"/>
      <c r="E309" s="159"/>
      <c r="F309" s="160"/>
      <c r="G309" s="161"/>
      <c r="H309" s="159"/>
      <c r="I309" s="160"/>
      <c r="J309" s="162"/>
      <c r="K309" s="136"/>
    </row>
    <row r="310" spans="1:11" s="144" customFormat="1" ht="12.75" outlineLevel="2" x14ac:dyDescent="0.15">
      <c r="A310" s="169"/>
      <c r="B310" s="156" t="s">
        <v>1177</v>
      </c>
      <c r="C310" s="157"/>
      <c r="D310" s="158">
        <f>E310/K$2*10000</f>
        <v>4.5648788337070769</v>
      </c>
      <c r="E310" s="159">
        <v>53.118400000000001</v>
      </c>
      <c r="F310" s="160">
        <f>SUM(F311:F312)</f>
        <v>530196</v>
      </c>
      <c r="G310" s="160">
        <f t="shared" ref="G310:H310" si="111">SUM(G311:G312)</f>
        <v>4.5563881783264506</v>
      </c>
      <c r="H310" s="160">
        <f t="shared" si="111"/>
        <v>459915</v>
      </c>
      <c r="I310" s="142">
        <f>F310-E310*10000</f>
        <v>-988</v>
      </c>
      <c r="J310" s="162"/>
      <c r="K310" s="136"/>
    </row>
    <row r="311" spans="1:11" s="154" customFormat="1" ht="16.5" customHeight="1" outlineLevel="3" x14ac:dyDescent="0.15">
      <c r="A311" s="145" t="s">
        <v>1178</v>
      </c>
      <c r="B311" s="146" t="str">
        <f>IF(A311&lt;&gt;0,VLOOKUP(A311,[1]合同台帐!$A$4:$D$893,4,1),"")</f>
        <v>售楼处中央空调安装合同</v>
      </c>
      <c r="C311" s="147"/>
      <c r="D311" s="148"/>
      <c r="E311" s="149"/>
      <c r="F311" s="150">
        <f>IF(A311&lt;&gt;0,VLOOKUP(A311,[1]合同台帐!$A$4:$J$893,6,1),"")</f>
        <v>450612</v>
      </c>
      <c r="G311" s="151">
        <f>F311/K2</f>
        <v>3.8724607311485535</v>
      </c>
      <c r="H311" s="149">
        <f>IF(A311&lt;&gt;0,IF($H$2="元",VLOOKUP(A311,[1]合同台帐!$A$4:$K$1093,11,1),VLOOKUP(A311,[1]合同台帐!$A$4:$K$1093,11,1)),0)</f>
        <v>428081</v>
      </c>
      <c r="I311" s="150"/>
      <c r="J311" s="152"/>
      <c r="K311" s="153"/>
    </row>
    <row r="312" spans="1:11" s="154" customFormat="1" ht="16.5" customHeight="1" outlineLevel="3" x14ac:dyDescent="0.15">
      <c r="A312" s="145" t="s">
        <v>1179</v>
      </c>
      <c r="B312" s="146" t="str">
        <f>IF(A312&lt;&gt;0,VLOOKUP(A312,[1]合同台帐!$A$4:$D$893,4,1),"")</f>
        <v>联排样板间中央空调安装合同</v>
      </c>
      <c r="C312" s="147"/>
      <c r="D312" s="148"/>
      <c r="E312" s="149"/>
      <c r="F312" s="150">
        <f>IF(A312&lt;&gt;0,VLOOKUP(A312,[1]合同台帐!$A$4:$J$893,6,1),"")</f>
        <v>79584</v>
      </c>
      <c r="G312" s="151">
        <f>F312/K2</f>
        <v>0.68392744717789689</v>
      </c>
      <c r="H312" s="149">
        <f>IF(A312&lt;&gt;0,IF($H$2="元",VLOOKUP(A312,[1]合同台帐!$A$4:$K$1093,11,1),VLOOKUP(A312,[1]合同台帐!$A$4:$K$1093,11,1)),0)</f>
        <v>31834</v>
      </c>
      <c r="I312" s="150"/>
      <c r="J312" s="152"/>
      <c r="K312" s="153"/>
    </row>
    <row r="313" spans="1:11" s="144" customFormat="1" ht="12.75" outlineLevel="2" x14ac:dyDescent="0.15">
      <c r="A313" s="169"/>
      <c r="B313" s="156" t="s">
        <v>1180</v>
      </c>
      <c r="C313" s="157"/>
      <c r="D313" s="158">
        <f>E313/K$2*10000</f>
        <v>0</v>
      </c>
      <c r="E313" s="159">
        <v>0</v>
      </c>
      <c r="F313" s="160">
        <f>SUM(F314:F315)</f>
        <v>0</v>
      </c>
      <c r="G313" s="160">
        <f t="shared" ref="G313:H313" si="112">SUM(G314:G315)</f>
        <v>0</v>
      </c>
      <c r="H313" s="160">
        <f t="shared" si="112"/>
        <v>0</v>
      </c>
      <c r="I313" s="142">
        <f>F313-E313*10000</f>
        <v>0</v>
      </c>
      <c r="J313" s="162"/>
      <c r="K313" s="136"/>
    </row>
    <row r="314" spans="1:11" s="144" customFormat="1" ht="12.75" outlineLevel="3" x14ac:dyDescent="0.15">
      <c r="A314" s="174"/>
      <c r="B314" s="156"/>
      <c r="C314" s="157"/>
      <c r="D314" s="158"/>
      <c r="E314" s="159"/>
      <c r="F314" s="160"/>
      <c r="G314" s="161"/>
      <c r="H314" s="159"/>
      <c r="I314" s="162"/>
      <c r="J314" s="162"/>
      <c r="K314" s="136"/>
    </row>
    <row r="315" spans="1:11" s="144" customFormat="1" ht="12.75" outlineLevel="3" x14ac:dyDescent="0.15">
      <c r="A315" s="169"/>
      <c r="B315" s="156"/>
      <c r="C315" s="157"/>
      <c r="D315" s="158"/>
      <c r="E315" s="159"/>
      <c r="F315" s="160"/>
      <c r="G315" s="161"/>
      <c r="H315" s="159"/>
      <c r="I315" s="162"/>
      <c r="J315" s="162"/>
      <c r="K315" s="136"/>
    </row>
    <row r="316" spans="1:11" s="144" customFormat="1" ht="12.75" outlineLevel="2" x14ac:dyDescent="0.15">
      <c r="A316" s="169"/>
      <c r="B316" s="156" t="s">
        <v>1181</v>
      </c>
      <c r="C316" s="157"/>
      <c r="D316" s="158">
        <f>E316/K$2*10000</f>
        <v>12.897546149032316</v>
      </c>
      <c r="E316" s="159">
        <v>150.08000000000001</v>
      </c>
      <c r="F316" s="160">
        <f>SUM(F317:F318)</f>
        <v>0</v>
      </c>
      <c r="G316" s="160">
        <f t="shared" ref="G316:H316" si="113">SUM(G317:G318)</f>
        <v>0</v>
      </c>
      <c r="H316" s="160">
        <f t="shared" si="113"/>
        <v>0</v>
      </c>
      <c r="I316" s="142">
        <f>F316-E316*10000</f>
        <v>-1500800.0000000002</v>
      </c>
      <c r="J316" s="162"/>
      <c r="K316" s="136"/>
    </row>
    <row r="317" spans="1:11" s="144" customFormat="1" ht="12.75" outlineLevel="3" x14ac:dyDescent="0.15">
      <c r="A317" s="174"/>
      <c r="B317" s="156"/>
      <c r="C317" s="157"/>
      <c r="D317" s="158"/>
      <c r="E317" s="159"/>
      <c r="F317" s="160"/>
      <c r="G317" s="161"/>
      <c r="H317" s="159"/>
      <c r="I317" s="162"/>
      <c r="J317" s="162"/>
      <c r="K317" s="136"/>
    </row>
    <row r="318" spans="1:11" s="144" customFormat="1" ht="12.75" outlineLevel="3" x14ac:dyDescent="0.15">
      <c r="A318" s="174"/>
      <c r="B318" s="156"/>
      <c r="C318" s="157"/>
      <c r="D318" s="158"/>
      <c r="E318" s="159"/>
      <c r="F318" s="160"/>
      <c r="G318" s="161"/>
      <c r="H318" s="159"/>
      <c r="I318" s="162"/>
      <c r="J318" s="162"/>
      <c r="K318" s="136"/>
    </row>
    <row r="319" spans="1:11" s="144" customFormat="1" ht="12.75" outlineLevel="2" x14ac:dyDescent="0.15">
      <c r="A319" s="169"/>
      <c r="B319" s="156" t="s">
        <v>1182</v>
      </c>
      <c r="C319" s="157"/>
      <c r="D319" s="158">
        <f>E319/K$2*10000</f>
        <v>25.716484985547837</v>
      </c>
      <c r="E319" s="159">
        <v>299.24529999999999</v>
      </c>
      <c r="F319" s="160">
        <f>SUM(F320:F321)</f>
        <v>0</v>
      </c>
      <c r="G319" s="160">
        <f t="shared" ref="G319:H319" si="114">SUM(G320:G321)</f>
        <v>0</v>
      </c>
      <c r="H319" s="160">
        <f t="shared" si="114"/>
        <v>0</v>
      </c>
      <c r="I319" s="142">
        <f>F319-E319*10000</f>
        <v>-2992453</v>
      </c>
      <c r="J319" s="162"/>
      <c r="K319" s="136"/>
    </row>
    <row r="320" spans="1:11" s="144" customFormat="1" ht="12.75" outlineLevel="3" x14ac:dyDescent="0.15">
      <c r="A320" s="174"/>
      <c r="B320" s="156"/>
      <c r="C320" s="157"/>
      <c r="D320" s="158"/>
      <c r="E320" s="159"/>
      <c r="F320" s="160"/>
      <c r="G320" s="161"/>
      <c r="H320" s="159"/>
      <c r="I320" s="162"/>
      <c r="J320" s="162"/>
      <c r="K320" s="136"/>
    </row>
    <row r="321" spans="1:11" s="144" customFormat="1" ht="12.75" outlineLevel="3" x14ac:dyDescent="0.15">
      <c r="A321" s="174"/>
      <c r="B321" s="156"/>
      <c r="C321" s="157"/>
      <c r="D321" s="158"/>
      <c r="E321" s="159"/>
      <c r="F321" s="160"/>
      <c r="G321" s="161"/>
      <c r="H321" s="159"/>
      <c r="I321" s="162"/>
      <c r="J321" s="162"/>
      <c r="K321" s="136"/>
    </row>
    <row r="322" spans="1:11" s="144" customFormat="1" ht="12.75" outlineLevel="1" x14ac:dyDescent="0.15">
      <c r="A322" s="194"/>
      <c r="B322" s="139" t="s">
        <v>1183</v>
      </c>
      <c r="C322" s="140"/>
      <c r="D322" s="165">
        <f t="shared" ref="D322:H322" si="115">D323+D328+D333</f>
        <v>431.5093635256913</v>
      </c>
      <c r="E322" s="165">
        <f t="shared" si="115"/>
        <v>5021.1818999999996</v>
      </c>
      <c r="F322" s="165">
        <f t="shared" si="115"/>
        <v>31570059</v>
      </c>
      <c r="G322" s="165">
        <f t="shared" si="115"/>
        <v>271.30616529862272</v>
      </c>
      <c r="H322" s="165">
        <f t="shared" si="115"/>
        <v>14819445.800000001</v>
      </c>
      <c r="I322" s="142">
        <f>F322-E322*10000</f>
        <v>-18641759.999999993</v>
      </c>
      <c r="J322" s="143">
        <f>G322-D322</f>
        <v>-160.20319822706858</v>
      </c>
      <c r="K322" s="136"/>
    </row>
    <row r="323" spans="1:11" s="144" customFormat="1" ht="12.75" outlineLevel="2" x14ac:dyDescent="0.15">
      <c r="A323" s="174"/>
      <c r="B323" s="156" t="s">
        <v>1184</v>
      </c>
      <c r="C323" s="157"/>
      <c r="D323" s="158">
        <f>E323/K$2*10000</f>
        <v>310.00166547470923</v>
      </c>
      <c r="E323" s="159">
        <v>3607.2791999999999</v>
      </c>
      <c r="F323" s="160">
        <f>SUM(F324:F327)</f>
        <v>19388094</v>
      </c>
      <c r="G323" s="160">
        <f t="shared" ref="G323:H323" si="116">SUM(G324:G327)</f>
        <v>166.61702898905685</v>
      </c>
      <c r="H323" s="160">
        <f t="shared" si="116"/>
        <v>9592076.8000000007</v>
      </c>
      <c r="I323" s="168"/>
      <c r="J323" s="162"/>
      <c r="K323" s="136"/>
    </row>
    <row r="324" spans="1:11" s="154" customFormat="1" ht="16.5" customHeight="1" outlineLevel="3" x14ac:dyDescent="0.15">
      <c r="A324" s="145" t="s">
        <v>1185</v>
      </c>
      <c r="B324" s="146" t="str">
        <f>IF(A324&lt;&gt;0,VLOOKUP(A324,[1]合同台帐!$A$4:$D$893,4,1),"")</f>
        <v>蓟县苗木采购与种植养护工程施工合同</v>
      </c>
      <c r="C324" s="147"/>
      <c r="D324" s="148"/>
      <c r="E324" s="149"/>
      <c r="F324" s="150">
        <f>IF(A324&lt;&gt;0,VLOOKUP(A324,[1]合同台帐!$A$4:$J$893,6,1),"")</f>
        <v>8280192</v>
      </c>
      <c r="G324" s="151">
        <f>F324/K2</f>
        <v>71.158154612771966</v>
      </c>
      <c r="H324" s="149">
        <f>IF(A324&lt;&gt;0,IF($H$2="元",VLOOKUP(A324,[1]合同台帐!$A$4:$K$1093,11,1),VLOOKUP(A324,[1]合同台帐!$A$4:$K$1093,11,1)),0)</f>
        <v>3312076.7999999998</v>
      </c>
      <c r="I324" s="150"/>
      <c r="J324" s="152"/>
      <c r="K324" s="153"/>
    </row>
    <row r="325" spans="1:11" s="154" customFormat="1" ht="16.5" customHeight="1" outlineLevel="3" x14ac:dyDescent="0.15">
      <c r="A325" s="145" t="s">
        <v>1186</v>
      </c>
      <c r="B325" s="146" t="str">
        <f>IF(A325&lt;&gt;0,VLOOKUP(A325,[1]合同台帐!$A$4:$D$893,4,1),"")</f>
        <v>苗木增补协议</v>
      </c>
      <c r="C325" s="147"/>
      <c r="D325" s="148"/>
      <c r="E325" s="149"/>
      <c r="F325" s="150">
        <f>IF(A325&lt;&gt;0,VLOOKUP(A325,[1]合同台帐!$A$4:$J$893,6,1),"")</f>
        <v>477650</v>
      </c>
      <c r="G325" s="151">
        <f>F325/K2</f>
        <v>4.1048193750568265</v>
      </c>
      <c r="H325" s="149">
        <f>IF(A325&lt;&gt;0,IF($H$2="元",VLOOKUP(A325,[1]合同台帐!$A$4:$K$1093,11,1),VLOOKUP(A325,[1]合同台帐!$A$4:$K$1093,11,1)),0)</f>
        <v>280000</v>
      </c>
      <c r="I325" s="150"/>
      <c r="J325" s="152"/>
      <c r="K325" s="153"/>
    </row>
    <row r="326" spans="1:11" s="154" customFormat="1" ht="16.5" customHeight="1" outlineLevel="3" x14ac:dyDescent="0.15">
      <c r="A326" s="145" t="s">
        <v>1187</v>
      </c>
      <c r="B326" s="146" t="str">
        <f>IF(A326&lt;&gt;0,VLOOKUP(A326,[1]合同台帐!$A$4:$D$893,4,1),"")</f>
        <v>示范区景观</v>
      </c>
      <c r="C326" s="147"/>
      <c r="D326" s="148"/>
      <c r="E326" s="149"/>
      <c r="F326" s="150">
        <f>IF(A326&lt;&gt;0,VLOOKUP(A326,[1]合同台帐!$A$4:$J$893,6,1),"")</f>
        <v>9498614</v>
      </c>
      <c r="G326" s="151">
        <f>F326/K2</f>
        <v>81.629006141287604</v>
      </c>
      <c r="H326" s="149">
        <f>IF(A326&lt;&gt;0,IF($H$2="元",VLOOKUP(A326,[1]合同台帐!$A$4:$K$1093,11,1),VLOOKUP(A326,[1]合同台帐!$A$4:$K$1093,11,1)),0)</f>
        <v>6000000</v>
      </c>
      <c r="I326" s="150"/>
      <c r="J326" s="152"/>
      <c r="K326" s="153"/>
    </row>
    <row r="327" spans="1:11" s="154" customFormat="1" ht="16.5" customHeight="1" outlineLevel="3" x14ac:dyDescent="0.15">
      <c r="A327" s="145" t="s">
        <v>1188</v>
      </c>
      <c r="B327" s="146" t="str">
        <f>IF(A327&lt;&gt;0,VLOOKUP(A327,[1]合同台帐!$A$4:$D$893,4,1),"")</f>
        <v>示范区围墙（示范区部分大区及小院围墙）</v>
      </c>
      <c r="C327" s="147"/>
      <c r="D327" s="148"/>
      <c r="E327" s="149"/>
      <c r="F327" s="150">
        <f>IF(A327&lt;&gt;0,VLOOKUP(A327,[1]合同台帐!$A$4:$J$893,6,1),"")</f>
        <v>1131638</v>
      </c>
      <c r="G327" s="151">
        <f>F327/K2</f>
        <v>9.7250488599404523</v>
      </c>
      <c r="H327" s="149">
        <f>IF(A327&lt;&gt;0,IF($H$2="元",VLOOKUP(A327,[1]合同台帐!$A$4:$K$1093,11,1),VLOOKUP(A327,[1]合同台帐!$A$4:$K$1093,11,1)),0)</f>
        <v>0</v>
      </c>
      <c r="I327" s="150"/>
      <c r="J327" s="152"/>
      <c r="K327" s="153"/>
    </row>
    <row r="328" spans="1:11" s="144" customFormat="1" ht="12.75" outlineLevel="2" x14ac:dyDescent="0.15">
      <c r="A328" s="174"/>
      <c r="B328" s="156" t="s">
        <v>1189</v>
      </c>
      <c r="C328" s="157"/>
      <c r="D328" s="158">
        <f>E328/K$2*10000</f>
        <v>93.899996923426485</v>
      </c>
      <c r="E328" s="159">
        <v>1092.6505999999999</v>
      </c>
      <c r="F328" s="160">
        <f>SUM(F329:F332)</f>
        <v>9081965</v>
      </c>
      <c r="G328" s="160">
        <f t="shared" ref="G328:H328" si="117">SUM(G329:G332)</f>
        <v>78.048415985738444</v>
      </c>
      <c r="H328" s="160">
        <f t="shared" si="117"/>
        <v>3277369</v>
      </c>
      <c r="I328" s="168"/>
      <c r="J328" s="162"/>
      <c r="K328" s="136"/>
    </row>
    <row r="329" spans="1:11" s="154" customFormat="1" ht="12.75" outlineLevel="3" x14ac:dyDescent="0.15">
      <c r="A329" s="145" t="s">
        <v>1190</v>
      </c>
      <c r="B329" s="146" t="str">
        <f>IF(A329&lt;&gt;0,VLOOKUP(A329,[1]合同台帐!$A$4:$D$195,4,1),"")</f>
        <v>挡土墙施工合同（西侧、南侧）</v>
      </c>
      <c r="C329" s="147"/>
      <c r="D329" s="148"/>
      <c r="E329" s="149"/>
      <c r="F329" s="150">
        <f>IF(A329&lt;&gt;0,IF(VLOOKUP(A329,[1]合同台帐!$A$4:$G$195,7,1),IF($H$2="元",VLOOKUP(A329,[1]合同台帐!$A$4:$G$195,7,1),VLOOKUP(A329,[1]合同台帐!$A$4:$G$195,7,1)),IF($H$2="元",VLOOKUP(A329,[1]合同台帐!$A$4:$F$195,6,1),VLOOKUP(A329,[1]合同台帐!$A$4:$F$195,6,1))),0)</f>
        <v>1243479</v>
      </c>
      <c r="G329" s="151">
        <f>F329/K$2</f>
        <v>10.686185892758898</v>
      </c>
      <c r="H329" s="149">
        <f>IF(A329&lt;&gt;0,IF($H$2="元",VLOOKUP(A329,[1]合同台帐!$A$4:$K$1093,11,1),VLOOKUP(A329,[1]合同台帐!$A$4:$K$1093,11,1)),0)</f>
        <v>1243479</v>
      </c>
      <c r="I329" s="177"/>
      <c r="J329" s="152"/>
      <c r="K329" s="178"/>
    </row>
    <row r="330" spans="1:11" s="154" customFormat="1" ht="12.75" outlineLevel="3" x14ac:dyDescent="0.15">
      <c r="A330" s="145" t="s">
        <v>1191</v>
      </c>
      <c r="B330" s="146" t="str">
        <f>IF(A330&lt;&gt;0,VLOOKUP(A330,[1]合同台帐!$A$4:$D$195,4,1),"")</f>
        <v>挡土墙施工合同（重签）</v>
      </c>
      <c r="C330" s="147"/>
      <c r="D330" s="148"/>
      <c r="E330" s="149"/>
      <c r="F330" s="150">
        <f>IF(A330&lt;&gt;0,IF(VLOOKUP(A330,[1]合同台帐!$A$4:$G$195,7,1),IF($H$2="元",VLOOKUP(A330,[1]合同台帐!$A$4:$G$195,7,1),VLOOKUP(A330,[1]合同台帐!$A$4:$G$195,7,1)),IF($H$2="元",VLOOKUP(A330,[1]合同台帐!$A$4:$F$195,6,1),VLOOKUP(A330,[1]合同台帐!$A$4:$F$195,6,1))),0)</f>
        <v>3138486</v>
      </c>
      <c r="G330" s="151">
        <f>F330/K$2</f>
        <v>26.971460569757351</v>
      </c>
      <c r="H330" s="149">
        <f>IF(A330&lt;&gt;0,IF($H$2="元",VLOOKUP(A330,[1]合同台帐!$A$4:$K$1093,11,1),VLOOKUP(A330,[1]合同台帐!$A$4:$K$1093,11,1)),0)</f>
        <v>2033890</v>
      </c>
      <c r="I330" s="177"/>
      <c r="J330" s="152"/>
      <c r="K330" s="178"/>
    </row>
    <row r="331" spans="1:11" s="154" customFormat="1" ht="12.75" outlineLevel="3" x14ac:dyDescent="0.15">
      <c r="A331" s="145" t="s">
        <v>1147</v>
      </c>
      <c r="B331" s="146" t="str">
        <f>IF(A331&lt;&gt;0,VLOOKUP(A331,[1]合同台帐!$A$4:$D$195,4,1),"")</f>
        <v>东侧挡土墙</v>
      </c>
      <c r="C331" s="147"/>
      <c r="D331" s="148"/>
      <c r="E331" s="149"/>
      <c r="F331" s="150">
        <f>IF(A331&lt;&gt;0,IF(VLOOKUP(A331,[1]合同台帐!$A$4:$G$195,7,1),IF($H$2="元",VLOOKUP(A331,[1]合同台帐!$A$4:$G$195,7,1),VLOOKUP(A331,[1]合同台帐!$A$4:$G$195,7,1)),IF($H$2="元",VLOOKUP(A331,[1]合同台帐!$A$4:$F$195,6,1),VLOOKUP(A331,[1]合同台帐!$A$4:$F$195,6,1))),0)</f>
        <v>4700000</v>
      </c>
      <c r="G331" s="151">
        <f>F331/K$2</f>
        <v>40.390769523222197</v>
      </c>
      <c r="H331" s="149">
        <f>IF(A331&lt;&gt;0,IF($H$2="元",VLOOKUP(A331,[1]合同台帐!$A$4:$K$1093,11,1),VLOOKUP(A331,[1]合同台帐!$A$4:$K$1093,11,1)),0)</f>
        <v>0</v>
      </c>
      <c r="I331" s="177"/>
      <c r="J331" s="152"/>
      <c r="K331" s="178"/>
    </row>
    <row r="332" spans="1:11" s="154" customFormat="1" ht="12.75" outlineLevel="3" x14ac:dyDescent="0.15">
      <c r="A332" s="185"/>
      <c r="B332" s="146"/>
      <c r="C332" s="147"/>
      <c r="D332" s="148"/>
      <c r="E332" s="149"/>
      <c r="F332" s="150"/>
      <c r="G332" s="151"/>
      <c r="H332" s="149"/>
      <c r="I332" s="177"/>
      <c r="J332" s="152"/>
      <c r="K332" s="178"/>
    </row>
    <row r="333" spans="1:11" s="144" customFormat="1" ht="12.75" outlineLevel="2" x14ac:dyDescent="0.15">
      <c r="A333" s="174"/>
      <c r="B333" s="156" t="s">
        <v>1192</v>
      </c>
      <c r="C333" s="157"/>
      <c r="D333" s="158">
        <f>E333/K$2*10000</f>
        <v>27.607701127555597</v>
      </c>
      <c r="E333" s="159">
        <v>321.25209999999998</v>
      </c>
      <c r="F333" s="160">
        <f>SUM(F334:F336)</f>
        <v>3100000</v>
      </c>
      <c r="G333" s="160">
        <f t="shared" ref="G333:H333" si="118">SUM(G334:G336)</f>
        <v>26.640720323827409</v>
      </c>
      <c r="H333" s="160">
        <f t="shared" si="118"/>
        <v>1950000</v>
      </c>
      <c r="I333" s="168"/>
      <c r="J333" s="162"/>
      <c r="K333" s="136"/>
    </row>
    <row r="334" spans="1:11" s="154" customFormat="1" ht="12.75" outlineLevel="3" x14ac:dyDescent="0.15">
      <c r="A334" s="145" t="s">
        <v>1193</v>
      </c>
      <c r="B334" s="146" t="str">
        <f>IF(A334&lt;&gt;0,VLOOKUP(A334,[1]合同台帐!$A$4:$D$195,4,1),"")</f>
        <v>界外地景观</v>
      </c>
      <c r="C334" s="147"/>
      <c r="D334" s="148"/>
      <c r="E334" s="149"/>
      <c r="F334" s="150">
        <f>IF(A334&lt;&gt;0,IF(VLOOKUP(A334,[1]合同台帐!$A$4:$G$195,7,1),IF($H$2="元",VLOOKUP(A334,[1]合同台帐!$A$4:$G$195,7,1),VLOOKUP(A334,[1]合同台帐!$A$4:$G$195,7,1)),IF($H$2="元",VLOOKUP(A334,[1]合同台帐!$A$4:$F$195,6,1),VLOOKUP(A334,[1]合同台帐!$A$4:$F$195,6,1))),0)</f>
        <v>3100000</v>
      </c>
      <c r="G334" s="151">
        <f>F334/K$2</f>
        <v>26.640720323827409</v>
      </c>
      <c r="H334" s="149">
        <f>IF(A334&lt;&gt;0,IF($H$2="元",VLOOKUP(A334,[1]合同台帐!$A$4:$K$1093,11,1),VLOOKUP(A334,[1]合同台帐!$A$4:$K$1093,11,1)),0)</f>
        <v>1950000</v>
      </c>
      <c r="I334" s="177"/>
      <c r="J334" s="152"/>
      <c r="K334" s="178"/>
    </row>
    <row r="335" spans="1:11" s="154" customFormat="1" ht="12.75" outlineLevel="3" x14ac:dyDescent="0.15">
      <c r="A335" s="185"/>
      <c r="B335" s="146"/>
      <c r="C335" s="147"/>
      <c r="D335" s="148"/>
      <c r="E335" s="149"/>
      <c r="F335" s="150"/>
      <c r="G335" s="151"/>
      <c r="H335" s="149"/>
      <c r="I335" s="177"/>
      <c r="J335" s="152"/>
      <c r="K335" s="178"/>
    </row>
    <row r="336" spans="1:11" s="144" customFormat="1" ht="12.75" outlineLevel="3" x14ac:dyDescent="0.15">
      <c r="A336" s="174"/>
      <c r="B336" s="156"/>
      <c r="C336" s="157"/>
      <c r="D336" s="158"/>
      <c r="E336" s="159"/>
      <c r="F336" s="160"/>
      <c r="G336" s="161"/>
      <c r="H336" s="159"/>
      <c r="I336" s="168"/>
      <c r="J336" s="162"/>
      <c r="K336" s="136"/>
    </row>
    <row r="337" spans="1:12" ht="23.25" customHeight="1" outlineLevel="1" x14ac:dyDescent="0.15">
      <c r="A337" s="138"/>
      <c r="B337" s="139" t="s">
        <v>1194</v>
      </c>
      <c r="C337" s="140" t="s">
        <v>1195</v>
      </c>
      <c r="D337" s="164">
        <f>E337/K2*10000</f>
        <v>23.725615361967463</v>
      </c>
      <c r="E337" s="164">
        <f>E338+E340</f>
        <v>276.07889999999998</v>
      </c>
      <c r="F337" s="164">
        <f t="shared" ref="F337:H337" si="119">F338+F340</f>
        <v>2571257</v>
      </c>
      <c r="G337" s="164">
        <f t="shared" si="119"/>
        <v>22.096818908930157</v>
      </c>
      <c r="H337" s="164">
        <f t="shared" si="119"/>
        <v>385687.7</v>
      </c>
      <c r="I337" s="165" t="e">
        <f>SUM(#REF!)</f>
        <v>#REF!</v>
      </c>
      <c r="J337" s="165" t="e">
        <f>SUM(#REF!)</f>
        <v>#REF!</v>
      </c>
      <c r="K337" s="136"/>
    </row>
    <row r="338" spans="1:12" s="144" customFormat="1" ht="12.75" outlineLevel="2" x14ac:dyDescent="0.15">
      <c r="A338" s="174"/>
      <c r="B338" s="156" t="s">
        <v>1196</v>
      </c>
      <c r="C338" s="157"/>
      <c r="D338" s="158">
        <f>E338/K$2*10000</f>
        <v>22.178734827035552</v>
      </c>
      <c r="E338" s="159">
        <v>258.07889999999998</v>
      </c>
      <c r="F338" s="160">
        <f>F339</f>
        <v>2571257</v>
      </c>
      <c r="G338" s="160">
        <f t="shared" ref="G338:H338" si="120">G339</f>
        <v>22.096818908930157</v>
      </c>
      <c r="H338" s="160">
        <f t="shared" si="120"/>
        <v>385687.7</v>
      </c>
      <c r="I338" s="168"/>
      <c r="J338" s="162"/>
      <c r="K338" s="136"/>
    </row>
    <row r="339" spans="1:12" s="154" customFormat="1" ht="23.25" customHeight="1" outlineLevel="3" x14ac:dyDescent="0.15">
      <c r="A339" s="145" t="s">
        <v>1197</v>
      </c>
      <c r="B339" s="146" t="str">
        <f>IF(A339&lt;&gt;0,VLOOKUP(A339,[1]合同台帐!$A$4:$D$893,4,1),"")</f>
        <v>监理工程</v>
      </c>
      <c r="C339" s="147"/>
      <c r="D339" s="148"/>
      <c r="E339" s="149"/>
      <c r="F339" s="150">
        <f>IF(A339&lt;&gt;0,VLOOKUP(A339,[1]合同台帐!$A$4:$J$893,6,1),"")</f>
        <v>2571257</v>
      </c>
      <c r="G339" s="151">
        <f>F339/K$2</f>
        <v>22.096818908930157</v>
      </c>
      <c r="H339" s="149">
        <f>IF(A339&lt;&gt;0,IF($H$2="元",VLOOKUP(A339,[1]合同台帐!$A$4:$K$1093,11,1),VLOOKUP(A339,[1]合同台帐!$A$4:$K$1093,11,1)),0)</f>
        <v>385687.7</v>
      </c>
      <c r="I339" s="150"/>
      <c r="J339" s="152"/>
      <c r="K339" s="153"/>
    </row>
    <row r="340" spans="1:12" s="144" customFormat="1" ht="12.75" outlineLevel="2" x14ac:dyDescent="0.15">
      <c r="A340" s="174"/>
      <c r="B340" s="156" t="s">
        <v>1198</v>
      </c>
      <c r="C340" s="157"/>
      <c r="D340" s="158">
        <f>E340/K$2*10000</f>
        <v>1.5468805349319139</v>
      </c>
      <c r="E340" s="159">
        <v>18</v>
      </c>
      <c r="F340" s="160">
        <f>F341+F342+F343</f>
        <v>0</v>
      </c>
      <c r="G340" s="160">
        <f t="shared" ref="G340:H340" si="121">G341+G342+G343</f>
        <v>0</v>
      </c>
      <c r="H340" s="160">
        <f t="shared" si="121"/>
        <v>0</v>
      </c>
      <c r="I340" s="168"/>
      <c r="J340" s="162"/>
      <c r="K340" s="136"/>
    </row>
    <row r="341" spans="1:12" s="154" customFormat="1" ht="12.75" outlineLevel="3" x14ac:dyDescent="0.15">
      <c r="A341" s="185"/>
      <c r="B341" s="146" t="str">
        <f>IF(A341&lt;&gt;0,VLOOKUP(A341,[1]合同台帐!$A$4:$D$195,4,1),"")</f>
        <v/>
      </c>
      <c r="C341" s="147"/>
      <c r="D341" s="148"/>
      <c r="E341" s="149"/>
      <c r="F341" s="150">
        <f>IF(A341&lt;&gt;0,IF(VLOOKUP(A341,[1]合同台帐!$A$4:$G$195,7,1),IF($H$2="元",VLOOKUP(A341,[1]合同台帐!$A$4:$G$195,7,1),VLOOKUP(A341,[1]合同台帐!$A$4:$G$195,7,1)),IF($H$2="元",VLOOKUP(A341,[1]合同台帐!$A$4:$F$195,6,1),VLOOKUP(A341,[1]合同台帐!$A$4:$F$195,6,1))),0)</f>
        <v>0</v>
      </c>
      <c r="G341" s="151">
        <f>F341/K$2</f>
        <v>0</v>
      </c>
      <c r="H341" s="149">
        <f>IF(A341&lt;&gt;0,IF($H$2="元",VLOOKUP(A341,[1]合同台帐!$A$4:$K$1093,11,1),VLOOKUP(A341,[1]合同台帐!$A$4:$K$1093,11,1)),0)</f>
        <v>0</v>
      </c>
      <c r="I341" s="177"/>
      <c r="J341" s="152"/>
      <c r="K341" s="178"/>
    </row>
    <row r="342" spans="1:12" s="154" customFormat="1" ht="12.75" outlineLevel="3" x14ac:dyDescent="0.15">
      <c r="A342" s="185"/>
      <c r="B342" s="146"/>
      <c r="C342" s="147"/>
      <c r="D342" s="148"/>
      <c r="E342" s="149"/>
      <c r="F342" s="150"/>
      <c r="G342" s="151"/>
      <c r="H342" s="149"/>
      <c r="I342" s="177"/>
      <c r="J342" s="152"/>
      <c r="K342" s="178"/>
    </row>
    <row r="343" spans="1:12" s="144" customFormat="1" ht="12.75" outlineLevel="3" x14ac:dyDescent="0.15">
      <c r="A343" s="174"/>
      <c r="B343" s="156"/>
      <c r="C343" s="157"/>
      <c r="D343" s="158"/>
      <c r="E343" s="159"/>
      <c r="F343" s="160"/>
      <c r="G343" s="161"/>
      <c r="H343" s="159"/>
      <c r="I343" s="168"/>
      <c r="J343" s="162"/>
      <c r="K343" s="136"/>
    </row>
    <row r="344" spans="1:12" s="144" customFormat="1" ht="12.75" outlineLevel="1" x14ac:dyDescent="0.15">
      <c r="A344" s="194"/>
      <c r="B344" s="139" t="s">
        <v>1199</v>
      </c>
      <c r="C344" s="140"/>
      <c r="D344" s="164">
        <f>E344/K2*10000</f>
        <v>9.7763966999194434</v>
      </c>
      <c r="E344" s="164">
        <v>113.76130000000001</v>
      </c>
      <c r="F344" s="165">
        <f>SUM(F345:F346)</f>
        <v>0</v>
      </c>
      <c r="G344" s="165">
        <f t="shared" ref="G344:H344" si="122">SUM(G345:G346)</f>
        <v>0</v>
      </c>
      <c r="H344" s="165">
        <f t="shared" si="122"/>
        <v>0</v>
      </c>
      <c r="I344" s="142">
        <f>F344-E344*10000</f>
        <v>-1137613</v>
      </c>
      <c r="J344" s="143">
        <f>G344-D344</f>
        <v>-9.7763966999194434</v>
      </c>
      <c r="K344" s="136"/>
    </row>
    <row r="345" spans="1:12" s="144" customFormat="1" ht="12.75" outlineLevel="2" x14ac:dyDescent="0.15">
      <c r="A345" s="195"/>
      <c r="B345" s="170"/>
      <c r="C345" s="196"/>
      <c r="D345" s="197"/>
      <c r="E345" s="190"/>
      <c r="F345" s="160"/>
      <c r="G345" s="168"/>
      <c r="H345" s="190"/>
      <c r="I345" s="190"/>
      <c r="J345" s="172"/>
      <c r="K345" s="136"/>
    </row>
    <row r="346" spans="1:12" s="144" customFormat="1" ht="12.75" outlineLevel="2" x14ac:dyDescent="0.15">
      <c r="A346" s="195"/>
      <c r="B346" s="170"/>
      <c r="C346" s="196"/>
      <c r="D346" s="197"/>
      <c r="E346" s="190"/>
      <c r="F346" s="160"/>
      <c r="G346" s="168"/>
      <c r="H346" s="190"/>
      <c r="I346" s="190"/>
      <c r="J346" s="172"/>
      <c r="K346" s="136"/>
    </row>
    <row r="347" spans="1:12" s="144" customFormat="1" ht="12.75" outlineLevel="1" x14ac:dyDescent="0.15">
      <c r="A347" s="198"/>
      <c r="B347" s="139" t="s">
        <v>1200</v>
      </c>
      <c r="C347" s="198"/>
      <c r="D347" s="198"/>
      <c r="E347" s="138"/>
      <c r="F347" s="165">
        <f>SUM(F348)</f>
        <v>0</v>
      </c>
      <c r="G347" s="165"/>
      <c r="H347" s="165">
        <f>SUM(H348)</f>
        <v>0</v>
      </c>
      <c r="I347" s="164"/>
      <c r="J347" s="165"/>
      <c r="K347" s="136"/>
    </row>
    <row r="348" spans="1:12" s="154" customFormat="1" ht="23.25" customHeight="1" outlineLevel="3" x14ac:dyDescent="0.15">
      <c r="A348" s="185"/>
      <c r="B348" s="146" t="str">
        <f>IF(A348&lt;&gt;0,VLOOKUP(A348,[1]合同台帐!$A$4:$D$893,4,1),"")</f>
        <v/>
      </c>
      <c r="C348" s="147"/>
      <c r="D348" s="148"/>
      <c r="E348" s="149"/>
      <c r="F348" s="150" t="str">
        <f>IF(A348&lt;&gt;0,VLOOKUP(A348,[1]合同台帐!$A$4:$J$893,6,1),"")</f>
        <v/>
      </c>
      <c r="G348" s="151"/>
      <c r="H348" s="149">
        <f>IF(A348&lt;&gt;0,IF($H$2="元",VLOOKUP(A348,[1]合同台帐!$A$4:$K$1093,11,1),VLOOKUP(A348,[1]合同台帐!$A$4:$K$1093,11,1)),0)</f>
        <v>0</v>
      </c>
      <c r="I348" s="150"/>
      <c r="J348" s="152"/>
      <c r="K348" s="153"/>
    </row>
    <row r="349" spans="1:12" s="137" customFormat="1" ht="12.75" x14ac:dyDescent="0.15">
      <c r="A349" s="131"/>
      <c r="B349" s="132" t="s">
        <v>1201</v>
      </c>
      <c r="C349" s="133" t="s">
        <v>1202</v>
      </c>
      <c r="D349" s="135">
        <f t="shared" ref="D349:H349" si="123">D350+D373+D403+D416+D425+D435+D455+D466+D476</f>
        <v>582.65104729827851</v>
      </c>
      <c r="E349" s="135">
        <f t="shared" si="123"/>
        <v>6779.9151999999985</v>
      </c>
      <c r="F349" s="135">
        <f t="shared" si="123"/>
        <v>43337217.229999997</v>
      </c>
      <c r="G349" s="135" t="e">
        <f t="shared" si="123"/>
        <v>#VALUE!</v>
      </c>
      <c r="H349" s="135">
        <f t="shared" si="123"/>
        <v>27408026.199999999</v>
      </c>
      <c r="I349" s="192">
        <f>F349-E349*10000</f>
        <v>-24461934.769999988</v>
      </c>
      <c r="J349" s="134" t="e">
        <f>G349-D349</f>
        <v>#VALUE!</v>
      </c>
      <c r="K349" s="136"/>
    </row>
    <row r="350" spans="1:12" ht="12.75" outlineLevel="1" x14ac:dyDescent="0.15">
      <c r="A350" s="138"/>
      <c r="B350" s="139" t="s">
        <v>1203</v>
      </c>
      <c r="C350" s="140" t="s">
        <v>1204</v>
      </c>
      <c r="D350" s="165">
        <f t="shared" ref="D350:J350" si="124">D351+D354+D357+D360+D363+D366+D370</f>
        <v>137.69502081499633</v>
      </c>
      <c r="E350" s="165">
        <f t="shared" si="124"/>
        <v>1602.2636</v>
      </c>
      <c r="F350" s="165">
        <f t="shared" si="124"/>
        <v>7006790</v>
      </c>
      <c r="G350" s="165" t="e">
        <f t="shared" si="124"/>
        <v>#VALUE!</v>
      </c>
      <c r="H350" s="165">
        <f t="shared" si="124"/>
        <v>6014891</v>
      </c>
      <c r="I350" s="165">
        <f t="shared" si="124"/>
        <v>0</v>
      </c>
      <c r="J350" s="165">
        <f t="shared" si="124"/>
        <v>0</v>
      </c>
      <c r="K350" s="136"/>
    </row>
    <row r="351" spans="1:12" ht="12.75" outlineLevel="2" x14ac:dyDescent="0.15">
      <c r="A351" s="174"/>
      <c r="B351" s="156" t="s">
        <v>1205</v>
      </c>
      <c r="C351" s="157"/>
      <c r="D351" s="158">
        <f>E351/K$2*10000</f>
        <v>106.62118150391507</v>
      </c>
      <c r="E351" s="159">
        <v>1240.6784</v>
      </c>
      <c r="F351" s="160">
        <f>SUM(F352:F353)</f>
        <v>6660990</v>
      </c>
      <c r="G351" s="160">
        <f t="shared" ref="G351:J351" si="125">SUM(G352:G353)</f>
        <v>57.243087635422945</v>
      </c>
      <c r="H351" s="160">
        <f t="shared" si="125"/>
        <v>5994891</v>
      </c>
      <c r="I351" s="160">
        <f t="shared" si="125"/>
        <v>0</v>
      </c>
      <c r="J351" s="160">
        <f t="shared" si="125"/>
        <v>0</v>
      </c>
      <c r="K351" s="136"/>
      <c r="L351" s="199"/>
    </row>
    <row r="352" spans="1:12" s="154" customFormat="1" ht="23.25" customHeight="1" outlineLevel="3" x14ac:dyDescent="0.15">
      <c r="A352" s="145" t="s">
        <v>1206</v>
      </c>
      <c r="B352" s="146" t="str">
        <f>IF(A352&lt;&gt;0,VLOOKUP(A352,[1]合同台帐!$A$4:$D$893,4,1),"")</f>
        <v>一期电力配套费</v>
      </c>
      <c r="C352" s="147"/>
      <c r="D352" s="148"/>
      <c r="E352" s="149"/>
      <c r="F352" s="150">
        <f>IF(A352&lt;&gt;0,VLOOKUP(A352,[1]合同台帐!$A$4:$J$893,6,1),"")</f>
        <v>6013035</v>
      </c>
      <c r="G352" s="151">
        <f>F352/K2</f>
        <v>51.674704429801785</v>
      </c>
      <c r="H352" s="149">
        <f>IF(A352&lt;&gt;0,IF($H$2="元",VLOOKUP(A352,[1]合同台帐!$A$4:$K$1093,11,1),VLOOKUP(A352,[1]合同台帐!$A$4:$K$1093,11,1)),0)</f>
        <v>5411731.5</v>
      </c>
      <c r="I352" s="150"/>
      <c r="J352" s="152"/>
      <c r="K352" s="153"/>
    </row>
    <row r="353" spans="1:11" s="154" customFormat="1" ht="23.25" customHeight="1" outlineLevel="3" x14ac:dyDescent="0.15">
      <c r="A353" s="145" t="s">
        <v>1207</v>
      </c>
      <c r="B353" s="146" t="str">
        <f>IF(A353&lt;&gt;0,VLOOKUP(A353,[1]合同台帐!$A$4:$D$893,4,1),"")</f>
        <v>一期电力配套费（泵房、供热站动力负荷）</v>
      </c>
      <c r="C353" s="147"/>
      <c r="D353" s="148"/>
      <c r="E353" s="149"/>
      <c r="F353" s="150">
        <f>IF(A353&lt;&gt;0,VLOOKUP(A353,[1]合同台帐!$A$4:$J$893,6,1),"")</f>
        <v>647955</v>
      </c>
      <c r="G353" s="151">
        <f>F353/K2</f>
        <v>5.5683832056211573</v>
      </c>
      <c r="H353" s="149">
        <f>IF(A353&lt;&gt;0,IF($H$2="元",VLOOKUP(A353,[1]合同台帐!$A$4:$K$1093,11,1),VLOOKUP(A353,[1]合同台帐!$A$4:$K$1093,11,1)),0)</f>
        <v>583159.5</v>
      </c>
      <c r="I353" s="150"/>
      <c r="J353" s="152"/>
      <c r="K353" s="153"/>
    </row>
    <row r="354" spans="1:11" ht="24" customHeight="1" outlineLevel="2" x14ac:dyDescent="0.15">
      <c r="A354" s="174"/>
      <c r="B354" s="156" t="s">
        <v>1208</v>
      </c>
      <c r="C354" s="157"/>
      <c r="D354" s="158">
        <f>E354/K$2*10000</f>
        <v>0</v>
      </c>
      <c r="E354" s="159">
        <v>0</v>
      </c>
      <c r="F354" s="160">
        <f>SUM(F355:F356)</f>
        <v>0</v>
      </c>
      <c r="G354" s="160">
        <f t="shared" ref="G354:H354" si="126">SUM(G355:G356)</f>
        <v>0</v>
      </c>
      <c r="H354" s="160">
        <f t="shared" si="126"/>
        <v>0</v>
      </c>
      <c r="I354" s="177"/>
      <c r="J354" s="162"/>
      <c r="K354" s="136"/>
    </row>
    <row r="355" spans="1:11" ht="12.75" outlineLevel="3" x14ac:dyDescent="0.15">
      <c r="A355" s="174"/>
      <c r="B355" s="156"/>
      <c r="C355" s="157"/>
      <c r="D355" s="158"/>
      <c r="E355" s="159"/>
      <c r="F355" s="160"/>
      <c r="G355" s="161"/>
      <c r="H355" s="159"/>
      <c r="I355" s="177"/>
      <c r="J355" s="162"/>
      <c r="K355" s="136"/>
    </row>
    <row r="356" spans="1:11" ht="12.75" outlineLevel="3" x14ac:dyDescent="0.15">
      <c r="A356" s="174"/>
      <c r="B356" s="156"/>
      <c r="C356" s="157"/>
      <c r="D356" s="158"/>
      <c r="E356" s="159"/>
      <c r="F356" s="160"/>
      <c r="G356" s="161"/>
      <c r="H356" s="159"/>
      <c r="I356" s="177"/>
      <c r="J356" s="162"/>
      <c r="K356" s="136"/>
    </row>
    <row r="357" spans="1:11" ht="12.75" outlineLevel="2" x14ac:dyDescent="0.15">
      <c r="A357" s="174"/>
      <c r="B357" s="156" t="s">
        <v>1209</v>
      </c>
      <c r="C357" s="157"/>
      <c r="D357" s="158">
        <f>E357/K$2*10000</f>
        <v>0.89313444574668854</v>
      </c>
      <c r="E357" s="159">
        <v>10.392799999999999</v>
      </c>
      <c r="F357" s="160">
        <f>SUM(F358:F359)</f>
        <v>0</v>
      </c>
      <c r="G357" s="160">
        <f t="shared" ref="G357:H357" si="127">SUM(G358:G359)</f>
        <v>0</v>
      </c>
      <c r="H357" s="160">
        <f t="shared" si="127"/>
        <v>0</v>
      </c>
      <c r="I357" s="160"/>
      <c r="J357" s="162"/>
      <c r="K357" s="136"/>
    </row>
    <row r="358" spans="1:11" ht="12.75" outlineLevel="3" x14ac:dyDescent="0.15">
      <c r="A358" s="174"/>
      <c r="B358" s="156"/>
      <c r="C358" s="157"/>
      <c r="D358" s="158"/>
      <c r="E358" s="159"/>
      <c r="F358" s="160"/>
      <c r="G358" s="161"/>
      <c r="H358" s="159">
        <f>IF(A358&lt;&gt;0,IF($H$2="元",VLOOKUP(A358,[1]合同台帐!$A$4:$K$1093,11,1),VLOOKUP(A358,[1]合同台帐!$A$4:$K$1093,11,1)),0)</f>
        <v>0</v>
      </c>
      <c r="I358" s="177"/>
      <c r="J358" s="162"/>
      <c r="K358" s="136"/>
    </row>
    <row r="359" spans="1:11" ht="12.75" outlineLevel="3" x14ac:dyDescent="0.15">
      <c r="A359" s="174"/>
      <c r="C359" s="157"/>
      <c r="D359" s="158"/>
      <c r="E359" s="159"/>
      <c r="F359" s="160"/>
      <c r="G359" s="161"/>
      <c r="H359" s="159">
        <f>IF(A359&lt;&gt;0,IF($H$2="元",VLOOKUP(A359,[1]合同台帐!$A$4:$K$1093,11,1),VLOOKUP(A359,[1]合同台帐!$A$4:$K$1093,11,1)),0)</f>
        <v>0</v>
      </c>
      <c r="I359" s="177"/>
      <c r="J359" s="162"/>
      <c r="K359" s="136"/>
    </row>
    <row r="360" spans="1:11" ht="12.75" outlineLevel="2" x14ac:dyDescent="0.15">
      <c r="A360" s="174"/>
      <c r="B360" s="156" t="s">
        <v>1210</v>
      </c>
      <c r="C360" s="157"/>
      <c r="D360" s="158">
        <f>E360/K$2*10000</f>
        <v>1.1781557780886436</v>
      </c>
      <c r="E360" s="159">
        <v>13.7094</v>
      </c>
      <c r="F360" s="160">
        <f>SUM(F361:F362)</f>
        <v>0</v>
      </c>
      <c r="G360" s="160">
        <f t="shared" ref="G360:H360" si="128">SUM(G361:G362)</f>
        <v>0</v>
      </c>
      <c r="H360" s="160">
        <f t="shared" si="128"/>
        <v>0</v>
      </c>
      <c r="I360" s="177"/>
      <c r="J360" s="162"/>
      <c r="K360" s="136"/>
    </row>
    <row r="361" spans="1:11" ht="12.75" outlineLevel="3" x14ac:dyDescent="0.15">
      <c r="A361" s="174"/>
      <c r="B361" s="156"/>
      <c r="C361" s="157"/>
      <c r="D361" s="158"/>
      <c r="E361" s="159"/>
      <c r="F361" s="160"/>
      <c r="G361" s="161"/>
      <c r="H361" s="159"/>
      <c r="I361" s="177"/>
      <c r="J361" s="162"/>
      <c r="K361" s="136"/>
    </row>
    <row r="362" spans="1:11" ht="12.75" outlineLevel="3" x14ac:dyDescent="0.15">
      <c r="A362" s="174"/>
      <c r="B362" s="156"/>
      <c r="C362" s="157"/>
      <c r="D362" s="158"/>
      <c r="E362" s="159"/>
      <c r="F362" s="160"/>
      <c r="G362" s="161"/>
      <c r="H362" s="159"/>
      <c r="I362" s="177"/>
      <c r="J362" s="162"/>
      <c r="K362" s="136"/>
    </row>
    <row r="363" spans="1:11" ht="12.75" outlineLevel="2" x14ac:dyDescent="0.15">
      <c r="A363" s="174"/>
      <c r="B363" s="156" t="s">
        <v>1211</v>
      </c>
      <c r="C363" s="157"/>
      <c r="D363" s="158">
        <f>E363/K$2*10000</f>
        <v>8.0000020625073791</v>
      </c>
      <c r="E363" s="159">
        <v>93.090599999999995</v>
      </c>
      <c r="F363" s="160">
        <f>SUM(F364:F365)</f>
        <v>0</v>
      </c>
      <c r="G363" s="160">
        <f t="shared" ref="G363:H363" si="129">SUM(G364:G365)</f>
        <v>0</v>
      </c>
      <c r="H363" s="160">
        <f t="shared" si="129"/>
        <v>0</v>
      </c>
      <c r="I363" s="177"/>
      <c r="J363" s="162"/>
      <c r="K363" s="136"/>
    </row>
    <row r="364" spans="1:11" ht="12.75" outlineLevel="3" x14ac:dyDescent="0.15">
      <c r="A364" s="174"/>
      <c r="B364" s="156"/>
      <c r="C364" s="157"/>
      <c r="D364" s="158"/>
      <c r="E364" s="159"/>
      <c r="F364" s="160"/>
      <c r="G364" s="161"/>
      <c r="H364" s="159"/>
      <c r="I364" s="177"/>
      <c r="J364" s="162"/>
      <c r="K364" s="136"/>
    </row>
    <row r="365" spans="1:11" ht="12.75" outlineLevel="3" x14ac:dyDescent="0.15">
      <c r="A365" s="174"/>
      <c r="B365" s="156"/>
      <c r="C365" s="157"/>
      <c r="D365" s="158"/>
      <c r="E365" s="159"/>
      <c r="F365" s="160"/>
      <c r="G365" s="161"/>
      <c r="H365" s="159"/>
      <c r="I365" s="177"/>
      <c r="J365" s="162"/>
      <c r="K365" s="136"/>
    </row>
    <row r="366" spans="1:11" ht="24" outlineLevel="2" x14ac:dyDescent="0.15">
      <c r="A366" s="174"/>
      <c r="B366" s="156" t="s">
        <v>1212</v>
      </c>
      <c r="C366" s="157"/>
      <c r="D366" s="158">
        <f>E366/K$2*10000</f>
        <v>4.0000010312536896</v>
      </c>
      <c r="E366" s="159">
        <v>46.545299999999997</v>
      </c>
      <c r="F366" s="161">
        <f>SUM(F367:F369)</f>
        <v>345800</v>
      </c>
      <c r="G366" s="161" t="e">
        <f t="shared" ref="G366:H366" si="130">SUM(G367:G369)</f>
        <v>#VALUE!</v>
      </c>
      <c r="H366" s="161">
        <f t="shared" si="130"/>
        <v>20000</v>
      </c>
      <c r="I366" s="177"/>
      <c r="J366" s="162"/>
      <c r="K366" s="136"/>
    </row>
    <row r="367" spans="1:11" s="154" customFormat="1" ht="23.25" customHeight="1" outlineLevel="3" x14ac:dyDescent="0.15">
      <c r="A367" s="145" t="s">
        <v>1213</v>
      </c>
      <c r="B367" s="146" t="str">
        <f>IF(A367&lt;&gt;0,VLOOKUP(A367,[1]合同台帐!$A$4:$D$893,4,1),"")</f>
        <v>配电站电力设计费</v>
      </c>
      <c r="C367" s="147"/>
      <c r="D367" s="148"/>
      <c r="E367" s="149"/>
      <c r="F367" s="150">
        <f>IF(A367&lt;&gt;0,VLOOKUP(A367,[1]合同台帐!$A$4:$J$893,6,1),"")</f>
        <v>20000</v>
      </c>
      <c r="G367" s="151">
        <f>F367/K2</f>
        <v>0.17187561499243489</v>
      </c>
      <c r="H367" s="149">
        <f>IF(A367&lt;&gt;0,IF($H$2="元",VLOOKUP(A367,[1]合同台帐!$A$4:$K$1093,11,1),VLOOKUP(A367,[1]合同台帐!$A$4:$K$1093,11,1)),0)</f>
        <v>20000</v>
      </c>
      <c r="I367" s="150"/>
      <c r="J367" s="152"/>
      <c r="K367" s="153"/>
    </row>
    <row r="368" spans="1:11" s="154" customFormat="1" ht="23.25" customHeight="1" outlineLevel="3" x14ac:dyDescent="0.15">
      <c r="A368" s="145" t="s">
        <v>1214</v>
      </c>
      <c r="B368" s="146" t="str">
        <f>IF(A368&lt;&gt;0,VLOOKUP(A368,[1]合同台帐!$A$4:$D$893,4,1),"")</f>
        <v>土建站、CF箱基础、箱式站基础、环网柜基础</v>
      </c>
      <c r="C368" s="147"/>
      <c r="D368" s="148"/>
      <c r="E368" s="149"/>
      <c r="F368" s="150">
        <f>IF(A368&lt;&gt;0,VLOOKUP(A368,[1]合同台帐!$A$4:$J$893,6,1),"")</f>
        <v>325800</v>
      </c>
      <c r="G368" s="151" t="e">
        <f>F368/K3</f>
        <v>#VALUE!</v>
      </c>
      <c r="H368" s="149">
        <f>IF(A368&lt;&gt;0,IF($H$2="元",VLOOKUP(A368,[1]合同台帐!$A$4:$K$1093,11,1),VLOOKUP(A368,[1]合同台帐!$A$4:$K$1093,11,1)),0)</f>
        <v>0</v>
      </c>
      <c r="I368" s="150"/>
      <c r="J368" s="152"/>
      <c r="K368" s="153"/>
    </row>
    <row r="369" spans="1:11" ht="12.75" outlineLevel="3" x14ac:dyDescent="0.15">
      <c r="A369" s="174"/>
      <c r="B369" s="156"/>
      <c r="C369" s="157"/>
      <c r="D369" s="158"/>
      <c r="E369" s="159"/>
      <c r="F369" s="160"/>
      <c r="G369" s="161"/>
      <c r="H369" s="159"/>
      <c r="I369" s="177"/>
      <c r="J369" s="162"/>
      <c r="K369" s="136"/>
    </row>
    <row r="370" spans="1:11" ht="12.75" outlineLevel="2" x14ac:dyDescent="0.15">
      <c r="A370" s="174"/>
      <c r="B370" s="156" t="s">
        <v>1215</v>
      </c>
      <c r="C370" s="157"/>
      <c r="D370" s="158">
        <f>E370/K$2*10000</f>
        <v>17.002545993484883</v>
      </c>
      <c r="E370" s="159">
        <v>197.84710000000001</v>
      </c>
      <c r="F370" s="160">
        <f>SUM(F371:F372)</f>
        <v>0</v>
      </c>
      <c r="G370" s="160">
        <f t="shared" ref="G370:H370" si="131">SUM(G371:G372)</f>
        <v>0</v>
      </c>
      <c r="H370" s="160">
        <f t="shared" si="131"/>
        <v>0</v>
      </c>
      <c r="I370" s="177"/>
      <c r="J370" s="162"/>
      <c r="K370" s="136"/>
    </row>
    <row r="371" spans="1:11" ht="12.75" outlineLevel="3" x14ac:dyDescent="0.15">
      <c r="A371" s="174"/>
      <c r="B371" s="156"/>
      <c r="C371" s="157"/>
      <c r="D371" s="158"/>
      <c r="E371" s="159"/>
      <c r="F371" s="160"/>
      <c r="G371" s="161"/>
      <c r="H371" s="159"/>
      <c r="I371" s="168"/>
      <c r="J371" s="162"/>
      <c r="K371" s="136"/>
    </row>
    <row r="372" spans="1:11" ht="12.75" outlineLevel="3" x14ac:dyDescent="0.15">
      <c r="A372" s="174"/>
      <c r="B372" s="156"/>
      <c r="C372" s="157"/>
      <c r="D372" s="158"/>
      <c r="E372" s="159"/>
      <c r="F372" s="160"/>
      <c r="G372" s="161"/>
      <c r="H372" s="159"/>
      <c r="I372" s="168"/>
      <c r="J372" s="162"/>
      <c r="K372" s="136"/>
    </row>
    <row r="373" spans="1:11" ht="12.75" outlineLevel="1" x14ac:dyDescent="0.15">
      <c r="A373" s="138"/>
      <c r="B373" s="139" t="s">
        <v>1216</v>
      </c>
      <c r="C373" s="140" t="s">
        <v>1217</v>
      </c>
      <c r="D373" s="165">
        <f t="shared" ref="D373:H373" si="132">D374+D377+D380+D383+D399+D386+D390+D393+D396</f>
        <v>90.781580296591997</v>
      </c>
      <c r="E373" s="165">
        <f t="shared" si="132"/>
        <v>1056.3637000000001</v>
      </c>
      <c r="F373" s="165">
        <f t="shared" si="132"/>
        <v>10607953.460000001</v>
      </c>
      <c r="G373" s="165" t="e">
        <f t="shared" si="132"/>
        <v>#DIV/0!</v>
      </c>
      <c r="H373" s="165">
        <f t="shared" si="132"/>
        <v>6691013</v>
      </c>
      <c r="I373" s="200">
        <f>F373-E373*10000</f>
        <v>44316.459999999031</v>
      </c>
      <c r="J373" s="143" t="e">
        <f>G373-D373</f>
        <v>#DIV/0!</v>
      </c>
      <c r="K373" s="136"/>
    </row>
    <row r="374" spans="1:11" ht="12.75" outlineLevel="2" x14ac:dyDescent="0.15">
      <c r="A374" s="174"/>
      <c r="B374" s="156" t="s">
        <v>1218</v>
      </c>
      <c r="C374" s="157"/>
      <c r="D374" s="158">
        <f>E374/K$2*10000</f>
        <v>31.94205179265407</v>
      </c>
      <c r="E374" s="159">
        <v>371.68799999999999</v>
      </c>
      <c r="F374" s="160">
        <f>SUM(F375:F376)</f>
        <v>1888940.46</v>
      </c>
      <c r="G374" s="160">
        <f t="shared" ref="G374:J374" si="133">SUM(G375:G376)</f>
        <v>16.233140162329644</v>
      </c>
      <c r="H374" s="160">
        <f t="shared" si="133"/>
        <v>650000</v>
      </c>
      <c r="I374" s="160">
        <f t="shared" si="133"/>
        <v>0</v>
      </c>
      <c r="J374" s="160">
        <f t="shared" si="133"/>
        <v>0</v>
      </c>
      <c r="K374" s="136"/>
    </row>
    <row r="375" spans="1:11" s="144" customFormat="1" ht="12.75" outlineLevel="3" x14ac:dyDescent="0.15">
      <c r="A375" s="145" t="s">
        <v>1219</v>
      </c>
      <c r="B375" s="146" t="str">
        <f>IF(A375&lt;&gt;0,VLOOKUP(A375,[1]合同台帐!$A$4:$D$893,4,1),"")</f>
        <v>一期自来水配套工程</v>
      </c>
      <c r="C375" s="147"/>
      <c r="D375" s="148"/>
      <c r="E375" s="149"/>
      <c r="F375" s="150">
        <f>IF(A375&lt;&gt;0,VLOOKUP(A375,[1]合同台帐!$A$4:$J$893,6,1),"")</f>
        <v>1888940.46</v>
      </c>
      <c r="G375" s="151">
        <f>F375/K2</f>
        <v>16.233140162329644</v>
      </c>
      <c r="H375" s="149">
        <f>IF(A375&lt;&gt;0,IF($H$2="元",VLOOKUP(A375,[1]合同台帐!$A$4:$K$1093,11,1),VLOOKUP(A375,[1]合同台帐!$A$4:$K$1093,11,1)),0)</f>
        <v>650000</v>
      </c>
      <c r="I375" s="177"/>
      <c r="J375" s="162"/>
      <c r="K375" s="136"/>
    </row>
    <row r="376" spans="1:11" s="144" customFormat="1" ht="17.25" customHeight="1" outlineLevel="3" x14ac:dyDescent="0.15">
      <c r="A376" s="155"/>
      <c r="B376" s="156"/>
      <c r="C376" s="157"/>
      <c r="D376" s="158"/>
      <c r="E376" s="159"/>
      <c r="F376" s="160"/>
      <c r="G376" s="161"/>
      <c r="H376" s="159"/>
      <c r="I376" s="177"/>
      <c r="J376" s="162"/>
      <c r="K376" s="136"/>
    </row>
    <row r="377" spans="1:11" ht="24" outlineLevel="2" x14ac:dyDescent="0.15">
      <c r="A377" s="174"/>
      <c r="B377" s="156" t="s">
        <v>1220</v>
      </c>
      <c r="C377" s="157"/>
      <c r="D377" s="158">
        <f>E377/K$2*10000</f>
        <v>26.79410212264666</v>
      </c>
      <c r="E377" s="159">
        <v>311.78480000000002</v>
      </c>
      <c r="F377" s="160">
        <f>SUM(F378:F379)</f>
        <v>5700000</v>
      </c>
      <c r="G377" s="160" t="e">
        <f t="shared" ref="G377:J377" si="134">SUM(G378:G379)</f>
        <v>#DIV/0!</v>
      </c>
      <c r="H377" s="160">
        <f t="shared" si="134"/>
        <v>4200000</v>
      </c>
      <c r="I377" s="160">
        <f t="shared" si="134"/>
        <v>0</v>
      </c>
      <c r="J377" s="160">
        <f t="shared" si="134"/>
        <v>0</v>
      </c>
      <c r="K377" s="136"/>
    </row>
    <row r="378" spans="1:11" s="144" customFormat="1" ht="48" outlineLevel="3" x14ac:dyDescent="0.15">
      <c r="A378" s="145" t="s">
        <v>1221</v>
      </c>
      <c r="B378" s="146" t="str">
        <f>IF(A378&lt;&gt;0,VLOOKUP(A378,[1]合同台帐!$A$4:$D$893,4,1),"")</f>
        <v>一期中水、自来水配套工程（含中水一次网，中水、自来水二次网，中水、自来水水表，室外消火栓、消防防险准备金）</v>
      </c>
      <c r="C378" s="147"/>
      <c r="D378" s="148"/>
      <c r="E378" s="149"/>
      <c r="F378" s="150">
        <f>IF(A378&lt;&gt;0,VLOOKUP(A378,[1]合同台帐!$A$4:$J$893,6,1),"")</f>
        <v>5700000</v>
      </c>
      <c r="G378" s="151" t="e">
        <f>F378/K5</f>
        <v>#DIV/0!</v>
      </c>
      <c r="H378" s="149">
        <f>IF(A378&lt;&gt;0,IF($H$2="元",VLOOKUP(A378,[1]合同台帐!$A$4:$K$1093,11,1),VLOOKUP(A378,[1]合同台帐!$A$4:$K$1093,11,1)),0)</f>
        <v>4200000</v>
      </c>
      <c r="I378" s="177"/>
      <c r="J378" s="162"/>
      <c r="K378" s="136"/>
    </row>
    <row r="379" spans="1:11" s="144" customFormat="1" ht="17.25" customHeight="1" outlineLevel="3" x14ac:dyDescent="0.15">
      <c r="A379" s="155"/>
      <c r="B379" s="156"/>
      <c r="C379" s="157"/>
      <c r="D379" s="158"/>
      <c r="E379" s="159"/>
      <c r="F379" s="160"/>
      <c r="G379" s="161"/>
      <c r="H379" s="159"/>
      <c r="I379" s="177"/>
      <c r="J379" s="162"/>
      <c r="K379" s="136"/>
    </row>
    <row r="380" spans="1:11" ht="12.75" outlineLevel="2" x14ac:dyDescent="0.15">
      <c r="A380" s="174"/>
      <c r="B380" s="156" t="s">
        <v>1222</v>
      </c>
      <c r="C380" s="157"/>
      <c r="D380" s="158">
        <f>E380/K$2*10000</f>
        <v>8.1653807792531001</v>
      </c>
      <c r="E380" s="159">
        <v>95.015000000000001</v>
      </c>
      <c r="F380" s="160">
        <f>SUM(F381:F382)</f>
        <v>0</v>
      </c>
      <c r="G380" s="160">
        <f t="shared" ref="G380:H380" si="135">SUM(G381:G382)</f>
        <v>0</v>
      </c>
      <c r="H380" s="160">
        <f t="shared" si="135"/>
        <v>0</v>
      </c>
      <c r="I380" s="177"/>
      <c r="J380" s="162"/>
      <c r="K380" s="136"/>
    </row>
    <row r="381" spans="1:11" s="144" customFormat="1" ht="12.75" outlineLevel="3" x14ac:dyDescent="0.15">
      <c r="A381" s="155"/>
      <c r="B381" s="156"/>
      <c r="C381" s="157"/>
      <c r="D381" s="158"/>
      <c r="E381" s="159"/>
      <c r="F381" s="160"/>
      <c r="G381" s="161"/>
      <c r="H381" s="159"/>
      <c r="I381" s="177"/>
      <c r="J381" s="162"/>
      <c r="K381" s="136"/>
    </row>
    <row r="382" spans="1:11" ht="12.75" outlineLevel="3" x14ac:dyDescent="0.15">
      <c r="A382" s="174"/>
      <c r="B382" s="156"/>
      <c r="C382" s="157"/>
      <c r="D382" s="158"/>
      <c r="E382" s="159"/>
      <c r="F382" s="160"/>
      <c r="G382" s="161"/>
      <c r="H382" s="159"/>
      <c r="I382" s="177"/>
      <c r="J382" s="162"/>
      <c r="K382" s="136"/>
    </row>
    <row r="383" spans="1:11" ht="12.75" outlineLevel="2" x14ac:dyDescent="0.15">
      <c r="A383" s="174"/>
      <c r="B383" s="156" t="s">
        <v>1223</v>
      </c>
      <c r="C383" s="157"/>
      <c r="D383" s="158">
        <f>E383/K$2*10000</f>
        <v>4.4656808225141935</v>
      </c>
      <c r="E383" s="159">
        <v>51.964100000000002</v>
      </c>
      <c r="F383" s="160">
        <f>SUM(F384:F385)</f>
        <v>0</v>
      </c>
      <c r="G383" s="160">
        <f t="shared" ref="G383:H383" si="136">SUM(G384:G385)</f>
        <v>0</v>
      </c>
      <c r="H383" s="160">
        <f t="shared" si="136"/>
        <v>0</v>
      </c>
      <c r="I383" s="177"/>
      <c r="J383" s="162"/>
      <c r="K383" s="136"/>
    </row>
    <row r="384" spans="1:11" s="144" customFormat="1" ht="12.75" outlineLevel="3" x14ac:dyDescent="0.15">
      <c r="A384" s="155"/>
      <c r="B384" s="156"/>
      <c r="C384" s="157"/>
      <c r="D384" s="158"/>
      <c r="E384" s="159"/>
      <c r="F384" s="160"/>
      <c r="G384" s="161"/>
      <c r="H384" s="159"/>
      <c r="I384" s="177"/>
      <c r="J384" s="162"/>
      <c r="K384" s="136"/>
    </row>
    <row r="385" spans="1:11" ht="12.75" outlineLevel="3" x14ac:dyDescent="0.15">
      <c r="A385" s="174"/>
      <c r="B385" s="156"/>
      <c r="C385" s="157"/>
      <c r="D385" s="158"/>
      <c r="E385" s="159"/>
      <c r="F385" s="160"/>
      <c r="G385" s="161"/>
      <c r="H385" s="159"/>
      <c r="I385" s="177"/>
      <c r="J385" s="162"/>
      <c r="K385" s="136"/>
    </row>
    <row r="386" spans="1:11" ht="24" outlineLevel="2" x14ac:dyDescent="0.15">
      <c r="A386" s="174"/>
      <c r="B386" s="156" t="s">
        <v>1224</v>
      </c>
      <c r="C386" s="157"/>
      <c r="D386" s="158">
        <f>E386/K$2*10000</f>
        <v>2.3308997465006556</v>
      </c>
      <c r="E386" s="159">
        <v>27.123100000000001</v>
      </c>
      <c r="F386" s="160">
        <f>SUM(F387:F389)</f>
        <v>271230</v>
      </c>
      <c r="G386" s="160">
        <f t="shared" ref="G386:H386" si="137">SUM(G387:G389)</f>
        <v>2.3308911527199059</v>
      </c>
      <c r="H386" s="160">
        <f t="shared" si="137"/>
        <v>271230</v>
      </c>
      <c r="I386" s="177"/>
      <c r="J386" s="162"/>
      <c r="K386" s="136"/>
    </row>
    <row r="387" spans="1:11" s="154" customFormat="1" ht="23.25" customHeight="1" outlineLevel="3" x14ac:dyDescent="0.15">
      <c r="A387" s="145" t="s">
        <v>1225</v>
      </c>
      <c r="B387" s="146" t="str">
        <f>IF(A387&lt;&gt;0,VLOOKUP(A387,[1]合同台帐!$A$4:$D$893,4,1),"")</f>
        <v>水土保持设施补偿费</v>
      </c>
      <c r="C387" s="147"/>
      <c r="D387" s="148"/>
      <c r="E387" s="149"/>
      <c r="F387" s="150">
        <f>IF(A387&lt;&gt;0,VLOOKUP(A387,[1]合同台帐!$A$4:$J$893,6,1),"")</f>
        <v>271230</v>
      </c>
      <c r="G387" s="151">
        <f>F387/K2</f>
        <v>2.3308911527199059</v>
      </c>
      <c r="H387" s="149">
        <f>IF(A387&lt;&gt;0,IF($H$2="元",VLOOKUP(A387,[1]合同台帐!$A$4:$K$1093,11,1),VLOOKUP(A387,[1]合同台帐!$A$4:$K$1093,11,1)),0)</f>
        <v>271230</v>
      </c>
      <c r="I387" s="150"/>
      <c r="J387" s="152"/>
      <c r="K387" s="153"/>
    </row>
    <row r="388" spans="1:11" ht="12.75" outlineLevel="2" x14ac:dyDescent="0.15">
      <c r="A388" s="174"/>
      <c r="B388" s="156"/>
      <c r="C388" s="157"/>
      <c r="D388" s="158"/>
      <c r="E388" s="159"/>
      <c r="F388" s="160"/>
      <c r="G388" s="168"/>
      <c r="H388" s="190"/>
      <c r="I388" s="177"/>
      <c r="J388" s="162"/>
      <c r="K388" s="136"/>
    </row>
    <row r="389" spans="1:11" ht="12.75" outlineLevel="2" x14ac:dyDescent="0.15">
      <c r="A389" s="174"/>
      <c r="B389" s="156"/>
      <c r="C389" s="157"/>
      <c r="D389" s="158"/>
      <c r="E389" s="159"/>
      <c r="F389" s="160"/>
      <c r="G389" s="168"/>
      <c r="H389" s="190"/>
      <c r="I389" s="177"/>
      <c r="J389" s="162"/>
      <c r="K389" s="136"/>
    </row>
    <row r="390" spans="1:11" ht="12.75" outlineLevel="2" x14ac:dyDescent="0.15">
      <c r="A390" s="174"/>
      <c r="B390" s="156" t="s">
        <v>1226</v>
      </c>
      <c r="C390" s="157"/>
      <c r="D390" s="158">
        <f>E390/K$2*10000</f>
        <v>4.5527959779731093</v>
      </c>
      <c r="E390" s="159">
        <v>52.977800000000002</v>
      </c>
      <c r="F390" s="160">
        <f>SUM(F391:F392)</f>
        <v>529783</v>
      </c>
      <c r="G390" s="160">
        <f t="shared" ref="G390:H390" si="138">SUM(G391:G392)</f>
        <v>4.5528389468768564</v>
      </c>
      <c r="H390" s="160">
        <f t="shared" si="138"/>
        <v>529783</v>
      </c>
      <c r="I390" s="177"/>
      <c r="J390" s="162"/>
      <c r="K390" s="136"/>
    </row>
    <row r="391" spans="1:11" s="154" customFormat="1" ht="23.25" customHeight="1" outlineLevel="3" x14ac:dyDescent="0.15">
      <c r="A391" s="145" t="s">
        <v>1227</v>
      </c>
      <c r="B391" s="146" t="str">
        <f>IF(A391&lt;&gt;0,VLOOKUP(A391,[1]合同台帐!$A$4:$D$893,4,1),"")</f>
        <v>地下水资源费</v>
      </c>
      <c r="C391" s="147"/>
      <c r="D391" s="148"/>
      <c r="E391" s="149"/>
      <c r="F391" s="150">
        <f>IF(A391&lt;&gt;0,VLOOKUP(A391,[1]合同台帐!$A$4:$J$893,6,1),"")</f>
        <v>529783</v>
      </c>
      <c r="G391" s="151">
        <f>F391/K2</f>
        <v>4.5528389468768564</v>
      </c>
      <c r="H391" s="149">
        <f>IF(A391&lt;&gt;0,IF($H$2="元",VLOOKUP(A391,[1]合同台帐!$A$4:$K$1093,11,1),VLOOKUP(A391,[1]合同台帐!$A$4:$K$1093,11,1)),0)</f>
        <v>529783</v>
      </c>
      <c r="I391" s="150"/>
      <c r="J391" s="152"/>
      <c r="K391" s="153"/>
    </row>
    <row r="392" spans="1:11" ht="12.75" outlineLevel="2" x14ac:dyDescent="0.15">
      <c r="A392" s="174"/>
      <c r="B392" s="156"/>
      <c r="C392" s="157"/>
      <c r="D392" s="158"/>
      <c r="E392" s="159"/>
      <c r="F392" s="160"/>
      <c r="G392" s="168"/>
      <c r="H392" s="190"/>
      <c r="I392" s="177"/>
      <c r="J392" s="162"/>
      <c r="K392" s="136"/>
    </row>
    <row r="393" spans="1:11" ht="24" outlineLevel="2" x14ac:dyDescent="0.15">
      <c r="A393" s="174"/>
      <c r="B393" s="156" t="s">
        <v>1228</v>
      </c>
      <c r="C393" s="157"/>
      <c r="D393" s="158">
        <f>E393/K$2*10000</f>
        <v>5.6719038885311015</v>
      </c>
      <c r="E393" s="159">
        <v>66.000100000000003</v>
      </c>
      <c r="F393" s="160">
        <f>SUM(F394:F395)</f>
        <v>660000</v>
      </c>
      <c r="G393" s="160">
        <f t="shared" ref="G393:H393" si="139">SUM(G394:G395)</f>
        <v>5.6718952947503514</v>
      </c>
      <c r="H393" s="160">
        <f t="shared" si="139"/>
        <v>660000</v>
      </c>
      <c r="I393" s="177"/>
      <c r="J393" s="162"/>
      <c r="K393" s="136"/>
    </row>
    <row r="394" spans="1:11" s="154" customFormat="1" ht="23.25" customHeight="1" outlineLevel="3" x14ac:dyDescent="0.15">
      <c r="A394" s="145" t="s">
        <v>1229</v>
      </c>
      <c r="B394" s="146" t="str">
        <f>IF(A394&lt;&gt;0,VLOOKUP(A394,[1]合同台帐!$A$4:$D$893,4,1),"")</f>
        <v>水土保持方案报告书技术服务合同</v>
      </c>
      <c r="C394" s="147"/>
      <c r="D394" s="148"/>
      <c r="E394" s="149"/>
      <c r="F394" s="150">
        <f>IF(A394&lt;&gt;0,VLOOKUP(A394,[1]合同台帐!$A$4:$J$893,6,1),"")</f>
        <v>660000</v>
      </c>
      <c r="G394" s="151">
        <f>F394/K2</f>
        <v>5.6718952947503514</v>
      </c>
      <c r="H394" s="149">
        <f>IF(A394&lt;&gt;0,IF($H$2="元",VLOOKUP(A394,[1]合同台帐!$A$4:$K$1093,11,1),VLOOKUP(A394,[1]合同台帐!$A$4:$K$1093,11,1)),0)</f>
        <v>660000</v>
      </c>
      <c r="I394" s="150"/>
      <c r="J394" s="152"/>
      <c r="K394" s="153"/>
    </row>
    <row r="395" spans="1:11" ht="12.75" outlineLevel="2" x14ac:dyDescent="0.15">
      <c r="A395" s="174"/>
      <c r="B395" s="156"/>
      <c r="C395" s="157"/>
      <c r="D395" s="158"/>
      <c r="E395" s="159"/>
      <c r="F395" s="160"/>
      <c r="G395" s="168"/>
      <c r="H395" s="190"/>
      <c r="I395" s="177"/>
      <c r="J395" s="162"/>
      <c r="K395" s="136"/>
    </row>
    <row r="396" spans="1:11" ht="12.75" outlineLevel="2" x14ac:dyDescent="0.15">
      <c r="A396" s="174"/>
      <c r="B396" s="156" t="s">
        <v>1230</v>
      </c>
      <c r="C396" s="157"/>
      <c r="D396" s="158">
        <f>E396/K$2*10000</f>
        <v>3.2656023097332643</v>
      </c>
      <c r="E396" s="159">
        <v>37.999600000000001</v>
      </c>
      <c r="F396" s="160">
        <f>SUM(F397:F398)</f>
        <v>380000</v>
      </c>
      <c r="G396" s="160">
        <f t="shared" ref="G396:H396" si="140">SUM(G397:G398)</f>
        <v>3.265636684856263</v>
      </c>
      <c r="H396" s="160">
        <f t="shared" si="140"/>
        <v>380000</v>
      </c>
      <c r="I396" s="177"/>
      <c r="J396" s="162"/>
      <c r="K396" s="136"/>
    </row>
    <row r="397" spans="1:11" s="154" customFormat="1" ht="23.25" customHeight="1" outlineLevel="3" x14ac:dyDescent="0.15">
      <c r="A397" s="145" t="s">
        <v>1231</v>
      </c>
      <c r="B397" s="146" t="str">
        <f>IF(A397&lt;&gt;0,VLOOKUP(A397,[1]合同台帐!$A$4:$D$893,4,1),"")</f>
        <v>用水报告书技术服务合同</v>
      </c>
      <c r="C397" s="147"/>
      <c r="D397" s="148"/>
      <c r="E397" s="149"/>
      <c r="F397" s="150">
        <f>IF(A397&lt;&gt;0,VLOOKUP(A397,[1]合同台帐!$A$4:$J$893,6,1),"")</f>
        <v>380000</v>
      </c>
      <c r="G397" s="151">
        <f t="shared" ref="G397:G401" si="141">F397/K2</f>
        <v>3.265636684856263</v>
      </c>
      <c r="H397" s="149">
        <f>IF(A397&lt;&gt;0,IF($H$2="元",VLOOKUP(A397,[1]合同台帐!$A$4:$K$1093,11,1),VLOOKUP(A397,[1]合同台帐!$A$4:$K$1093,11,1)),0)</f>
        <v>380000</v>
      </c>
      <c r="I397" s="150"/>
      <c r="J397" s="152"/>
      <c r="K397" s="153"/>
    </row>
    <row r="398" spans="1:11" ht="12.75" outlineLevel="3" x14ac:dyDescent="0.15">
      <c r="A398" s="155"/>
      <c r="B398" s="156"/>
      <c r="C398" s="157"/>
      <c r="D398" s="158"/>
      <c r="E398" s="159"/>
      <c r="F398" s="160"/>
      <c r="G398" s="161"/>
      <c r="H398" s="159"/>
      <c r="I398" s="177"/>
      <c r="J398" s="162"/>
      <c r="K398" s="136"/>
    </row>
    <row r="399" spans="1:11" ht="12.75" outlineLevel="2" x14ac:dyDescent="0.15">
      <c r="A399" s="174"/>
      <c r="B399" s="156" t="s">
        <v>1232</v>
      </c>
      <c r="C399" s="157"/>
      <c r="D399" s="158">
        <f>E399/K$2*10000</f>
        <v>3.5931628567858467</v>
      </c>
      <c r="E399" s="159">
        <v>41.811199999999999</v>
      </c>
      <c r="F399" s="160">
        <f>SUM(F400:F402)</f>
        <v>1178000</v>
      </c>
      <c r="G399" s="160" t="e">
        <f t="shared" ref="G399:H399" si="142">SUM(G400:G402)</f>
        <v>#DIV/0!</v>
      </c>
      <c r="H399" s="160">
        <f t="shared" si="142"/>
        <v>0</v>
      </c>
      <c r="I399" s="177"/>
      <c r="J399" s="162"/>
      <c r="K399" s="136"/>
    </row>
    <row r="400" spans="1:11" s="154" customFormat="1" ht="23.25" customHeight="1" outlineLevel="3" x14ac:dyDescent="0.15">
      <c r="A400" s="145" t="s">
        <v>1233</v>
      </c>
      <c r="B400" s="146" t="str">
        <f>IF(A400&lt;&gt;0,VLOOKUP(A400,[1]合同台帐!$A$4:$D$893,4,1),"")</f>
        <v>二次供水泵房精装修合同</v>
      </c>
      <c r="C400" s="147"/>
      <c r="D400" s="148"/>
      <c r="E400" s="149"/>
      <c r="F400" s="150">
        <f>IF(A400&lt;&gt;0,VLOOKUP(A400,[1]合同台帐!$A$4:$J$893,6,1),"")</f>
        <v>128000</v>
      </c>
      <c r="G400" s="151" t="e">
        <f t="shared" si="141"/>
        <v>#DIV/0!</v>
      </c>
      <c r="H400" s="149">
        <f>IF(A400&lt;&gt;0,IF($H$2="元",VLOOKUP(A400,[1]合同台帐!$A$4:$K$1093,11,1),VLOOKUP(A400,[1]合同台帐!$A$4:$K$1093,11,1)),0)</f>
        <v>0</v>
      </c>
      <c r="I400" s="150"/>
      <c r="J400" s="152"/>
      <c r="K400" s="153"/>
    </row>
    <row r="401" spans="1:11" s="154" customFormat="1" ht="23.25" customHeight="1" outlineLevel="3" x14ac:dyDescent="0.15">
      <c r="A401" s="145" t="s">
        <v>1234</v>
      </c>
      <c r="B401" s="146" t="str">
        <f>IF(A401&lt;&gt;0,VLOOKUP(A401,[1]合同台帐!$A$4:$D$893,4,1),"")</f>
        <v>给水、中水变频供水设备采购安装合同</v>
      </c>
      <c r="C401" s="147"/>
      <c r="D401" s="148"/>
      <c r="E401" s="149"/>
      <c r="F401" s="150">
        <f>IF(A401&lt;&gt;0,VLOOKUP(A401,[1]合同台帐!$A$4:$J$893,6,1),"")</f>
        <v>1050000</v>
      </c>
      <c r="G401" s="151" t="e">
        <f t="shared" si="141"/>
        <v>#DIV/0!</v>
      </c>
      <c r="H401" s="149">
        <f>IF(A401&lt;&gt;0,IF($H$2="元",VLOOKUP(A401,[1]合同台帐!$A$4:$K$1093,11,1),VLOOKUP(A401,[1]合同台帐!$A$4:$K$1093,11,1)),0)</f>
        <v>0</v>
      </c>
      <c r="I401" s="150"/>
      <c r="J401" s="152"/>
      <c r="K401" s="153"/>
    </row>
    <row r="402" spans="1:11" ht="12.75" outlineLevel="3" x14ac:dyDescent="0.15">
      <c r="A402" s="174"/>
      <c r="B402" s="156"/>
      <c r="C402" s="157"/>
      <c r="D402" s="158"/>
      <c r="E402" s="159"/>
      <c r="F402" s="160"/>
      <c r="G402" s="168"/>
      <c r="H402" s="190"/>
      <c r="I402" s="177"/>
      <c r="J402" s="162"/>
      <c r="K402" s="136"/>
    </row>
    <row r="403" spans="1:11" ht="12.75" outlineLevel="1" x14ac:dyDescent="0.15">
      <c r="A403" s="138"/>
      <c r="B403" s="139" t="s">
        <v>1235</v>
      </c>
      <c r="C403" s="140" t="s">
        <v>1217</v>
      </c>
      <c r="D403" s="165">
        <f t="shared" ref="D403:H403" si="143">D404+D407+D410+D413</f>
        <v>51.883920022151322</v>
      </c>
      <c r="E403" s="165">
        <f t="shared" si="143"/>
        <v>603.73799999999994</v>
      </c>
      <c r="F403" s="165">
        <f t="shared" si="143"/>
        <v>0</v>
      </c>
      <c r="G403" s="165" t="e">
        <f t="shared" si="143"/>
        <v>#VALUE!</v>
      </c>
      <c r="H403" s="165">
        <f t="shared" si="143"/>
        <v>0</v>
      </c>
      <c r="I403" s="200">
        <f>F403-E403*10000</f>
        <v>-6037379.9999999991</v>
      </c>
      <c r="J403" s="143" t="e">
        <f>G403-D403</f>
        <v>#VALUE!</v>
      </c>
      <c r="K403" s="136"/>
    </row>
    <row r="404" spans="1:11" ht="12.75" outlineLevel="2" x14ac:dyDescent="0.15">
      <c r="A404" s="174"/>
      <c r="B404" s="156" t="s">
        <v>1236</v>
      </c>
      <c r="C404" s="157"/>
      <c r="D404" s="158">
        <f>E404/K$2*10000</f>
        <v>22.26264450227486</v>
      </c>
      <c r="E404" s="159">
        <v>259.05529999999999</v>
      </c>
      <c r="F404" s="160">
        <f>SUM(F405:F406)</f>
        <v>0</v>
      </c>
      <c r="G404" s="160" t="e">
        <f t="shared" ref="G404:H404" si="144">SUM(G405:G406)</f>
        <v>#VALUE!</v>
      </c>
      <c r="H404" s="160">
        <f t="shared" si="144"/>
        <v>0</v>
      </c>
      <c r="I404" s="177"/>
      <c r="J404" s="162"/>
      <c r="K404" s="136"/>
    </row>
    <row r="405" spans="1:11" s="154" customFormat="1" ht="23.25" customHeight="1" outlineLevel="3" x14ac:dyDescent="0.15">
      <c r="A405" s="145"/>
      <c r="B405" s="146" t="str">
        <f>IF(A405&lt;&gt;0,VLOOKUP(A405,[1]合同台帐!$A$4:$D$893,4,1),"")</f>
        <v/>
      </c>
      <c r="C405" s="147"/>
      <c r="D405" s="148"/>
      <c r="E405" s="149"/>
      <c r="F405" s="150" t="str">
        <f>IF(A405&lt;&gt;0,VLOOKUP(A405,[1]合同台帐!$A$4:$J$893,6,1),"")</f>
        <v/>
      </c>
      <c r="G405" s="151" t="e">
        <f>F405/K2</f>
        <v>#VALUE!</v>
      </c>
      <c r="H405" s="149">
        <f>IF(A405&lt;&gt;0,IF($H$2="元",VLOOKUP(A405,[1]合同台帐!$A$4:$K$1093,11,1),VLOOKUP(A405,[1]合同台帐!$A$4:$K$1093,11,1)),0)</f>
        <v>0</v>
      </c>
      <c r="I405" s="150"/>
      <c r="J405" s="152"/>
      <c r="K405" s="153"/>
    </row>
    <row r="406" spans="1:11" s="144" customFormat="1" ht="17.25" customHeight="1" outlineLevel="3" x14ac:dyDescent="0.15">
      <c r="A406" s="155"/>
      <c r="B406" s="156"/>
      <c r="C406" s="157"/>
      <c r="D406" s="158"/>
      <c r="E406" s="159"/>
      <c r="F406" s="160"/>
      <c r="G406" s="161"/>
      <c r="H406" s="159"/>
      <c r="I406" s="177"/>
      <c r="J406" s="162"/>
      <c r="K406" s="136"/>
    </row>
    <row r="407" spans="1:11" ht="12.75" outlineLevel="2" x14ac:dyDescent="0.15">
      <c r="A407" s="174"/>
      <c r="B407" s="156" t="s">
        <v>1237</v>
      </c>
      <c r="C407" s="157"/>
      <c r="D407" s="158">
        <f>E407/K$2*10000</f>
        <v>17.862731883837522</v>
      </c>
      <c r="E407" s="159">
        <v>207.85650000000001</v>
      </c>
      <c r="F407" s="160">
        <f>SUM(F408:F409)</f>
        <v>0</v>
      </c>
      <c r="G407" s="160">
        <f t="shared" ref="G407:H407" si="145">SUM(G408:G409)</f>
        <v>0</v>
      </c>
      <c r="H407" s="160">
        <f t="shared" si="145"/>
        <v>0</v>
      </c>
      <c r="I407" s="177"/>
      <c r="J407" s="162"/>
      <c r="K407" s="136"/>
    </row>
    <row r="408" spans="1:11" s="154" customFormat="1" ht="23.25" customHeight="1" outlineLevel="3" x14ac:dyDescent="0.15">
      <c r="A408" s="185"/>
      <c r="B408" s="146" t="str">
        <f>IF(A408&lt;&gt;0,VLOOKUP(A408,[1]合同台帐!$A$4:$D$893,4,1),"")</f>
        <v/>
      </c>
      <c r="C408" s="147"/>
      <c r="D408" s="148"/>
      <c r="E408" s="149"/>
      <c r="F408" s="150" t="str">
        <f>IF(A408&lt;&gt;0,VLOOKUP(A408,[1]合同台帐!$A$4:$J$893,6,1),"")</f>
        <v/>
      </c>
      <c r="G408" s="151"/>
      <c r="H408" s="149">
        <f>IF(A408&lt;&gt;0,IF($H$2="元",VLOOKUP(A408,[1]合同台帐!$A$4:$K$1093,11,1),VLOOKUP(A408,[1]合同台帐!$A$4:$K$1093,11,1)),0)</f>
        <v>0</v>
      </c>
      <c r="I408" s="150"/>
      <c r="J408" s="152"/>
      <c r="K408" s="153"/>
    </row>
    <row r="409" spans="1:11" s="144" customFormat="1" ht="17.25" customHeight="1" outlineLevel="3" x14ac:dyDescent="0.15">
      <c r="A409" s="155"/>
      <c r="B409" s="156"/>
      <c r="C409" s="157"/>
      <c r="D409" s="158"/>
      <c r="E409" s="159"/>
      <c r="F409" s="160"/>
      <c r="G409" s="161"/>
      <c r="H409" s="159"/>
      <c r="I409" s="177"/>
      <c r="J409" s="162"/>
      <c r="K409" s="136"/>
    </row>
    <row r="410" spans="1:11" ht="12.75" outlineLevel="2" x14ac:dyDescent="0.15">
      <c r="A410" s="174"/>
      <c r="B410" s="156" t="s">
        <v>1238</v>
      </c>
      <c r="C410" s="157"/>
      <c r="D410" s="158">
        <f>E410/K$2*10000</f>
        <v>8.1653807792531001</v>
      </c>
      <c r="E410" s="159">
        <v>95.015000000000001</v>
      </c>
      <c r="F410" s="160">
        <f>SUM(F411:F412)</f>
        <v>0</v>
      </c>
      <c r="G410" s="160">
        <f t="shared" ref="G410:H410" si="146">SUM(G411:G412)</f>
        <v>0</v>
      </c>
      <c r="H410" s="160">
        <f t="shared" si="146"/>
        <v>0</v>
      </c>
      <c r="I410" s="177"/>
      <c r="J410" s="162"/>
      <c r="K410" s="136"/>
    </row>
    <row r="411" spans="1:11" s="144" customFormat="1" ht="12.75" outlineLevel="3" x14ac:dyDescent="0.15">
      <c r="A411" s="155"/>
      <c r="B411" s="156"/>
      <c r="C411" s="157"/>
      <c r="D411" s="158"/>
      <c r="E411" s="159"/>
      <c r="F411" s="160"/>
      <c r="G411" s="161"/>
      <c r="H411" s="159"/>
      <c r="I411" s="177"/>
      <c r="J411" s="162"/>
      <c r="K411" s="136"/>
    </row>
    <row r="412" spans="1:11" ht="12.75" outlineLevel="3" x14ac:dyDescent="0.15">
      <c r="A412" s="174"/>
      <c r="B412" s="156"/>
      <c r="C412" s="157"/>
      <c r="D412" s="158"/>
      <c r="E412" s="159"/>
      <c r="F412" s="160"/>
      <c r="G412" s="161"/>
      <c r="H412" s="159"/>
      <c r="I412" s="177"/>
      <c r="J412" s="162"/>
      <c r="K412" s="136"/>
    </row>
    <row r="413" spans="1:11" ht="12.75" outlineLevel="2" x14ac:dyDescent="0.15">
      <c r="A413" s="174"/>
      <c r="B413" s="156" t="s">
        <v>1239</v>
      </c>
      <c r="C413" s="157"/>
      <c r="D413" s="158">
        <f>E413/K$2*10000</f>
        <v>3.5931628567858467</v>
      </c>
      <c r="E413" s="159">
        <v>41.811199999999999</v>
      </c>
      <c r="F413" s="160">
        <f>SUM(F414:F415)</f>
        <v>0</v>
      </c>
      <c r="G413" s="160">
        <f t="shared" ref="G413:H413" si="147">SUM(G414:G415)</f>
        <v>0</v>
      </c>
      <c r="H413" s="160">
        <f t="shared" si="147"/>
        <v>0</v>
      </c>
      <c r="I413" s="177"/>
      <c r="J413" s="162"/>
      <c r="K413" s="136"/>
    </row>
    <row r="414" spans="1:11" ht="12.75" outlineLevel="3" x14ac:dyDescent="0.15">
      <c r="A414" s="155"/>
      <c r="B414" s="156"/>
      <c r="C414" s="157"/>
      <c r="D414" s="158"/>
      <c r="E414" s="159"/>
      <c r="F414" s="160"/>
      <c r="G414" s="161"/>
      <c r="H414" s="159"/>
      <c r="I414" s="177"/>
      <c r="J414" s="162"/>
      <c r="K414" s="136"/>
    </row>
    <row r="415" spans="1:11" ht="12.75" outlineLevel="3" x14ac:dyDescent="0.15">
      <c r="A415" s="155"/>
      <c r="B415" s="156"/>
      <c r="C415" s="157"/>
      <c r="D415" s="158"/>
      <c r="E415" s="159"/>
      <c r="F415" s="160"/>
      <c r="G415" s="161"/>
      <c r="H415" s="159"/>
      <c r="I415" s="177"/>
      <c r="J415" s="162"/>
      <c r="K415" s="136"/>
    </row>
    <row r="416" spans="1:11" ht="12.75" outlineLevel="1" x14ac:dyDescent="0.15">
      <c r="A416" s="138"/>
      <c r="B416" s="139" t="s">
        <v>1240</v>
      </c>
      <c r="C416" s="140" t="s">
        <v>1241</v>
      </c>
      <c r="D416" s="165">
        <f t="shared" ref="D416:J416" si="148">D417+D422</f>
        <v>53.588195651512564</v>
      </c>
      <c r="E416" s="165">
        <f t="shared" si="148"/>
        <v>623.56949999999995</v>
      </c>
      <c r="F416" s="165">
        <f t="shared" si="148"/>
        <v>3358830</v>
      </c>
      <c r="G416" s="165">
        <f t="shared" si="148"/>
        <v>28.865048595252006</v>
      </c>
      <c r="H416" s="165">
        <f t="shared" si="148"/>
        <v>2158830</v>
      </c>
      <c r="I416" s="165">
        <f t="shared" si="148"/>
        <v>0</v>
      </c>
      <c r="J416" s="165">
        <f t="shared" si="148"/>
        <v>0</v>
      </c>
      <c r="K416" s="136"/>
    </row>
    <row r="417" spans="1:11" s="144" customFormat="1" ht="12.75" outlineLevel="2" x14ac:dyDescent="0.15">
      <c r="A417" s="174"/>
      <c r="B417" s="156" t="s">
        <v>1242</v>
      </c>
      <c r="C417" s="171"/>
      <c r="D417" s="158">
        <f>E417/K$2*10000</f>
        <v>53.588195651512564</v>
      </c>
      <c r="E417" s="159">
        <v>623.56949999999995</v>
      </c>
      <c r="F417" s="160">
        <f t="shared" ref="F417:H417" si="149">SUM(F418:F421)</f>
        <v>3358830</v>
      </c>
      <c r="G417" s="160">
        <f t="shared" si="149"/>
        <v>28.865048595252006</v>
      </c>
      <c r="H417" s="160">
        <f t="shared" si="149"/>
        <v>2158830</v>
      </c>
      <c r="I417" s="168"/>
      <c r="J417" s="162"/>
      <c r="K417" s="136"/>
    </row>
    <row r="418" spans="1:11" s="154" customFormat="1" ht="23.25" customHeight="1" outlineLevel="3" x14ac:dyDescent="0.15">
      <c r="A418" s="145" t="s">
        <v>1243</v>
      </c>
      <c r="B418" s="146" t="str">
        <f>IF(A418&lt;&gt;0,VLOOKUP(A418,[1]合同台帐!$A$4:$D$893,4,1),"")</f>
        <v>一期排水配套工程</v>
      </c>
      <c r="C418" s="147"/>
      <c r="D418" s="148"/>
      <c r="E418" s="149"/>
      <c r="F418" s="150">
        <f>IF(A418&lt;&gt;0,VLOOKUP(A418,[1]合同台帐!$A$4:$J$893,6,1),"")</f>
        <v>3139730</v>
      </c>
      <c r="G418" s="151">
        <f>F418/K2</f>
        <v>26.98215123300988</v>
      </c>
      <c r="H418" s="149">
        <f>IF(A418&lt;&gt;0,IF($H$2="元",VLOOKUP(A418,[1]合同台帐!$A$4:$K$1093,11,1),VLOOKUP(A418,[1]合同台帐!$A$4:$K$1093,11,1)),0)</f>
        <v>2039730</v>
      </c>
      <c r="I418" s="150"/>
      <c r="J418" s="152"/>
      <c r="K418" s="153"/>
    </row>
    <row r="419" spans="1:11" s="154" customFormat="1" ht="23.25" customHeight="1" outlineLevel="3" x14ac:dyDescent="0.15">
      <c r="A419" s="145" t="s">
        <v>1244</v>
      </c>
      <c r="B419" s="146" t="str">
        <f>IF(A419&lt;&gt;0,VLOOKUP(A419,[1]合同台帐!$A$4:$D$893,4,1),"")</f>
        <v>一期排水配套工程挖土方</v>
      </c>
      <c r="C419" s="147"/>
      <c r="D419" s="148"/>
      <c r="E419" s="149"/>
      <c r="F419" s="150">
        <f>IF(A419&lt;&gt;0,VLOOKUP(A419,[1]合同台帐!$A$4:$J$893,6,1),"")</f>
        <v>170000</v>
      </c>
      <c r="G419" s="151">
        <f>F419/K2</f>
        <v>1.4609427274356965</v>
      </c>
      <c r="H419" s="149">
        <f>IF(A419&lt;&gt;0,IF($H$2="元",VLOOKUP(A419,[1]合同台帐!$A$4:$K$1093,11,1),VLOOKUP(A419,[1]合同台帐!$A$4:$K$1093,11,1)),0)</f>
        <v>70000</v>
      </c>
      <c r="I419" s="150"/>
      <c r="J419" s="152"/>
      <c r="K419" s="153"/>
    </row>
    <row r="420" spans="1:11" s="154" customFormat="1" ht="23.25" customHeight="1" outlineLevel="3" x14ac:dyDescent="0.15">
      <c r="A420" s="145" t="s">
        <v>1245</v>
      </c>
      <c r="B420" s="146" t="str">
        <f>IF(A420&lt;&gt;0,VLOOKUP(A420,[1]合同台帐!$A$4:$D$893,4,1),"")</f>
        <v>排水市政接口</v>
      </c>
      <c r="C420" s="147"/>
      <c r="D420" s="148"/>
      <c r="E420" s="149"/>
      <c r="F420" s="150">
        <f>IF(A420&lt;&gt;0,VLOOKUP(A420,[1]合同台帐!$A$4:$J$893,6,1),"")</f>
        <v>49100</v>
      </c>
      <c r="G420" s="201">
        <f>F420/K2</f>
        <v>0.42195463480642764</v>
      </c>
      <c r="H420" s="149">
        <f>IF(A420&lt;&gt;0,IF($H$2="元",VLOOKUP(A420,[1]合同台帐!$A$4:$K$1093,11,1),VLOOKUP(A420,[1]合同台帐!$A$4:$K$1093,11,1)),0)</f>
        <v>49100</v>
      </c>
      <c r="I420" s="150"/>
      <c r="J420" s="152"/>
      <c r="K420" s="153"/>
    </row>
    <row r="421" spans="1:11" s="154" customFormat="1" ht="23.25" customHeight="1" outlineLevel="3" x14ac:dyDescent="0.15">
      <c r="A421" s="185"/>
      <c r="B421" s="146" t="str">
        <f>IF(A421&lt;&gt;0,VLOOKUP(A421,[1]合同台帐!$A$4:$D$893,4,1),"")</f>
        <v/>
      </c>
      <c r="C421" s="147"/>
      <c r="D421" s="148"/>
      <c r="E421" s="149"/>
      <c r="F421" s="150"/>
      <c r="G421" s="188">
        <f>F421/K2</f>
        <v>0</v>
      </c>
      <c r="H421" s="149">
        <f>IF(A421&lt;&gt;0,IF($H$2="元",VLOOKUP(A421,[1]合同台帐!$A$4:$K$1093,11,1),VLOOKUP(A421,[1]合同台帐!$A$4:$K$1093,11,1)),0)</f>
        <v>0</v>
      </c>
      <c r="I421" s="150"/>
      <c r="J421" s="152"/>
      <c r="K421" s="153"/>
    </row>
    <row r="422" spans="1:11" s="144" customFormat="1" ht="12.75" outlineLevel="2" x14ac:dyDescent="0.15">
      <c r="A422" s="174"/>
      <c r="B422" s="156" t="s">
        <v>1246</v>
      </c>
      <c r="C422" s="171"/>
      <c r="D422" s="158">
        <f>E422/K$2*10000</f>
        <v>0</v>
      </c>
      <c r="E422" s="159">
        <v>0</v>
      </c>
      <c r="F422" s="160">
        <f>SUM(F423:F424)</f>
        <v>0</v>
      </c>
      <c r="G422" s="160">
        <f t="shared" ref="G422:H422" si="150">SUM(G423:G424)</f>
        <v>0</v>
      </c>
      <c r="H422" s="160">
        <f t="shared" si="150"/>
        <v>0</v>
      </c>
      <c r="I422" s="168"/>
      <c r="J422" s="162"/>
      <c r="K422" s="136"/>
    </row>
    <row r="423" spans="1:11" s="144" customFormat="1" ht="12.75" outlineLevel="3" x14ac:dyDescent="0.15">
      <c r="A423" s="174"/>
      <c r="B423" s="156"/>
      <c r="C423" s="171"/>
      <c r="D423" s="158"/>
      <c r="E423" s="159"/>
      <c r="F423" s="160"/>
      <c r="G423" s="161"/>
      <c r="H423" s="159"/>
      <c r="I423" s="168"/>
      <c r="J423" s="162"/>
      <c r="K423" s="136"/>
    </row>
    <row r="424" spans="1:11" s="144" customFormat="1" ht="12.75" outlineLevel="3" x14ac:dyDescent="0.15">
      <c r="A424" s="174"/>
      <c r="B424" s="156"/>
      <c r="C424" s="171"/>
      <c r="D424" s="158"/>
      <c r="E424" s="159"/>
      <c r="F424" s="160"/>
      <c r="G424" s="161"/>
      <c r="H424" s="159"/>
      <c r="I424" s="168"/>
      <c r="J424" s="162"/>
      <c r="K424" s="136"/>
    </row>
    <row r="425" spans="1:11" ht="12.75" outlineLevel="1" x14ac:dyDescent="0.15">
      <c r="A425" s="138"/>
      <c r="B425" s="139" t="s">
        <v>1247</v>
      </c>
      <c r="C425" s="140" t="s">
        <v>1248</v>
      </c>
      <c r="D425" s="165">
        <f t="shared" ref="D425:H425" si="151">D426+D429+D432</f>
        <v>151.3216719166073</v>
      </c>
      <c r="E425" s="165">
        <f t="shared" si="151"/>
        <v>1760.8277</v>
      </c>
      <c r="F425" s="165">
        <f t="shared" si="151"/>
        <v>17275215.969999999</v>
      </c>
      <c r="G425" s="165">
        <f t="shared" si="151"/>
        <v>148.45941844854414</v>
      </c>
      <c r="H425" s="165">
        <f t="shared" si="151"/>
        <v>8871382</v>
      </c>
      <c r="I425" s="200">
        <f>F425-E425*10000</f>
        <v>-333061.03000000119</v>
      </c>
      <c r="J425" s="143">
        <f>G425-D425</f>
        <v>-2.8622534680631588</v>
      </c>
      <c r="K425" s="136"/>
    </row>
    <row r="426" spans="1:11" ht="12.75" outlineLevel="2" x14ac:dyDescent="0.15">
      <c r="A426" s="174"/>
      <c r="B426" s="156" t="s">
        <v>1249</v>
      </c>
      <c r="C426" s="157"/>
      <c r="D426" s="158">
        <f>E426/K$2*10000</f>
        <v>113.99589148529921</v>
      </c>
      <c r="E426" s="159">
        <v>1326.4929</v>
      </c>
      <c r="F426" s="160">
        <f>SUM(F427:F428)</f>
        <v>13252746.24</v>
      </c>
      <c r="G426" s="160">
        <f t="shared" ref="G426:H426" si="152">SUM(G427:G428)</f>
        <v>113.89119551693396</v>
      </c>
      <c r="H426" s="160">
        <f t="shared" si="152"/>
        <v>6771382</v>
      </c>
      <c r="I426" s="177"/>
      <c r="J426" s="162"/>
      <c r="K426" s="136"/>
    </row>
    <row r="427" spans="1:11" s="154" customFormat="1" ht="23.25" customHeight="1" outlineLevel="3" x14ac:dyDescent="0.15">
      <c r="A427" s="145" t="s">
        <v>1250</v>
      </c>
      <c r="B427" s="146" t="str">
        <f>IF(A427&lt;&gt;0,VLOOKUP(A427,[1]合同台帐!$A$4:$D$893,4,1),"")</f>
        <v>供热配套合同（工程建设费）</v>
      </c>
      <c r="C427" s="147"/>
      <c r="D427" s="148"/>
      <c r="E427" s="149"/>
      <c r="F427" s="150">
        <f>IF(A427&lt;&gt;0,VLOOKUP(A427,[1]合同台帐!$A$4:$J$893,6,1),"")</f>
        <v>13252746.24</v>
      </c>
      <c r="G427" s="151">
        <f>F427/K2</f>
        <v>113.89119551693396</v>
      </c>
      <c r="H427" s="149">
        <f>IF(A427&lt;&gt;0,IF($H$2="元",VLOOKUP(A427,[1]合同台帐!$A$4:$K$1093,11,1),VLOOKUP(A427,[1]合同台帐!$A$4:$K$1093,11,1)),0)</f>
        <v>6771382</v>
      </c>
      <c r="I427" s="150"/>
      <c r="J427" s="152"/>
      <c r="K427" s="153"/>
    </row>
    <row r="428" spans="1:11" s="144" customFormat="1" ht="17.25" customHeight="1" outlineLevel="3" x14ac:dyDescent="0.15">
      <c r="A428" s="174"/>
      <c r="B428" s="156"/>
      <c r="C428" s="157"/>
      <c r="D428" s="158"/>
      <c r="E428" s="159"/>
      <c r="F428" s="160"/>
      <c r="G428" s="161"/>
      <c r="H428" s="159"/>
      <c r="I428" s="168"/>
      <c r="J428" s="162"/>
      <c r="K428" s="136"/>
    </row>
    <row r="429" spans="1:11" ht="12.75" outlineLevel="2" x14ac:dyDescent="0.15">
      <c r="A429" s="174"/>
      <c r="B429" s="156" t="s">
        <v>1251</v>
      </c>
      <c r="C429" s="157"/>
      <c r="D429" s="158">
        <f>E429/K$2*10000</f>
        <v>27.448088837692868</v>
      </c>
      <c r="E429" s="159">
        <v>319.39479999999998</v>
      </c>
      <c r="F429" s="160">
        <f>SUM(F430:F431)</f>
        <v>2873069.73</v>
      </c>
      <c r="G429" s="160">
        <f t="shared" ref="G429:H429" si="153">SUM(G430:G431)</f>
        <v>24.690531337994944</v>
      </c>
      <c r="H429" s="160">
        <f t="shared" si="153"/>
        <v>2100000</v>
      </c>
      <c r="I429" s="177"/>
      <c r="J429" s="162"/>
      <c r="K429" s="136"/>
    </row>
    <row r="430" spans="1:11" s="154" customFormat="1" ht="23.25" customHeight="1" outlineLevel="3" x14ac:dyDescent="0.15">
      <c r="A430" s="145" t="s">
        <v>1252</v>
      </c>
      <c r="B430" s="146" t="str">
        <f>IF(A430&lt;&gt;0,VLOOKUP(A430,[1]合同台帐!$A$4:$D$893,4,1),"")</f>
        <v>供用热协议书（二次管网）</v>
      </c>
      <c r="C430" s="147"/>
      <c r="D430" s="148"/>
      <c r="E430" s="149"/>
      <c r="F430" s="150">
        <f>IF(A430&lt;&gt;0,VLOOKUP(A430,[1]合同台帐!$A$4:$J$893,6,1),"")</f>
        <v>2673069.73</v>
      </c>
      <c r="G430" s="151">
        <f>F430/K2</f>
        <v>22.971775188070595</v>
      </c>
      <c r="H430" s="149">
        <f>IF(A430&lt;&gt;0,IF($H$2="元",VLOOKUP(A430,[1]合同台帐!$A$4:$K$1093,11,1),VLOOKUP(A430,[1]合同台帐!$A$4:$K$1093,11,1)),0)</f>
        <v>1900000</v>
      </c>
      <c r="I430" s="150"/>
      <c r="J430" s="152"/>
      <c r="K430" s="153"/>
    </row>
    <row r="431" spans="1:11" s="154" customFormat="1" ht="23.25" customHeight="1" outlineLevel="3" x14ac:dyDescent="0.15">
      <c r="A431" s="145" t="s">
        <v>1253</v>
      </c>
      <c r="B431" s="146" t="str">
        <f>IF(A431&lt;&gt;0,VLOOKUP(A431,[1]合同台帐!$A$4:$D$893,4,1),"")</f>
        <v>一期供热二次网工程土方挖填</v>
      </c>
      <c r="C431" s="147"/>
      <c r="D431" s="148"/>
      <c r="E431" s="149"/>
      <c r="F431" s="150">
        <f>IF(A431&lt;&gt;0,VLOOKUP(A431,[1]合同台帐!$A$4:$J$893,6,1),"")</f>
        <v>200000</v>
      </c>
      <c r="G431" s="151">
        <f>F431/K2</f>
        <v>1.7187561499243489</v>
      </c>
      <c r="H431" s="149">
        <f>IF(A431&lt;&gt;0,IF($H$2="元",VLOOKUP(A431,[1]合同台帐!$A$4:$K$1093,11,1),VLOOKUP(A431,[1]合同台帐!$A$4:$K$1093,11,1)),0)</f>
        <v>200000</v>
      </c>
      <c r="I431" s="150"/>
      <c r="J431" s="152"/>
      <c r="K431" s="153"/>
    </row>
    <row r="432" spans="1:11" ht="30" customHeight="1" outlineLevel="2" x14ac:dyDescent="0.15">
      <c r="A432" s="174"/>
      <c r="B432" s="156" t="s">
        <v>1254</v>
      </c>
      <c r="C432" s="157"/>
      <c r="D432" s="158">
        <f>E432/K$2*10000</f>
        <v>9.8776915936152321</v>
      </c>
      <c r="E432" s="159">
        <v>114.94</v>
      </c>
      <c r="F432" s="160">
        <f>SUM(F433:F434)</f>
        <v>1149400</v>
      </c>
      <c r="G432" s="160">
        <f t="shared" ref="G432:H432" si="154">SUM(G433:G434)</f>
        <v>9.8776915936152339</v>
      </c>
      <c r="H432" s="160">
        <f t="shared" si="154"/>
        <v>0</v>
      </c>
      <c r="I432" s="177"/>
      <c r="J432" s="162"/>
      <c r="K432" s="136"/>
    </row>
    <row r="433" spans="1:11" s="154" customFormat="1" ht="23.25" customHeight="1" outlineLevel="3" x14ac:dyDescent="0.15">
      <c r="A433" s="145" t="s">
        <v>1255</v>
      </c>
      <c r="B433" s="146" t="str">
        <f>IF(A433&lt;&gt;0,VLOOKUP(A433,[1]合同台帐!$A$4:$D$893,4,1),"")</f>
        <v>供热配套合同（热计量装配费）</v>
      </c>
      <c r="C433" s="147"/>
      <c r="D433" s="148"/>
      <c r="E433" s="149"/>
      <c r="F433" s="150">
        <f>IF(A433&lt;&gt;0,VLOOKUP(A433,[1]合同台帐!$A$4:$J$893,6,1),"")</f>
        <v>1149400</v>
      </c>
      <c r="G433" s="151">
        <f>F433/K2</f>
        <v>9.8776915936152339</v>
      </c>
      <c r="H433" s="149">
        <f>IF(A433&lt;&gt;0,IF($H$2="元",VLOOKUP(A433,[1]合同台帐!$A$4:$K$1093,11,1),VLOOKUP(A433,[1]合同台帐!$A$4:$K$1093,11,1)),0)</f>
        <v>0</v>
      </c>
      <c r="I433" s="150"/>
      <c r="J433" s="152"/>
      <c r="K433" s="153"/>
    </row>
    <row r="434" spans="1:11" ht="14.25" customHeight="1" outlineLevel="3" x14ac:dyDescent="0.15">
      <c r="A434" s="174"/>
      <c r="B434" s="156"/>
      <c r="C434" s="157"/>
      <c r="D434" s="158"/>
      <c r="E434" s="159"/>
      <c r="F434" s="160"/>
      <c r="G434" s="161"/>
      <c r="H434" s="159"/>
      <c r="I434" s="168"/>
      <c r="J434" s="162"/>
      <c r="K434" s="136"/>
    </row>
    <row r="435" spans="1:11" ht="12.75" outlineLevel="1" x14ac:dyDescent="0.15">
      <c r="A435" s="138"/>
      <c r="B435" s="139" t="s">
        <v>1256</v>
      </c>
      <c r="C435" s="140" t="s">
        <v>1257</v>
      </c>
      <c r="D435" s="165">
        <f t="shared" ref="D435:H435" si="155">D436+D440+D443+D446+D449+D452</f>
        <v>67.91963989996151</v>
      </c>
      <c r="E435" s="165">
        <f t="shared" si="155"/>
        <v>790.33480000000009</v>
      </c>
      <c r="F435" s="165">
        <f t="shared" si="155"/>
        <v>4483527.8</v>
      </c>
      <c r="G435" s="165" t="e">
        <f t="shared" si="155"/>
        <v>#DIV/0!</v>
      </c>
      <c r="H435" s="165">
        <f t="shared" si="155"/>
        <v>3571910.1999999997</v>
      </c>
      <c r="I435" s="200">
        <f>F435-E435*10000</f>
        <v>-3419820.2000000011</v>
      </c>
      <c r="J435" s="143">
        <f>G439-D439</f>
        <v>0</v>
      </c>
      <c r="K435" s="136"/>
    </row>
    <row r="436" spans="1:11" ht="12.75" outlineLevel="2" x14ac:dyDescent="0.15">
      <c r="A436" s="174"/>
      <c r="B436" s="156" t="s">
        <v>1258</v>
      </c>
      <c r="C436" s="157"/>
      <c r="D436" s="158">
        <f>E436/K$2*10000</f>
        <v>19.618355353177748</v>
      </c>
      <c r="E436" s="159">
        <v>228.28550000000001</v>
      </c>
      <c r="F436" s="160">
        <f>SUM(F437:F439)</f>
        <v>1870635.7999999998</v>
      </c>
      <c r="G436" s="160">
        <f t="shared" ref="G436:H436" si="156">SUM(G437:G439)</f>
        <v>16.075833927593273</v>
      </c>
      <c r="H436" s="160">
        <f t="shared" si="156"/>
        <v>1870635.7999999998</v>
      </c>
      <c r="I436" s="177"/>
      <c r="J436" s="162"/>
      <c r="K436" s="136"/>
    </row>
    <row r="437" spans="1:11" s="154" customFormat="1" ht="23.25" customHeight="1" outlineLevel="3" x14ac:dyDescent="0.15">
      <c r="A437" s="145" t="s">
        <v>1259</v>
      </c>
      <c r="B437" s="146" t="str">
        <f>IF(A437&lt;&gt;0,VLOOKUP(A437,[1]合同台帐!$A$4:$D$893,4,1),"")</f>
        <v>气源发展费（一期）(蓟县另收）</v>
      </c>
      <c r="C437" s="147"/>
      <c r="D437" s="148"/>
      <c r="E437" s="149"/>
      <c r="F437" s="150">
        <f>IF(A437&lt;&gt;0,VLOOKUP(A437,[1]合同台帐!$A$4:$J$893,6,1),"")</f>
        <v>1127572.3999999999</v>
      </c>
      <c r="G437" s="151">
        <f>F437/K2</f>
        <v>9.6901099849247885</v>
      </c>
      <c r="H437" s="149">
        <f>IF(A437&lt;&gt;0,IF($H$2="元",VLOOKUP(A437,[1]合同台帐!$A$4:$K$1093,11,1),VLOOKUP(A437,[1]合同台帐!$A$4:$K$1093,11,1)),0)</f>
        <v>1127572.3999999999</v>
      </c>
      <c r="I437" s="150"/>
      <c r="J437" s="152"/>
      <c r="K437" s="153"/>
    </row>
    <row r="438" spans="1:11" s="154" customFormat="1" ht="23.25" customHeight="1" outlineLevel="3" x14ac:dyDescent="0.15">
      <c r="A438" s="189" t="s">
        <v>1260</v>
      </c>
      <c r="B438" s="146" t="str">
        <f>IF(A438&lt;&gt;0,VLOOKUP(A438,[1]合同台帐!$A$4:$D$893,4,1),"")</f>
        <v>（三期）气源发展费</v>
      </c>
      <c r="C438" s="147"/>
      <c r="D438" s="148"/>
      <c r="E438" s="149"/>
      <c r="F438" s="150">
        <f>IF(A438&lt;&gt;0,VLOOKUP(A438,[1]合同台帐!$A$4:$J$893,6,1),"")</f>
        <v>743063.4</v>
      </c>
      <c r="G438" s="151">
        <f>F438/K2</f>
        <v>6.3857239426684824</v>
      </c>
      <c r="H438" s="149">
        <f>IF(A438&lt;&gt;0,IF($H$2="元",VLOOKUP(A438,[1]合同台帐!$A$4:$K$1093,11,1),VLOOKUP(A438,[1]合同台帐!$A$4:$K$1093,11,1)),0)</f>
        <v>743063.4</v>
      </c>
      <c r="I438" s="150"/>
      <c r="J438" s="152"/>
      <c r="K438" s="153"/>
    </row>
    <row r="439" spans="1:11" ht="12.75" outlineLevel="3" x14ac:dyDescent="0.15">
      <c r="A439" s="174"/>
      <c r="B439" s="156"/>
      <c r="C439" s="157"/>
      <c r="D439" s="158"/>
      <c r="E439" s="159"/>
      <c r="F439" s="160"/>
      <c r="G439" s="161"/>
      <c r="H439" s="159"/>
      <c r="I439" s="177"/>
      <c r="J439" s="162"/>
      <c r="K439" s="136"/>
    </row>
    <row r="440" spans="1:11" ht="12.75" outlineLevel="2" x14ac:dyDescent="0.15">
      <c r="A440" s="174"/>
      <c r="B440" s="156" t="s">
        <v>1261</v>
      </c>
      <c r="C440" s="157"/>
      <c r="D440" s="158">
        <f>E440/K$2*10000</f>
        <v>41.438239677451342</v>
      </c>
      <c r="E440" s="159">
        <v>482.18869999999998</v>
      </c>
      <c r="F440" s="160">
        <f>SUM(F441:F442)</f>
        <v>2430392</v>
      </c>
      <c r="G440" s="160">
        <f t="shared" ref="G440:J440" si="157">SUM(G441:G442)</f>
        <v>20.88625598363469</v>
      </c>
      <c r="H440" s="160">
        <f t="shared" si="157"/>
        <v>1701274.4</v>
      </c>
      <c r="I440" s="160">
        <f t="shared" si="157"/>
        <v>0</v>
      </c>
      <c r="J440" s="160">
        <f t="shared" si="157"/>
        <v>0</v>
      </c>
      <c r="K440" s="136"/>
    </row>
    <row r="441" spans="1:11" s="154" customFormat="1" ht="23.25" customHeight="1" outlineLevel="3" x14ac:dyDescent="0.15">
      <c r="A441" s="145" t="s">
        <v>1262</v>
      </c>
      <c r="B441" s="146" t="str">
        <f>IF(A441&lt;&gt;0,VLOOKUP(A441,[1]合同台帐!$A$4:$D$893,4,1),"")</f>
        <v>一期燃气配套工程</v>
      </c>
      <c r="C441" s="147"/>
      <c r="D441" s="148"/>
      <c r="E441" s="149"/>
      <c r="F441" s="150">
        <f>IF(A441&lt;&gt;0,VLOOKUP(A441,[1]合同台帐!$A$4:$J$893,6,1),"")</f>
        <v>2430392</v>
      </c>
      <c r="G441" s="151">
        <f>F441/K2</f>
        <v>20.88625598363469</v>
      </c>
      <c r="H441" s="149">
        <f>IF(A441&lt;&gt;0,IF($H$2="元",VLOOKUP(A441,[1]合同台帐!$A$4:$K$1093,11,1),VLOOKUP(A441,[1]合同台帐!$A$4:$K$1093,11,1)),0)</f>
        <v>1701274.4</v>
      </c>
      <c r="I441" s="150"/>
      <c r="J441" s="152"/>
      <c r="K441" s="153"/>
    </row>
    <row r="442" spans="1:11" ht="12.75" outlineLevel="3" x14ac:dyDescent="0.15">
      <c r="A442" s="174"/>
      <c r="B442" s="156"/>
      <c r="C442" s="157"/>
      <c r="D442" s="158"/>
      <c r="E442" s="159"/>
      <c r="F442" s="160"/>
      <c r="G442" s="161"/>
      <c r="H442" s="159"/>
      <c r="I442" s="177"/>
      <c r="J442" s="162"/>
      <c r="K442" s="136"/>
    </row>
    <row r="443" spans="1:11" ht="12.75" outlineLevel="2" x14ac:dyDescent="0.15">
      <c r="A443" s="174"/>
      <c r="B443" s="156" t="s">
        <v>1263</v>
      </c>
      <c r="C443" s="157"/>
      <c r="D443" s="158">
        <f>E443/K$2*10000</f>
        <v>1.5843150438772666</v>
      </c>
      <c r="E443" s="159">
        <v>18.435600000000001</v>
      </c>
      <c r="F443" s="160">
        <f>SUM(F444:F445)</f>
        <v>0</v>
      </c>
      <c r="G443" s="160">
        <f t="shared" ref="G443:H443" si="158">SUM(G444:G445)</f>
        <v>0</v>
      </c>
      <c r="H443" s="160">
        <f t="shared" si="158"/>
        <v>0</v>
      </c>
      <c r="I443" s="177"/>
      <c r="J443" s="162"/>
      <c r="K443" s="136"/>
    </row>
    <row r="444" spans="1:11" ht="12.75" outlineLevel="3" x14ac:dyDescent="0.15">
      <c r="A444" s="174"/>
      <c r="B444" s="156"/>
      <c r="C444" s="157"/>
      <c r="D444" s="158"/>
      <c r="E444" s="159"/>
      <c r="F444" s="160"/>
      <c r="G444" s="161"/>
      <c r="H444" s="159"/>
      <c r="I444" s="177"/>
      <c r="J444" s="162"/>
      <c r="K444" s="136"/>
    </row>
    <row r="445" spans="1:11" ht="12.75" outlineLevel="3" x14ac:dyDescent="0.15">
      <c r="A445" s="174"/>
      <c r="B445" s="156"/>
      <c r="C445" s="157"/>
      <c r="D445" s="158"/>
      <c r="E445" s="159"/>
      <c r="F445" s="160"/>
      <c r="G445" s="161"/>
      <c r="H445" s="159"/>
      <c r="I445" s="177"/>
      <c r="J445" s="162"/>
      <c r="K445" s="136"/>
    </row>
    <row r="446" spans="1:11" ht="12.75" outlineLevel="2" x14ac:dyDescent="0.15">
      <c r="A446" s="174"/>
      <c r="B446" s="156" t="s">
        <v>1264</v>
      </c>
      <c r="C446" s="157"/>
      <c r="D446" s="158">
        <f>E446/K$2*10000</f>
        <v>2.51368086926436</v>
      </c>
      <c r="E446" s="159">
        <v>29.25</v>
      </c>
      <c r="F446" s="160">
        <f>SUM(F447:F448)</f>
        <v>182500</v>
      </c>
      <c r="G446" s="160" t="e">
        <f t="shared" ref="G446:H446" si="159">SUM(G447:G448)</f>
        <v>#DIV/0!</v>
      </c>
      <c r="H446" s="160">
        <f t="shared" si="159"/>
        <v>0</v>
      </c>
      <c r="I446" s="177"/>
      <c r="J446" s="162"/>
      <c r="K446" s="136"/>
    </row>
    <row r="447" spans="1:11" s="154" customFormat="1" ht="23.25" customHeight="1" outlineLevel="3" x14ac:dyDescent="0.15">
      <c r="A447" s="185" t="s">
        <v>1265</v>
      </c>
      <c r="B447" s="146" t="str">
        <f>IF(A447&lt;&gt;0,VLOOKUP(A447,[1]合同台帐!$A$4:$D$893,4,1),"")</f>
        <v>一期燃气表购销合同</v>
      </c>
      <c r="C447" s="147"/>
      <c r="D447" s="148"/>
      <c r="E447" s="149"/>
      <c r="F447" s="150">
        <f>IF(A447&lt;&gt;0,VLOOKUP(A447,[1]合同台帐!$A$4:$J$893,6,1),"")</f>
        <v>182500</v>
      </c>
      <c r="G447" s="151" t="e">
        <f>F447/K8</f>
        <v>#DIV/0!</v>
      </c>
      <c r="H447" s="149">
        <f>IF(A447&lt;&gt;0,IF($H$2="元",VLOOKUP(A447,[1]合同台帐!$A$4:$K$1093,11,1),VLOOKUP(A447,[1]合同台帐!$A$4:$K$1093,11,1)),0)</f>
        <v>0</v>
      </c>
      <c r="I447" s="150"/>
      <c r="J447" s="152"/>
      <c r="K447" s="153"/>
    </row>
    <row r="448" spans="1:11" ht="12.75" outlineLevel="3" x14ac:dyDescent="0.15">
      <c r="A448" s="174"/>
      <c r="B448" s="156"/>
      <c r="C448" s="157"/>
      <c r="D448" s="158"/>
      <c r="E448" s="159"/>
      <c r="F448" s="160"/>
      <c r="G448" s="161"/>
      <c r="H448" s="159"/>
      <c r="I448" s="177"/>
      <c r="J448" s="162"/>
      <c r="K448" s="136"/>
    </row>
    <row r="449" spans="1:11" ht="12.75" outlineLevel="2" x14ac:dyDescent="0.15">
      <c r="A449" s="174"/>
      <c r="B449" s="156" t="s">
        <v>1266</v>
      </c>
      <c r="C449" s="157"/>
      <c r="D449" s="158">
        <f>E449/K$2*10000</f>
        <v>2.2623127823379243</v>
      </c>
      <c r="E449" s="159">
        <v>26.324999999999999</v>
      </c>
      <c r="F449" s="160">
        <f>SUM(F450:F451)</f>
        <v>0</v>
      </c>
      <c r="G449" s="160">
        <f t="shared" ref="G449:H449" si="160">SUM(G450:G451)</f>
        <v>0</v>
      </c>
      <c r="H449" s="160">
        <f t="shared" si="160"/>
        <v>0</v>
      </c>
      <c r="I449" s="177"/>
      <c r="J449" s="162"/>
      <c r="K449" s="136"/>
    </row>
    <row r="450" spans="1:11" ht="12.75" outlineLevel="3" x14ac:dyDescent="0.15">
      <c r="A450" s="174"/>
      <c r="B450" s="156"/>
      <c r="C450" s="157"/>
      <c r="D450" s="158"/>
      <c r="E450" s="159"/>
      <c r="F450" s="160"/>
      <c r="G450" s="161"/>
      <c r="H450" s="159"/>
      <c r="I450" s="177"/>
      <c r="J450" s="162"/>
      <c r="K450" s="136"/>
    </row>
    <row r="451" spans="1:11" ht="12.75" outlineLevel="3" x14ac:dyDescent="0.15">
      <c r="A451" s="174"/>
      <c r="C451" s="157"/>
      <c r="D451" s="158"/>
      <c r="E451" s="159"/>
      <c r="F451" s="160"/>
      <c r="G451" s="161"/>
      <c r="H451" s="159"/>
      <c r="I451" s="177"/>
      <c r="J451" s="162"/>
      <c r="K451" s="136"/>
    </row>
    <row r="452" spans="1:11" ht="12.75" outlineLevel="2" x14ac:dyDescent="0.15">
      <c r="A452" s="174"/>
      <c r="B452" s="156" t="s">
        <v>1267</v>
      </c>
      <c r="C452" s="157"/>
      <c r="D452" s="158">
        <f>E452/K$2*10000</f>
        <v>0.50273617385287206</v>
      </c>
      <c r="E452" s="159">
        <v>5.85</v>
      </c>
      <c r="F452" s="160">
        <f>SUM(F453:F454)</f>
        <v>0</v>
      </c>
      <c r="G452" s="160">
        <f t="shared" ref="G452:J452" si="161">SUM(G453:G454)</f>
        <v>0</v>
      </c>
      <c r="H452" s="160">
        <f t="shared" si="161"/>
        <v>0</v>
      </c>
      <c r="I452" s="160">
        <f t="shared" si="161"/>
        <v>0</v>
      </c>
      <c r="J452" s="160">
        <f t="shared" si="161"/>
        <v>0</v>
      </c>
      <c r="K452" s="136"/>
    </row>
    <row r="453" spans="1:11" ht="12.75" outlineLevel="3" x14ac:dyDescent="0.15">
      <c r="A453" s="174"/>
      <c r="B453" s="156"/>
      <c r="C453" s="157"/>
      <c r="D453" s="158"/>
      <c r="E453" s="159"/>
      <c r="F453" s="160"/>
      <c r="G453" s="161"/>
      <c r="H453" s="159"/>
      <c r="I453" s="168"/>
      <c r="J453" s="162"/>
      <c r="K453" s="136"/>
    </row>
    <row r="454" spans="1:11" ht="12.75" outlineLevel="3" x14ac:dyDescent="0.15">
      <c r="A454" s="174"/>
      <c r="B454" s="156"/>
      <c r="C454" s="157"/>
      <c r="D454" s="158"/>
      <c r="E454" s="159"/>
      <c r="F454" s="160"/>
      <c r="G454" s="161"/>
      <c r="H454" s="159"/>
      <c r="I454" s="168"/>
      <c r="J454" s="162"/>
      <c r="K454" s="136"/>
    </row>
    <row r="455" spans="1:11" ht="12.75" outlineLevel="1" x14ac:dyDescent="0.15">
      <c r="A455" s="138"/>
      <c r="B455" s="139" t="s">
        <v>1268</v>
      </c>
      <c r="C455" s="140" t="s">
        <v>1269</v>
      </c>
      <c r="D455" s="165">
        <f t="shared" ref="D455:H455" si="162">D456+D459+D462</f>
        <v>5.6211490194238349</v>
      </c>
      <c r="E455" s="165">
        <f t="shared" si="162"/>
        <v>65.409499999999994</v>
      </c>
      <c r="F455" s="165">
        <f t="shared" si="162"/>
        <v>604900</v>
      </c>
      <c r="G455" s="165" t="e">
        <f t="shared" si="162"/>
        <v>#VALUE!</v>
      </c>
      <c r="H455" s="165">
        <f t="shared" si="162"/>
        <v>100000</v>
      </c>
      <c r="I455" s="200">
        <f>F455-E455*10000</f>
        <v>-49195</v>
      </c>
      <c r="J455" s="143" t="e">
        <f>G455-D455</f>
        <v>#VALUE!</v>
      </c>
      <c r="K455" s="136"/>
    </row>
    <row r="456" spans="1:11" ht="12.75" outlineLevel="2" x14ac:dyDescent="0.15">
      <c r="A456" s="174"/>
      <c r="B456" s="156" t="s">
        <v>1270</v>
      </c>
      <c r="C456" s="157"/>
      <c r="D456" s="158">
        <f>E456/K$2*10000</f>
        <v>2.9994872950404776</v>
      </c>
      <c r="E456" s="159">
        <v>34.902999999999999</v>
      </c>
      <c r="F456" s="160">
        <f>SUM(F457:F458)</f>
        <v>0</v>
      </c>
      <c r="G456" s="160">
        <f t="shared" ref="G456:H456" si="163">SUM(G457:G458)</f>
        <v>0</v>
      </c>
      <c r="H456" s="160">
        <f t="shared" si="163"/>
        <v>0</v>
      </c>
      <c r="I456" s="177"/>
      <c r="J456" s="162"/>
      <c r="K456" s="136"/>
    </row>
    <row r="457" spans="1:11" s="154" customFormat="1" ht="16.5" customHeight="1" outlineLevel="3" x14ac:dyDescent="0.15">
      <c r="A457" s="145" t="s">
        <v>1271</v>
      </c>
      <c r="B457" s="146" t="str">
        <f>IF(A457&lt;&gt;0,VLOOKUP(A457,[1]合同台帐!$A$4:$D$893,4,1),"")</f>
        <v>政务网IP电视及宽带接入协议</v>
      </c>
      <c r="C457" s="147"/>
      <c r="D457" s="148"/>
      <c r="E457" s="149"/>
      <c r="F457" s="150">
        <f>IF(A457&lt;&gt;0,VLOOKUP(A457,[1]合同台帐!$A$4:$J$893,6,1),"")</f>
        <v>0</v>
      </c>
      <c r="G457" s="151">
        <f>F457/K2</f>
        <v>0</v>
      </c>
      <c r="H457" s="149">
        <f>IF(A457&lt;&gt;0,IF($H$2="元",VLOOKUP(A457,[1]合同台帐!$A$4:$K$1093,11,1),VLOOKUP(A457,[1]合同台帐!$A$4:$K$1093,11,1)),0)</f>
        <v>0</v>
      </c>
      <c r="I457" s="150"/>
      <c r="J457" s="152"/>
      <c r="K457" s="153"/>
    </row>
    <row r="458" spans="1:11" ht="12.75" outlineLevel="3" x14ac:dyDescent="0.15">
      <c r="A458" s="174"/>
      <c r="B458" s="156"/>
      <c r="C458" s="157"/>
      <c r="D458" s="158"/>
      <c r="E458" s="159"/>
      <c r="F458" s="160"/>
      <c r="G458" s="161"/>
      <c r="H458" s="159"/>
      <c r="I458" s="168"/>
      <c r="J458" s="162"/>
      <c r="K458" s="136"/>
    </row>
    <row r="459" spans="1:11" ht="12.75" outlineLevel="2" x14ac:dyDescent="0.15">
      <c r="A459" s="174"/>
      <c r="B459" s="156" t="s">
        <v>1272</v>
      </c>
      <c r="C459" s="157"/>
      <c r="D459" s="158">
        <f>E459/K$2*10000</f>
        <v>2.6216617243833573</v>
      </c>
      <c r="E459" s="159">
        <v>30.506499999999999</v>
      </c>
      <c r="F459" s="160">
        <f>SUM(F460:F461)</f>
        <v>0</v>
      </c>
      <c r="G459" s="160">
        <f t="shared" ref="G459:J459" si="164">SUM(G460:G461)</f>
        <v>0</v>
      </c>
      <c r="H459" s="160">
        <f t="shared" si="164"/>
        <v>0</v>
      </c>
      <c r="I459" s="160">
        <f t="shared" si="164"/>
        <v>0</v>
      </c>
      <c r="J459" s="160">
        <f t="shared" si="164"/>
        <v>0</v>
      </c>
      <c r="K459" s="136"/>
    </row>
    <row r="460" spans="1:11" ht="12.75" outlineLevel="3" x14ac:dyDescent="0.15">
      <c r="A460" s="174"/>
      <c r="B460" s="156"/>
      <c r="C460" s="157"/>
      <c r="D460" s="158"/>
      <c r="E460" s="159"/>
      <c r="F460" s="160"/>
      <c r="G460" s="161"/>
      <c r="H460" s="159"/>
      <c r="I460" s="168"/>
      <c r="J460" s="162"/>
      <c r="K460" s="136"/>
    </row>
    <row r="461" spans="1:11" ht="12.75" outlineLevel="3" x14ac:dyDescent="0.15">
      <c r="A461" s="174"/>
      <c r="B461" s="156"/>
      <c r="C461" s="157"/>
      <c r="D461" s="158"/>
      <c r="E461" s="159"/>
      <c r="F461" s="160"/>
      <c r="G461" s="161"/>
      <c r="H461" s="159"/>
      <c r="I461" s="168"/>
      <c r="J461" s="162"/>
      <c r="K461" s="136"/>
    </row>
    <row r="462" spans="1:11" ht="12.75" outlineLevel="2" x14ac:dyDescent="0.15">
      <c r="A462" s="174"/>
      <c r="B462" s="156" t="s">
        <v>1273</v>
      </c>
      <c r="C462" s="157"/>
      <c r="D462" s="158">
        <f>E462/K$2*10000</f>
        <v>0</v>
      </c>
      <c r="E462" s="159">
        <v>0</v>
      </c>
      <c r="F462" s="160">
        <f>SUM(F463:F465)</f>
        <v>604900</v>
      </c>
      <c r="G462" s="160" t="e">
        <f t="shared" ref="G462:H462" si="165">SUM(G463:G465)</f>
        <v>#VALUE!</v>
      </c>
      <c r="H462" s="160">
        <f t="shared" si="165"/>
        <v>100000</v>
      </c>
      <c r="I462" s="177"/>
      <c r="J462" s="162"/>
      <c r="K462" s="136"/>
    </row>
    <row r="463" spans="1:11" s="154" customFormat="1" ht="14.25" customHeight="1" outlineLevel="3" x14ac:dyDescent="0.15">
      <c r="A463" s="145" t="s">
        <v>1274</v>
      </c>
      <c r="B463" s="146" t="str">
        <f>IF(A463&lt;&gt;0,VLOOKUP(A463,[1]合同台帐!$A$4:$D$893,4,1),"")</f>
        <v>弱电综合管网工程</v>
      </c>
      <c r="C463" s="147"/>
      <c r="D463" s="148"/>
      <c r="E463" s="149"/>
      <c r="F463" s="150">
        <f>IF(A463&lt;&gt;0,VLOOKUP(A463,[1]合同台帐!$A$4:$J$893,6,1),"")</f>
        <v>549900</v>
      </c>
      <c r="G463" s="151">
        <f>F463/K2</f>
        <v>4.7257200342169972</v>
      </c>
      <c r="H463" s="149">
        <f>IF(A463&lt;&gt;0,IF($H$2="元",VLOOKUP(A463,[1]合同台帐!$A$4:$K$1093,11,1),VLOOKUP(A463,[1]合同台帐!$A$4:$K$1093,11,1)),0)</f>
        <v>100000</v>
      </c>
      <c r="I463" s="150"/>
      <c r="J463" s="152"/>
      <c r="K463" s="153"/>
    </row>
    <row r="464" spans="1:11" s="154" customFormat="1" ht="14.25" customHeight="1" outlineLevel="3" x14ac:dyDescent="0.15">
      <c r="A464" s="145" t="s">
        <v>1275</v>
      </c>
      <c r="B464" s="146" t="str">
        <f>IF(A464&lt;&gt;0,VLOOKUP(A464,[1]合同台帐!$A$4:$D$893,4,1),"")</f>
        <v>通信线路工程设计合同</v>
      </c>
      <c r="C464" s="147"/>
      <c r="D464" s="148"/>
      <c r="E464" s="149"/>
      <c r="F464" s="150">
        <f>IF(A464&lt;&gt;0,VLOOKUP(A464,[1]合同台帐!$A$4:$J$893,6,1),"")</f>
        <v>55000</v>
      </c>
      <c r="G464" s="151" t="e">
        <f>F464/K3</f>
        <v>#VALUE!</v>
      </c>
      <c r="H464" s="149">
        <f>IF(A464&lt;&gt;0,IF($H$2="元",VLOOKUP(A464,[1]合同台帐!$A$4:$K$1093,11,1),VLOOKUP(A464,[1]合同台帐!$A$4:$K$1093,11,1)),0)</f>
        <v>0</v>
      </c>
      <c r="I464" s="150"/>
      <c r="J464" s="152"/>
      <c r="K464" s="153"/>
    </row>
    <row r="465" spans="1:11" ht="12.75" outlineLevel="3" x14ac:dyDescent="0.15">
      <c r="A465" s="174"/>
      <c r="B465" s="156"/>
      <c r="C465" s="157"/>
      <c r="D465" s="158"/>
      <c r="E465" s="159"/>
      <c r="F465" s="160"/>
      <c r="G465" s="161"/>
      <c r="H465" s="159"/>
      <c r="I465" s="168"/>
      <c r="J465" s="162"/>
      <c r="K465" s="136"/>
    </row>
    <row r="466" spans="1:11" ht="12.75" outlineLevel="1" x14ac:dyDescent="0.15">
      <c r="A466" s="138"/>
      <c r="B466" s="139" t="s">
        <v>1276</v>
      </c>
      <c r="C466" s="140" t="s">
        <v>1269</v>
      </c>
      <c r="D466" s="165">
        <f t="shared" ref="D466:H466" si="166">D467+D470+D473</f>
        <v>20.999994671855937</v>
      </c>
      <c r="E466" s="165">
        <f t="shared" si="166"/>
        <v>244.36270000000002</v>
      </c>
      <c r="F466" s="165">
        <f t="shared" si="166"/>
        <v>0</v>
      </c>
      <c r="G466" s="165">
        <f t="shared" si="166"/>
        <v>0</v>
      </c>
      <c r="H466" s="165">
        <f t="shared" si="166"/>
        <v>0</v>
      </c>
      <c r="I466" s="200">
        <f>F466-E466*10000</f>
        <v>-2443627</v>
      </c>
      <c r="J466" s="143">
        <f>G466-D466</f>
        <v>-20.999994671855937</v>
      </c>
      <c r="K466" s="136"/>
    </row>
    <row r="467" spans="1:11" ht="12.75" outlineLevel="2" x14ac:dyDescent="0.15">
      <c r="A467" s="174"/>
      <c r="B467" s="156" t="s">
        <v>1277</v>
      </c>
      <c r="C467" s="157"/>
      <c r="D467" s="158">
        <f>E467/K$2*10000</f>
        <v>4.9999991406219255</v>
      </c>
      <c r="E467" s="159">
        <v>58.181600000000003</v>
      </c>
      <c r="F467" s="160">
        <f>SUM(F468:F469)</f>
        <v>0</v>
      </c>
      <c r="G467" s="160">
        <f t="shared" ref="G467:H467" si="167">SUM(G468:G469)</f>
        <v>0</v>
      </c>
      <c r="H467" s="160">
        <f t="shared" si="167"/>
        <v>0</v>
      </c>
      <c r="I467" s="177"/>
      <c r="J467" s="162"/>
      <c r="K467" s="136"/>
    </row>
    <row r="468" spans="1:11" ht="12.75" outlineLevel="3" x14ac:dyDescent="0.15">
      <c r="A468" s="174"/>
      <c r="B468" s="156"/>
      <c r="C468" s="157"/>
      <c r="D468" s="158"/>
      <c r="E468" s="159"/>
      <c r="F468" s="160"/>
      <c r="G468" s="161"/>
      <c r="H468" s="159"/>
      <c r="I468" s="168"/>
      <c r="J468" s="162"/>
      <c r="K468" s="136"/>
    </row>
    <row r="469" spans="1:11" ht="12.75" outlineLevel="3" x14ac:dyDescent="0.15">
      <c r="A469" s="174"/>
      <c r="B469" s="156"/>
      <c r="C469" s="157"/>
      <c r="D469" s="158"/>
      <c r="E469" s="159"/>
      <c r="F469" s="160"/>
      <c r="G469" s="161"/>
      <c r="H469" s="159"/>
      <c r="I469" s="168"/>
      <c r="J469" s="162"/>
      <c r="K469" s="136"/>
    </row>
    <row r="470" spans="1:11" ht="12.75" outlineLevel="2" x14ac:dyDescent="0.15">
      <c r="A470" s="174"/>
      <c r="B470" s="156" t="s">
        <v>1278</v>
      </c>
      <c r="C470" s="157"/>
      <c r="D470" s="158">
        <f>E470/K$2*10000</f>
        <v>14.999997421865775</v>
      </c>
      <c r="E470" s="159">
        <v>174.54480000000001</v>
      </c>
      <c r="F470" s="160">
        <f>SUM(F471:F472)</f>
        <v>0</v>
      </c>
      <c r="G470" s="160">
        <f t="shared" ref="G470:H470" si="168">SUM(G471:G472)</f>
        <v>0</v>
      </c>
      <c r="H470" s="160">
        <f t="shared" si="168"/>
        <v>0</v>
      </c>
      <c r="I470" s="177"/>
      <c r="J470" s="162"/>
      <c r="K470" s="136"/>
    </row>
    <row r="471" spans="1:11" ht="12.75" outlineLevel="3" x14ac:dyDescent="0.15">
      <c r="A471" s="174"/>
      <c r="B471" s="156"/>
      <c r="C471" s="157"/>
      <c r="D471" s="158"/>
      <c r="E471" s="159"/>
      <c r="F471" s="160"/>
      <c r="G471" s="161"/>
      <c r="H471" s="159"/>
      <c r="I471" s="168"/>
      <c r="J471" s="162"/>
      <c r="K471" s="136"/>
    </row>
    <row r="472" spans="1:11" ht="12.75" outlineLevel="3" x14ac:dyDescent="0.15">
      <c r="A472" s="174"/>
      <c r="B472" s="156"/>
      <c r="C472" s="157"/>
      <c r="D472" s="158"/>
      <c r="E472" s="159"/>
      <c r="F472" s="160"/>
      <c r="G472" s="161"/>
      <c r="H472" s="159"/>
      <c r="I472" s="168"/>
      <c r="J472" s="162"/>
      <c r="K472" s="136"/>
    </row>
    <row r="473" spans="1:11" ht="12.75" outlineLevel="2" x14ac:dyDescent="0.15">
      <c r="A473" s="174"/>
      <c r="B473" s="156" t="s">
        <v>1279</v>
      </c>
      <c r="C473" s="157"/>
      <c r="D473" s="158">
        <f>E473/K$2*10000</f>
        <v>0.99999810936823519</v>
      </c>
      <c r="E473" s="159">
        <v>11.6363</v>
      </c>
      <c r="F473" s="160">
        <f>SUM(F474:F475)</f>
        <v>0</v>
      </c>
      <c r="G473" s="160">
        <f t="shared" ref="G473:H473" si="169">SUM(G474:G475)</f>
        <v>0</v>
      </c>
      <c r="H473" s="160">
        <f t="shared" si="169"/>
        <v>0</v>
      </c>
      <c r="I473" s="177"/>
      <c r="J473" s="162"/>
      <c r="K473" s="136"/>
    </row>
    <row r="474" spans="1:11" ht="12.75" outlineLevel="3" x14ac:dyDescent="0.15">
      <c r="A474" s="174"/>
      <c r="B474" s="156"/>
      <c r="C474" s="157"/>
      <c r="D474" s="158"/>
      <c r="E474" s="159"/>
      <c r="F474" s="160"/>
      <c r="G474" s="161"/>
      <c r="H474" s="159"/>
      <c r="I474" s="168"/>
      <c r="J474" s="162"/>
      <c r="K474" s="136"/>
    </row>
    <row r="475" spans="1:11" ht="12.75" outlineLevel="3" x14ac:dyDescent="0.15">
      <c r="A475" s="174"/>
      <c r="B475" s="156"/>
      <c r="C475" s="157"/>
      <c r="D475" s="158"/>
      <c r="E475" s="159"/>
      <c r="F475" s="160"/>
      <c r="G475" s="161"/>
      <c r="H475" s="159"/>
      <c r="I475" s="168"/>
      <c r="J475" s="162"/>
      <c r="K475" s="136"/>
    </row>
    <row r="476" spans="1:11" ht="12.75" outlineLevel="1" x14ac:dyDescent="0.15">
      <c r="A476" s="138"/>
      <c r="B476" s="139" t="s">
        <v>1280</v>
      </c>
      <c r="C476" s="140" t="s">
        <v>1281</v>
      </c>
      <c r="D476" s="165">
        <f t="shared" ref="D476:H476" si="170">D477+D480+D483</f>
        <v>2.8398750051777526</v>
      </c>
      <c r="E476" s="165">
        <f t="shared" si="170"/>
        <v>33.045699999999997</v>
      </c>
      <c r="F476" s="165">
        <f t="shared" si="170"/>
        <v>0</v>
      </c>
      <c r="G476" s="165">
        <f t="shared" si="170"/>
        <v>0</v>
      </c>
      <c r="H476" s="165">
        <f t="shared" si="170"/>
        <v>0</v>
      </c>
      <c r="I476" s="200">
        <f>F476-E476*10000</f>
        <v>-330456.99999999994</v>
      </c>
      <c r="J476" s="143">
        <f>G476-D476</f>
        <v>-2.8398750051777526</v>
      </c>
      <c r="K476" s="136"/>
    </row>
    <row r="477" spans="1:11" ht="12.75" outlineLevel="2" x14ac:dyDescent="0.15">
      <c r="A477" s="174"/>
      <c r="B477" s="156" t="s">
        <v>1282</v>
      </c>
      <c r="C477" s="157"/>
      <c r="D477" s="158">
        <f>E477/K$2*10000</f>
        <v>1.0535975199036258</v>
      </c>
      <c r="E477" s="159">
        <v>12.26</v>
      </c>
      <c r="F477" s="160">
        <f>SUM(F478:F479)</f>
        <v>0</v>
      </c>
      <c r="G477" s="160">
        <f t="shared" ref="G477:H477" si="171">SUM(G478:G479)</f>
        <v>0</v>
      </c>
      <c r="H477" s="160">
        <f t="shared" si="171"/>
        <v>0</v>
      </c>
      <c r="I477" s="177"/>
      <c r="J477" s="162"/>
      <c r="K477" s="136"/>
    </row>
    <row r="478" spans="1:11" ht="12.75" outlineLevel="3" x14ac:dyDescent="0.15">
      <c r="A478" s="174"/>
      <c r="B478" s="156"/>
      <c r="C478" s="157"/>
      <c r="D478" s="158"/>
      <c r="E478" s="159"/>
      <c r="F478" s="160"/>
      <c r="G478" s="161"/>
      <c r="H478" s="159"/>
      <c r="I478" s="168"/>
      <c r="J478" s="162"/>
      <c r="K478" s="136"/>
    </row>
    <row r="479" spans="1:11" ht="12.75" outlineLevel="3" x14ac:dyDescent="0.15">
      <c r="A479" s="174"/>
      <c r="B479" s="156"/>
      <c r="C479" s="157"/>
      <c r="D479" s="158"/>
      <c r="E479" s="159"/>
      <c r="F479" s="160"/>
      <c r="G479" s="161"/>
      <c r="H479" s="159"/>
      <c r="I479" s="168"/>
      <c r="J479" s="162"/>
      <c r="K479" s="136"/>
    </row>
    <row r="480" spans="1:11" ht="12.75" outlineLevel="2" x14ac:dyDescent="0.15">
      <c r="A480" s="174"/>
      <c r="B480" s="156" t="s">
        <v>1283</v>
      </c>
      <c r="C480" s="157"/>
      <c r="D480" s="158">
        <f>E480/K$2*10000</f>
        <v>1.7862774852741268</v>
      </c>
      <c r="E480" s="159">
        <v>20.785699999999999</v>
      </c>
      <c r="F480" s="160">
        <f>SUM(F481:F482)</f>
        <v>0</v>
      </c>
      <c r="G480" s="160">
        <f t="shared" ref="G480:H480" si="172">SUM(G481:G482)</f>
        <v>0</v>
      </c>
      <c r="H480" s="160">
        <f t="shared" si="172"/>
        <v>0</v>
      </c>
      <c r="I480" s="177"/>
      <c r="J480" s="162"/>
      <c r="K480" s="136"/>
    </row>
    <row r="481" spans="1:11" ht="12.75" outlineLevel="3" x14ac:dyDescent="0.15">
      <c r="A481" s="174"/>
      <c r="B481" s="156"/>
      <c r="C481" s="157"/>
      <c r="D481" s="158"/>
      <c r="E481" s="159"/>
      <c r="F481" s="160"/>
      <c r="G481" s="161"/>
      <c r="H481" s="159"/>
      <c r="I481" s="168"/>
      <c r="J481" s="162"/>
      <c r="K481" s="136"/>
    </row>
    <row r="482" spans="1:11" ht="12.75" outlineLevel="3" x14ac:dyDescent="0.15">
      <c r="A482" s="174"/>
      <c r="B482" s="156"/>
      <c r="C482" s="157"/>
      <c r="D482" s="158"/>
      <c r="E482" s="159"/>
      <c r="F482" s="160"/>
      <c r="G482" s="161"/>
      <c r="H482" s="159"/>
      <c r="I482" s="168"/>
      <c r="J482" s="162"/>
      <c r="K482" s="136"/>
    </row>
    <row r="483" spans="1:11" ht="12.75" outlineLevel="2" x14ac:dyDescent="0.15">
      <c r="A483" s="174"/>
      <c r="B483" s="156" t="s">
        <v>1284</v>
      </c>
      <c r="C483" s="157"/>
      <c r="D483" s="158">
        <f>E483/K$2*10000</f>
        <v>0</v>
      </c>
      <c r="E483" s="159">
        <v>0</v>
      </c>
      <c r="F483" s="160">
        <f>SUM(F484:F484)</f>
        <v>0</v>
      </c>
      <c r="G483" s="160">
        <f t="shared" ref="G483:H483" si="173">SUM(G484:G484)</f>
        <v>0</v>
      </c>
      <c r="H483" s="160">
        <f t="shared" si="173"/>
        <v>0</v>
      </c>
      <c r="I483" s="177"/>
      <c r="J483" s="162"/>
      <c r="K483" s="136"/>
    </row>
    <row r="484" spans="1:11" ht="12.75" outlineLevel="3" x14ac:dyDescent="0.15">
      <c r="A484" s="174"/>
      <c r="B484" s="156"/>
      <c r="C484" s="157"/>
      <c r="D484" s="158"/>
      <c r="E484" s="159"/>
      <c r="F484" s="160"/>
      <c r="G484" s="161"/>
      <c r="H484" s="159"/>
      <c r="I484" s="168"/>
      <c r="J484" s="162"/>
      <c r="K484" s="136"/>
    </row>
    <row r="485" spans="1:11" s="137" customFormat="1" ht="12.75" x14ac:dyDescent="0.15">
      <c r="A485" s="131"/>
      <c r="B485" s="132" t="s">
        <v>1285</v>
      </c>
      <c r="C485" s="133" t="s">
        <v>1286</v>
      </c>
      <c r="D485" s="135">
        <f t="shared" ref="D485:J485" si="174">D486+D490+D507+D503</f>
        <v>68.196179170703601</v>
      </c>
      <c r="E485" s="135">
        <f t="shared" si="174"/>
        <v>793.55269999999996</v>
      </c>
      <c r="F485" s="135">
        <f t="shared" si="174"/>
        <v>6481753.0500000007</v>
      </c>
      <c r="G485" s="135">
        <f t="shared" si="174"/>
        <v>55.70276458489203</v>
      </c>
      <c r="H485" s="135">
        <f t="shared" si="174"/>
        <v>6481753.0500000007</v>
      </c>
      <c r="I485" s="135">
        <f t="shared" si="174"/>
        <v>-1453773.949999999</v>
      </c>
      <c r="J485" s="135">
        <f t="shared" si="174"/>
        <v>-12.493414585811564</v>
      </c>
      <c r="K485" s="136"/>
    </row>
    <row r="486" spans="1:11" ht="24" outlineLevel="1" x14ac:dyDescent="0.15">
      <c r="A486" s="138"/>
      <c r="B486" s="139" t="s">
        <v>1287</v>
      </c>
      <c r="C486" s="140" t="s">
        <v>1288</v>
      </c>
      <c r="D486" s="164">
        <f>E486/K2*10000</f>
        <v>55.692262555126952</v>
      </c>
      <c r="E486" s="164">
        <v>648.05309999999997</v>
      </c>
      <c r="F486" s="165">
        <f>SUM(F487:F489)</f>
        <v>6481753.0500000007</v>
      </c>
      <c r="G486" s="165">
        <f t="shared" ref="G486:H486" si="175">SUM(G487:G489)</f>
        <v>55.70276458489203</v>
      </c>
      <c r="H486" s="165">
        <f t="shared" si="175"/>
        <v>6481753.0500000007</v>
      </c>
      <c r="I486" s="200">
        <f>F486-E486*10000</f>
        <v>1222.0500000007451</v>
      </c>
      <c r="J486" s="143">
        <f>G486-D486</f>
        <v>1.0502029765078191E-2</v>
      </c>
      <c r="K486" s="136"/>
    </row>
    <row r="487" spans="1:11" s="154" customFormat="1" ht="23.25" customHeight="1" outlineLevel="3" x14ac:dyDescent="0.15">
      <c r="A487" s="185" t="s">
        <v>1289</v>
      </c>
      <c r="B487" s="146" t="str">
        <f>IF(A487&lt;&gt;0,VLOOKUP(A487,[1]合同台帐!$A$4:$D$893,4,1),"")</f>
        <v>小配套费（一期）</v>
      </c>
      <c r="C487" s="147"/>
      <c r="D487" s="148"/>
      <c r="E487" s="149"/>
      <c r="F487" s="150">
        <f>IF(A487&lt;&gt;0,VLOOKUP(A487,[1]合同台帐!$A$4:$J$893,6,1),"")</f>
        <v>3907038.37</v>
      </c>
      <c r="G487" s="151">
        <f>F487/K2</f>
        <v>33.576231132139519</v>
      </c>
      <c r="H487" s="149">
        <f>IF(A487&lt;&gt;0,IF($H$2="元",VLOOKUP(A487,[1]合同台帐!$A$4:$K$1093,11,1),VLOOKUP(A487,[1]合同台帐!$A$4:$K$1093,11,1)),0)</f>
        <v>3907038.37</v>
      </c>
      <c r="I487" s="150"/>
      <c r="J487" s="152"/>
      <c r="K487" s="153"/>
    </row>
    <row r="488" spans="1:11" s="154" customFormat="1" ht="23.25" customHeight="1" outlineLevel="3" x14ac:dyDescent="0.15">
      <c r="A488" s="189" t="s">
        <v>1290</v>
      </c>
      <c r="B488" s="146" t="str">
        <f>IF(A488&lt;&gt;0,VLOOKUP(A488,[1]合同台帐!$A$4:$D$893,4,1),"")</f>
        <v>（三期）小配套费</v>
      </c>
      <c r="C488" s="147"/>
      <c r="D488" s="148"/>
      <c r="E488" s="149"/>
      <c r="F488" s="150">
        <f>IF(A488&lt;&gt;0,VLOOKUP(A488,[1]合同台帐!$A$4:$J$893,6,1),"")</f>
        <v>2574714.6800000002</v>
      </c>
      <c r="G488" s="151">
        <f>F488/K2</f>
        <v>22.126533452752511</v>
      </c>
      <c r="H488" s="149">
        <f>IF(A488&lt;&gt;0,IF($H$2="元",VLOOKUP(A488,[1]合同台帐!$A$4:$K$1093,11,1),VLOOKUP(A488,[1]合同台帐!$A$4:$K$1093,11,1)),0)</f>
        <v>2574714.6800000002</v>
      </c>
      <c r="I488" s="150"/>
      <c r="J488" s="152"/>
      <c r="K488" s="153"/>
    </row>
    <row r="489" spans="1:11" s="144" customFormat="1" ht="12.75" outlineLevel="2" x14ac:dyDescent="0.15">
      <c r="A489" s="169"/>
      <c r="B489" s="170"/>
      <c r="C489" s="171"/>
      <c r="D489" s="158"/>
      <c r="E489" s="202"/>
      <c r="F489" s="203"/>
      <c r="G489" s="162"/>
      <c r="H489" s="159"/>
      <c r="I489" s="172"/>
      <c r="J489" s="162"/>
      <c r="K489" s="136"/>
    </row>
    <row r="490" spans="1:11" ht="12.75" outlineLevel="1" x14ac:dyDescent="0.15">
      <c r="A490" s="138"/>
      <c r="B490" s="139" t="s">
        <v>1291</v>
      </c>
      <c r="C490" s="140" t="s">
        <v>1292</v>
      </c>
      <c r="D490" s="165">
        <f t="shared" ref="D490:H490" si="176">D491+D494+D497+D500</f>
        <v>12.503916615576642</v>
      </c>
      <c r="E490" s="165">
        <f t="shared" si="176"/>
        <v>145.49959999999999</v>
      </c>
      <c r="F490" s="165">
        <f t="shared" si="176"/>
        <v>0</v>
      </c>
      <c r="G490" s="165">
        <f t="shared" si="176"/>
        <v>0</v>
      </c>
      <c r="H490" s="165">
        <f t="shared" si="176"/>
        <v>0</v>
      </c>
      <c r="I490" s="200">
        <f>F490-E490*10000</f>
        <v>-1454995.9999999998</v>
      </c>
      <c r="J490" s="143">
        <f>G490-D490</f>
        <v>-12.503916615576642</v>
      </c>
      <c r="K490" s="136"/>
    </row>
    <row r="491" spans="1:11" ht="24" outlineLevel="2" x14ac:dyDescent="0.15">
      <c r="A491" s="174"/>
      <c r="B491" s="156" t="s">
        <v>1293</v>
      </c>
      <c r="C491" s="157"/>
      <c r="D491" s="158">
        <f>E491/K$2*10000</f>
        <v>5.358823862041632</v>
      </c>
      <c r="E491" s="159">
        <v>62.356999999999999</v>
      </c>
      <c r="F491" s="160">
        <f>SUM(F492:F493)</f>
        <v>0</v>
      </c>
      <c r="G491" s="160">
        <f t="shared" ref="G491:H491" si="177">SUM(G492:G493)</f>
        <v>0</v>
      </c>
      <c r="H491" s="160">
        <f t="shared" si="177"/>
        <v>0</v>
      </c>
      <c r="I491" s="177"/>
      <c r="J491" s="162"/>
      <c r="K491" s="136"/>
    </row>
    <row r="492" spans="1:11" ht="12.75" outlineLevel="3" x14ac:dyDescent="0.15">
      <c r="A492" s="174"/>
      <c r="B492" s="156"/>
      <c r="C492" s="157"/>
      <c r="D492" s="158"/>
      <c r="E492" s="159"/>
      <c r="F492" s="160"/>
      <c r="G492" s="161"/>
      <c r="H492" s="159"/>
      <c r="I492" s="168"/>
      <c r="J492" s="162"/>
      <c r="K492" s="136"/>
    </row>
    <row r="493" spans="1:11" ht="12.75" outlineLevel="3" x14ac:dyDescent="0.15">
      <c r="A493" s="174"/>
      <c r="B493" s="156"/>
      <c r="C493" s="157"/>
      <c r="D493" s="158"/>
      <c r="E493" s="159"/>
      <c r="F493" s="160"/>
      <c r="G493" s="161"/>
      <c r="H493" s="159"/>
      <c r="I493" s="168"/>
      <c r="J493" s="162"/>
      <c r="K493" s="136"/>
    </row>
    <row r="494" spans="1:11" ht="24" outlineLevel="2" x14ac:dyDescent="0.15">
      <c r="A494" s="174"/>
      <c r="B494" s="156" t="s">
        <v>1294</v>
      </c>
      <c r="C494" s="157"/>
      <c r="D494" s="158">
        <f>E494/K$2*10000</f>
        <v>5.358823862041632</v>
      </c>
      <c r="E494" s="159">
        <v>62.356999999999999</v>
      </c>
      <c r="F494" s="160">
        <f>SUM(F495:F496)</f>
        <v>0</v>
      </c>
      <c r="G494" s="160">
        <f t="shared" ref="G494:H494" si="178">SUM(G495:G496)</f>
        <v>0</v>
      </c>
      <c r="H494" s="160">
        <f t="shared" si="178"/>
        <v>0</v>
      </c>
      <c r="I494" s="177"/>
      <c r="J494" s="162"/>
      <c r="K494" s="136"/>
    </row>
    <row r="495" spans="1:11" ht="12.75" outlineLevel="3" x14ac:dyDescent="0.15">
      <c r="A495" s="174"/>
      <c r="B495" s="156"/>
      <c r="C495" s="157"/>
      <c r="D495" s="158"/>
      <c r="E495" s="159"/>
      <c r="F495" s="160"/>
      <c r="G495" s="161"/>
      <c r="H495" s="159"/>
      <c r="I495" s="168"/>
      <c r="J495" s="162"/>
      <c r="K495" s="136"/>
    </row>
    <row r="496" spans="1:11" ht="12.75" outlineLevel="3" x14ac:dyDescent="0.15">
      <c r="A496" s="174"/>
      <c r="B496" s="156"/>
      <c r="C496" s="157"/>
      <c r="D496" s="158"/>
      <c r="E496" s="159"/>
      <c r="F496" s="160"/>
      <c r="G496" s="161"/>
      <c r="H496" s="159"/>
      <c r="I496" s="168"/>
      <c r="J496" s="162"/>
      <c r="K496" s="136"/>
    </row>
    <row r="497" spans="1:13" ht="12.75" outlineLevel="2" x14ac:dyDescent="0.15">
      <c r="A497" s="174"/>
      <c r="B497" s="156" t="s">
        <v>1295</v>
      </c>
      <c r="C497" s="157"/>
      <c r="D497" s="158">
        <f>E497/K$2*10000</f>
        <v>0.89313444574668854</v>
      </c>
      <c r="E497" s="159">
        <v>10.392799999999999</v>
      </c>
      <c r="F497" s="160">
        <f>SUM(F498:F499)</f>
        <v>0</v>
      </c>
      <c r="G497" s="160">
        <f t="shared" ref="G497:J497" si="179">SUM(G498:G499)</f>
        <v>0</v>
      </c>
      <c r="H497" s="160">
        <f t="shared" si="179"/>
        <v>0</v>
      </c>
      <c r="I497" s="160">
        <f t="shared" si="179"/>
        <v>0</v>
      </c>
      <c r="J497" s="160">
        <f t="shared" si="179"/>
        <v>0</v>
      </c>
      <c r="K497" s="136"/>
    </row>
    <row r="498" spans="1:13" ht="12.75" outlineLevel="3" x14ac:dyDescent="0.15">
      <c r="A498" s="174"/>
      <c r="B498" s="156"/>
      <c r="C498" s="157"/>
      <c r="D498" s="158"/>
      <c r="E498" s="159"/>
      <c r="F498" s="160"/>
      <c r="G498" s="161"/>
      <c r="H498" s="159"/>
      <c r="I498" s="168"/>
      <c r="J498" s="162"/>
      <c r="K498" s="136"/>
    </row>
    <row r="499" spans="1:13" ht="12.75" outlineLevel="3" x14ac:dyDescent="0.15">
      <c r="A499" s="174"/>
      <c r="B499" s="156"/>
      <c r="C499" s="157"/>
      <c r="D499" s="158"/>
      <c r="E499" s="159"/>
      <c r="F499" s="160"/>
      <c r="G499" s="161"/>
      <c r="H499" s="159"/>
      <c r="I499" s="168"/>
      <c r="J499" s="162"/>
      <c r="K499" s="136"/>
    </row>
    <row r="500" spans="1:13" ht="12.75" outlineLevel="2" x14ac:dyDescent="0.15">
      <c r="A500" s="174"/>
      <c r="B500" s="156" t="s">
        <v>1296</v>
      </c>
      <c r="C500" s="157"/>
      <c r="D500" s="158">
        <f>E500/K$2*10000</f>
        <v>0.89313444574668854</v>
      </c>
      <c r="E500" s="159">
        <v>10.392799999999999</v>
      </c>
      <c r="F500" s="160">
        <f>SUM(F501:F502)</f>
        <v>0</v>
      </c>
      <c r="G500" s="160">
        <f t="shared" ref="G500:H500" si="180">SUM(G501:G502)</f>
        <v>0</v>
      </c>
      <c r="H500" s="160">
        <f t="shared" si="180"/>
        <v>0</v>
      </c>
      <c r="I500" s="177"/>
      <c r="J500" s="162"/>
      <c r="K500" s="136"/>
    </row>
    <row r="501" spans="1:13" ht="12.75" outlineLevel="3" x14ac:dyDescent="0.15">
      <c r="A501" s="174"/>
      <c r="B501" s="156"/>
      <c r="C501" s="157"/>
      <c r="D501" s="158"/>
      <c r="E501" s="159"/>
      <c r="F501" s="160"/>
      <c r="G501" s="161"/>
      <c r="H501" s="159"/>
      <c r="I501" s="168"/>
      <c r="J501" s="162"/>
      <c r="K501" s="136"/>
    </row>
    <row r="502" spans="1:13" ht="12.75" outlineLevel="3" x14ac:dyDescent="0.15">
      <c r="A502" s="174"/>
      <c r="B502" s="156"/>
      <c r="C502" s="157"/>
      <c r="D502" s="158"/>
      <c r="E502" s="159"/>
      <c r="F502" s="160"/>
      <c r="G502" s="161"/>
      <c r="H502" s="159"/>
      <c r="I502" s="168"/>
      <c r="J502" s="162"/>
      <c r="K502" s="136"/>
    </row>
    <row r="503" spans="1:13" ht="12.75" outlineLevel="1" x14ac:dyDescent="0.15">
      <c r="A503" s="138"/>
      <c r="B503" s="139" t="s">
        <v>1297</v>
      </c>
      <c r="C503" s="140" t="s">
        <v>1292</v>
      </c>
      <c r="D503" s="163">
        <f>E503/K$2*10000</f>
        <v>0</v>
      </c>
      <c r="E503" s="164">
        <v>0</v>
      </c>
      <c r="F503" s="165">
        <f>SUM(F504:F506)</f>
        <v>0</v>
      </c>
      <c r="G503" s="165">
        <f t="shared" ref="G503:H503" si="181">SUM(G504:G506)</f>
        <v>0</v>
      </c>
      <c r="H503" s="165">
        <f t="shared" si="181"/>
        <v>0</v>
      </c>
      <c r="I503" s="200">
        <f>F503-E503*10000</f>
        <v>0</v>
      </c>
      <c r="J503" s="143">
        <f>G503-D503</f>
        <v>0</v>
      </c>
      <c r="K503" s="136"/>
    </row>
    <row r="504" spans="1:13" ht="12.75" outlineLevel="2" x14ac:dyDescent="0.15">
      <c r="A504" s="174"/>
      <c r="B504" s="156"/>
      <c r="C504" s="157"/>
      <c r="D504" s="158"/>
      <c r="E504" s="159"/>
      <c r="F504" s="160"/>
      <c r="G504" s="161"/>
      <c r="H504" s="161"/>
      <c r="I504" s="177"/>
      <c r="J504" s="162"/>
      <c r="K504" s="136"/>
    </row>
    <row r="505" spans="1:13" ht="12.75" outlineLevel="3" x14ac:dyDescent="0.15">
      <c r="A505" s="174"/>
      <c r="B505" s="156"/>
      <c r="C505" s="157"/>
      <c r="D505" s="158"/>
      <c r="E505" s="159"/>
      <c r="F505" s="160"/>
      <c r="G505" s="161"/>
      <c r="H505" s="159"/>
      <c r="I505" s="168"/>
      <c r="J505" s="162"/>
      <c r="K505" s="136"/>
    </row>
    <row r="506" spans="1:13" ht="12.75" outlineLevel="3" x14ac:dyDescent="0.15">
      <c r="A506" s="174"/>
      <c r="B506" s="156"/>
      <c r="C506" s="157"/>
      <c r="D506" s="158"/>
      <c r="E506" s="159"/>
      <c r="F506" s="160"/>
      <c r="G506" s="161"/>
      <c r="H506" s="159"/>
      <c r="I506" s="168"/>
      <c r="J506" s="162"/>
      <c r="K506" s="136"/>
    </row>
    <row r="507" spans="1:13" ht="12.75" outlineLevel="1" x14ac:dyDescent="0.15">
      <c r="A507" s="138"/>
      <c r="B507" s="139" t="s">
        <v>1298</v>
      </c>
      <c r="C507" s="140" t="s">
        <v>1299</v>
      </c>
      <c r="D507" s="163"/>
      <c r="E507" s="164"/>
      <c r="F507" s="165">
        <f>SUM(F508:F509)</f>
        <v>0</v>
      </c>
      <c r="G507" s="165">
        <f t="shared" ref="G507:J507" si="182">SUM(G508:G509)</f>
        <v>0</v>
      </c>
      <c r="H507" s="165">
        <f t="shared" si="182"/>
        <v>0</v>
      </c>
      <c r="I507" s="165">
        <f t="shared" si="182"/>
        <v>0</v>
      </c>
      <c r="J507" s="165">
        <f t="shared" si="182"/>
        <v>0</v>
      </c>
      <c r="K507" s="136"/>
      <c r="M507" s="116" t="e">
        <f>2689020+(-成本明细!#REF!)</f>
        <v>#REF!</v>
      </c>
    </row>
    <row r="508" spans="1:13" ht="12.75" outlineLevel="2" x14ac:dyDescent="0.15">
      <c r="A508" s="174"/>
      <c r="B508" s="156"/>
      <c r="C508" s="157"/>
      <c r="D508" s="158"/>
      <c r="E508" s="159"/>
      <c r="F508" s="160"/>
      <c r="G508" s="161"/>
      <c r="H508" s="161"/>
      <c r="I508" s="177"/>
      <c r="J508" s="162"/>
      <c r="K508" s="136"/>
    </row>
    <row r="509" spans="1:13" ht="12.75" outlineLevel="2" x14ac:dyDescent="0.15">
      <c r="A509" s="174"/>
      <c r="B509" s="156"/>
      <c r="C509" s="157"/>
      <c r="D509" s="158"/>
      <c r="E509" s="159"/>
      <c r="F509" s="160"/>
      <c r="G509" s="161"/>
      <c r="H509" s="159"/>
      <c r="I509" s="168"/>
      <c r="J509" s="162"/>
      <c r="K509" s="136"/>
    </row>
    <row r="510" spans="1:13" s="137" customFormat="1" ht="13.5" customHeight="1" x14ac:dyDescent="0.15">
      <c r="A510" s="131"/>
      <c r="B510" s="132" t="s">
        <v>1300</v>
      </c>
      <c r="C510" s="133"/>
      <c r="D510" s="204">
        <f>E510/K$2*10000</f>
        <v>16.742034123840849</v>
      </c>
      <c r="E510" s="173">
        <v>194.81569999999999</v>
      </c>
      <c r="F510" s="135">
        <f>SUM(F511:F518)</f>
        <v>317649</v>
      </c>
      <c r="G510" s="135">
        <f t="shared" ref="G510:H510" si="183">SUM(G511:G518)</f>
        <v>2.7298058613365979</v>
      </c>
      <c r="H510" s="135">
        <f t="shared" si="183"/>
        <v>228959.2</v>
      </c>
      <c r="I510" s="192">
        <f>F510-E510*10000</f>
        <v>-1630508</v>
      </c>
      <c r="J510" s="134">
        <f>G510-D510</f>
        <v>-14.012228262504252</v>
      </c>
      <c r="K510" s="136"/>
    </row>
    <row r="511" spans="1:13" s="154" customFormat="1" ht="12.75" outlineLevel="3" x14ac:dyDescent="0.15">
      <c r="A511" s="181" t="s">
        <v>1301</v>
      </c>
      <c r="B511" s="146" t="str">
        <f>IF(A511&lt;&gt;0,VLOOKUP(A511,[1]合同台帐!$A$4:$D$195,4,1),"")</f>
        <v>公告展示牌（报修详）</v>
      </c>
      <c r="C511" s="147"/>
      <c r="D511" s="148"/>
      <c r="E511" s="149"/>
      <c r="F511" s="150">
        <f>IF(A511&lt;&gt;0,IF(VLOOKUP(A511,[1]合同台帐!$A$4:$G$195,7,1),IF($H$2="元",VLOOKUP(A511,[1]合同台帐!$A$4:$G$195,7,1),VLOOKUP(A511,[1]合同台帐!$A$4:$G$195,7,1)),IF($H$2="元",VLOOKUP(A511,[1]合同台帐!$A$4:$F$195,6,1),VLOOKUP(A511,[1]合同台帐!$A$4:$F$195,6,1))),0)</f>
        <v>16200</v>
      </c>
      <c r="G511" s="151">
        <f>F511/K$2</f>
        <v>0.13921924814387227</v>
      </c>
      <c r="H511" s="149">
        <f>IF(A511&lt;&gt;0,IF($H$2="元",VLOOKUP(A511,[1]合同台帐!$A$4:$K$1093,11,1),VLOOKUP(A511,[1]合同台帐!$A$4:$K$1093,11,1)),0)</f>
        <v>16200</v>
      </c>
      <c r="I511" s="177"/>
      <c r="J511" s="152"/>
      <c r="K511" s="178"/>
    </row>
    <row r="512" spans="1:13" s="154" customFormat="1" ht="12.75" outlineLevel="3" x14ac:dyDescent="0.15">
      <c r="A512" s="181" t="s">
        <v>1302</v>
      </c>
      <c r="B512" s="146" t="str">
        <f>IF(A512&lt;&gt;0,VLOOKUP(A512,[1]合同台帐!$A$4:$D$195,4,1),"")</f>
        <v>专家论证费</v>
      </c>
      <c r="C512" s="147"/>
      <c r="D512" s="148"/>
      <c r="E512" s="149"/>
      <c r="F512" s="150">
        <f>IF(A512&lt;&gt;0,IF(VLOOKUP(A512,[1]合同台帐!$A$4:$G$195,7,1),IF($H$2="元",VLOOKUP(A512,[1]合同台帐!$A$4:$G$195,7,1),VLOOKUP(A512,[1]合同台帐!$A$4:$G$195,7,1)),IF($H$2="元",VLOOKUP(A512,[1]合同台帐!$A$4:$F$195,6,1),VLOOKUP(A512,[1]合同台帐!$A$4:$F$195,6,1))),0)</f>
        <v>2000</v>
      </c>
      <c r="G512" s="151">
        <f>F512/K$2</f>
        <v>1.7187561499243491E-2</v>
      </c>
      <c r="H512" s="149">
        <f>IF(A512&lt;&gt;0,IF($H$2="元",VLOOKUP(A512,[1]合同台帐!$A$4:$K$1093,11,1),VLOOKUP(A512,[1]合同台帐!$A$4:$K$1093,11,1)),0)</f>
        <v>2000</v>
      </c>
      <c r="I512" s="177"/>
      <c r="J512" s="152"/>
      <c r="K512" s="178"/>
    </row>
    <row r="513" spans="1:11" s="154" customFormat="1" ht="16.5" customHeight="1" outlineLevel="3" x14ac:dyDescent="0.15">
      <c r="A513" s="145" t="s">
        <v>1303</v>
      </c>
      <c r="B513" s="146" t="str">
        <f>IF(A513&lt;&gt;0,VLOOKUP(A513,[1]合同台帐!$A$4:$D$893,4,1),"")</f>
        <v>示范区夜景照明</v>
      </c>
      <c r="C513" s="147"/>
      <c r="D513" s="148"/>
      <c r="E513" s="149"/>
      <c r="F513" s="150">
        <f>IF(A513&lt;&gt;0,VLOOKUP(A513,[1]合同台帐!$A$4:$J$893,6,1),"")</f>
        <v>213449</v>
      </c>
      <c r="G513" s="151">
        <f>F513/K2</f>
        <v>1.8343339072260119</v>
      </c>
      <c r="H513" s="149">
        <f>IF(A513&lt;&gt;0,IF($H$2="元",VLOOKUP(A513,[1]合同台帐!$A$4:$K$1093,11,1),VLOOKUP(A513,[1]合同台帐!$A$4:$K$1093,11,1)),0)</f>
        <v>170759.2</v>
      </c>
      <c r="I513" s="150"/>
      <c r="J513" s="152"/>
      <c r="K513" s="153"/>
    </row>
    <row r="514" spans="1:11" s="154" customFormat="1" ht="12.75" outlineLevel="2" x14ac:dyDescent="0.15">
      <c r="A514" s="181" t="s">
        <v>1304</v>
      </c>
      <c r="B514" s="146" t="str">
        <f>IF(A514&lt;&gt;0,VLOOKUP(A514,[1]合同台帐!$A$4:$D$195,4,1),"")</f>
        <v>现场监控设备采购安装</v>
      </c>
      <c r="C514" s="147"/>
      <c r="D514" s="148"/>
      <c r="E514" s="149"/>
      <c r="F514" s="150">
        <f>IF(A514&lt;&gt;0,IF(VLOOKUP(A514,[1]合同台帐!$A$4:$G$195,7,1),IF($H$2="元",VLOOKUP(A514,[1]合同台帐!$A$4:$G$195,7,1),VLOOKUP(A514,[1]合同台帐!$A$4:$G$195,7,1)),IF($H$2="元",VLOOKUP(A514,[1]合同台帐!$A$4:$F$195,6,1),VLOOKUP(A514,[1]合同台帐!$A$4:$F$195,6,1))),0)</f>
        <v>29000</v>
      </c>
      <c r="G514" s="151">
        <f>F514/K$2</f>
        <v>0.24921964173903061</v>
      </c>
      <c r="H514" s="149">
        <f>IF(A514&lt;&gt;0,IF($H$2="元",VLOOKUP(A514,[1]合同台帐!$A$4:$K$1093,11,1),VLOOKUP(A514,[1]合同台帐!$A$4:$K$1093,11,1)),0)</f>
        <v>0</v>
      </c>
      <c r="I514" s="177"/>
      <c r="J514" s="152"/>
      <c r="K514" s="178"/>
    </row>
    <row r="515" spans="1:11" s="154" customFormat="1" ht="12.75" outlineLevel="2" x14ac:dyDescent="0.15">
      <c r="A515" s="181" t="s">
        <v>1305</v>
      </c>
      <c r="B515" s="146" t="str">
        <f>IF(A515&lt;&gt;0,VLOOKUP(A515,[1]合同台帐!$A$4:$D$195,4,1),"")</f>
        <v>现场扬尘监测设备</v>
      </c>
      <c r="C515" s="147"/>
      <c r="D515" s="148"/>
      <c r="E515" s="149"/>
      <c r="F515" s="150">
        <f>IF(A515&lt;&gt;0,IF(VLOOKUP(A515,[1]合同台帐!$A$4:$G$195,7,1),IF($H$2="元",VLOOKUP(A515,[1]合同台帐!$A$4:$G$195,7,1),VLOOKUP(A515,[1]合同台帐!$A$4:$G$195,7,1)),IF($H$2="元",VLOOKUP(A515,[1]合同台帐!$A$4:$F$195,6,1),VLOOKUP(A515,[1]合同台帐!$A$4:$F$195,6,1))),0)</f>
        <v>40000</v>
      </c>
      <c r="G515" s="151">
        <f>F515/K$2</f>
        <v>0.34375122998486979</v>
      </c>
      <c r="H515" s="149">
        <f>IF(A515&lt;&gt;0,IF($H$2="元",VLOOKUP(A515,[1]合同台帐!$A$4:$K$1093,11,1),VLOOKUP(A515,[1]合同台帐!$A$4:$K$1093,11,1)),0)</f>
        <v>40000</v>
      </c>
      <c r="I515" s="177"/>
      <c r="J515" s="152"/>
      <c r="K515" s="178"/>
    </row>
    <row r="516" spans="1:11" s="154" customFormat="1" ht="12.75" outlineLevel="2" x14ac:dyDescent="0.15">
      <c r="A516" s="181" t="s">
        <v>1306</v>
      </c>
      <c r="B516" s="146" t="str">
        <f>IF(A516&lt;&gt;0,VLOOKUP(A516,[1]合同台帐!$A$4:$D$195,4,1),"")</f>
        <v>现场监控组网服务</v>
      </c>
      <c r="C516" s="147"/>
      <c r="D516" s="148"/>
      <c r="E516" s="149"/>
      <c r="F516" s="150">
        <f>IF(A516&lt;&gt;0,IF(VLOOKUP(A516,[1]合同台帐!$A$4:$G$195,7,1),IF($H$2="元",VLOOKUP(A516,[1]合同台帐!$A$4:$G$195,7,1),VLOOKUP(A516,[1]合同台帐!$A$4:$G$195,7,1)),IF($H$2="元",VLOOKUP(A516,[1]合同台帐!$A$4:$F$195,6,1),VLOOKUP(A516,[1]合同台帐!$A$4:$F$195,6,1))),0)</f>
        <v>17000</v>
      </c>
      <c r="G516" s="151">
        <f>F516/K$2</f>
        <v>0.14609427274356965</v>
      </c>
      <c r="H516" s="149">
        <f>IF(A516&lt;&gt;0,IF($H$2="元",VLOOKUP(A516,[1]合同台帐!$A$4:$K$1093,11,1),VLOOKUP(A516,[1]合同台帐!$A$4:$K$1093,11,1)),0)</f>
        <v>0</v>
      </c>
      <c r="I516" s="177"/>
      <c r="J516" s="152"/>
      <c r="K516" s="178"/>
    </row>
    <row r="517" spans="1:11" ht="12.75" outlineLevel="3" x14ac:dyDescent="0.15">
      <c r="A517" s="174"/>
      <c r="B517" s="156"/>
      <c r="C517" s="157"/>
      <c r="D517" s="158"/>
      <c r="E517" s="159"/>
      <c r="F517" s="160"/>
      <c r="G517" s="161"/>
      <c r="H517" s="159"/>
      <c r="I517" s="168"/>
      <c r="J517" s="162"/>
      <c r="K517" s="136"/>
    </row>
    <row r="518" spans="1:11" s="144" customFormat="1" ht="18.75" customHeight="1" outlineLevel="1" x14ac:dyDescent="0.15">
      <c r="A518" s="174"/>
      <c r="B518" s="156"/>
      <c r="C518" s="157"/>
      <c r="D518" s="158"/>
      <c r="E518" s="159"/>
      <c r="F518" s="160"/>
      <c r="G518" s="161"/>
      <c r="H518" s="159"/>
      <c r="I518" s="168"/>
      <c r="J518" s="162"/>
      <c r="K518" s="205"/>
    </row>
    <row r="519" spans="1:11" s="144" customFormat="1" ht="12.75" x14ac:dyDescent="0.15">
      <c r="A519" s="155"/>
      <c r="B519" s="156"/>
      <c r="C519" s="157"/>
      <c r="D519" s="197"/>
      <c r="E519" s="159"/>
      <c r="F519" s="190"/>
      <c r="G519" s="168"/>
      <c r="H519" s="190"/>
      <c r="I519" s="168"/>
      <c r="J519" s="162"/>
      <c r="K519" s="205"/>
    </row>
    <row r="520" spans="1:11" s="211" customFormat="1" ht="12.75" x14ac:dyDescent="0.15">
      <c r="A520" s="206"/>
      <c r="B520" s="207" t="s">
        <v>1307</v>
      </c>
      <c r="C520" s="208"/>
      <c r="D520" s="209">
        <f t="shared" ref="D520:J520" si="184">D510+D485+D349+D227+D28</f>
        <v>4242.0642278548157</v>
      </c>
      <c r="E520" s="209">
        <f t="shared" si="184"/>
        <v>49362.025300000001</v>
      </c>
      <c r="F520" s="209">
        <f t="shared" si="184"/>
        <v>408377528.55999994</v>
      </c>
      <c r="G520" s="209" t="e">
        <f t="shared" si="184"/>
        <v>#VALUE!</v>
      </c>
      <c r="H520" s="209">
        <f t="shared" si="184"/>
        <v>118844910.69</v>
      </c>
      <c r="I520" s="209" t="e">
        <f t="shared" si="184"/>
        <v>#REF!</v>
      </c>
      <c r="J520" s="209" t="e">
        <f t="shared" si="184"/>
        <v>#VALUE!</v>
      </c>
      <c r="K520" s="210"/>
    </row>
    <row r="521" spans="1:11" s="137" customFormat="1" ht="12.75" x14ac:dyDescent="0.15">
      <c r="A521" s="212"/>
      <c r="B521" s="213" t="s">
        <v>1308</v>
      </c>
      <c r="C521" s="214"/>
      <c r="D521" s="215">
        <f t="shared" ref="D521:H521" si="185">D4+D28+D227+D349+D485+D510</f>
        <v>7846.321853245382</v>
      </c>
      <c r="E521" s="215">
        <f t="shared" si="185"/>
        <v>91302.327600000004</v>
      </c>
      <c r="F521" s="215">
        <f t="shared" si="185"/>
        <v>828044626.13</v>
      </c>
      <c r="G521" s="215" t="e">
        <f t="shared" si="185"/>
        <v>#VALUE!</v>
      </c>
      <c r="H521" s="215">
        <f t="shared" si="185"/>
        <v>539976408.25999999</v>
      </c>
      <c r="I521" s="216">
        <f t="shared" ref="I521" si="186">F521-E521*10000</f>
        <v>-84978649.870000005</v>
      </c>
      <c r="J521" s="217" t="e">
        <f t="shared" ref="J521" si="187">G521-D521</f>
        <v>#VALUE!</v>
      </c>
      <c r="K521" s="218"/>
    </row>
    <row r="522" spans="1:11" s="226" customFormat="1" ht="12.75" x14ac:dyDescent="0.15">
      <c r="A522" s="169"/>
      <c r="B522" s="219" t="s">
        <v>1309</v>
      </c>
      <c r="C522" s="220"/>
      <c r="D522" s="221">
        <f>E522/K$2*10000</f>
        <v>252.92957688864232</v>
      </c>
      <c r="E522" s="202">
        <v>2943.17</v>
      </c>
      <c r="F522" s="222"/>
      <c r="G522" s="203">
        <f>F522/K2</f>
        <v>0</v>
      </c>
      <c r="H522" s="223">
        <f>F522</f>
        <v>0</v>
      </c>
      <c r="I522" s="224"/>
      <c r="J522" s="162"/>
      <c r="K522" s="225"/>
    </row>
    <row r="523" spans="1:11" s="226" customFormat="1" ht="13.5" customHeight="1" x14ac:dyDescent="0.15">
      <c r="A523" s="169"/>
      <c r="B523" s="170" t="s">
        <v>1310</v>
      </c>
      <c r="C523" s="171" t="s">
        <v>1311</v>
      </c>
      <c r="D523" s="221">
        <f>E523/K$2*10000</f>
        <v>285.69250661850026</v>
      </c>
      <c r="E523" s="202">
        <v>3324.41</v>
      </c>
      <c r="F523" s="203">
        <f t="shared" ref="F523:H523" si="188">F524+F548+F601</f>
        <v>400000</v>
      </c>
      <c r="G523" s="203">
        <f t="shared" si="188"/>
        <v>1.7187561499243489</v>
      </c>
      <c r="H523" s="203">
        <f t="shared" si="188"/>
        <v>3709171.7</v>
      </c>
      <c r="I523" s="172">
        <f t="shared" ref="I523:I525" si="189">F523-E523*10000</f>
        <v>-32844100</v>
      </c>
      <c r="J523" s="162">
        <f>G523-D523</f>
        <v>-283.97375046857593</v>
      </c>
      <c r="K523" s="225"/>
    </row>
    <row r="524" spans="1:11" s="226" customFormat="1" ht="12.75" outlineLevel="1" x14ac:dyDescent="0.15">
      <c r="A524" s="169"/>
      <c r="B524" s="170" t="s">
        <v>1312</v>
      </c>
      <c r="C524" s="171"/>
      <c r="D524" s="221"/>
      <c r="E524" s="202"/>
      <c r="F524" s="203">
        <f>F525+F529+F532</f>
        <v>400000</v>
      </c>
      <c r="G524" s="203">
        <f>G525+G535</f>
        <v>1.7187561499243489</v>
      </c>
      <c r="H524" s="203">
        <f>H525+H535</f>
        <v>200000</v>
      </c>
      <c r="I524" s="172">
        <f t="shared" si="189"/>
        <v>400000</v>
      </c>
      <c r="J524" s="162"/>
      <c r="K524" s="225"/>
    </row>
    <row r="525" spans="1:11" s="144" customFormat="1" ht="12.75" outlineLevel="2" x14ac:dyDescent="0.15">
      <c r="A525" s="169"/>
      <c r="B525" s="170" t="s">
        <v>1313</v>
      </c>
      <c r="C525" s="157"/>
      <c r="D525" s="221">
        <f>E525/K$2*10000</f>
        <v>135.02861986803046</v>
      </c>
      <c r="E525" s="159">
        <f>15712365/10000</f>
        <v>1571.2365</v>
      </c>
      <c r="F525" s="160">
        <f t="shared" ref="F525:H525" si="190">F526+F529+F532</f>
        <v>200000</v>
      </c>
      <c r="G525" s="160">
        <f t="shared" si="190"/>
        <v>1.7187561499243489</v>
      </c>
      <c r="H525" s="160">
        <f t="shared" si="190"/>
        <v>200000</v>
      </c>
      <c r="I525" s="160">
        <f t="shared" si="189"/>
        <v>-15512365</v>
      </c>
      <c r="J525" s="162">
        <f>G525-D525</f>
        <v>-133.3098637181061</v>
      </c>
      <c r="K525" s="205"/>
    </row>
    <row r="526" spans="1:11" s="144" customFormat="1" ht="12.75" outlineLevel="3" x14ac:dyDescent="0.15">
      <c r="A526" s="169"/>
      <c r="B526" s="156" t="s">
        <v>1314</v>
      </c>
      <c r="C526" s="157"/>
      <c r="D526" s="221">
        <f>E526/K$2</f>
        <v>17.18756149924349</v>
      </c>
      <c r="E526" s="159">
        <v>2000000</v>
      </c>
      <c r="F526" s="160">
        <f t="shared" ref="F526:H526" si="191">SUM(F527:F528)</f>
        <v>0</v>
      </c>
      <c r="G526" s="160">
        <f t="shared" si="191"/>
        <v>0</v>
      </c>
      <c r="H526" s="160">
        <f t="shared" si="191"/>
        <v>0</v>
      </c>
      <c r="I526" s="168"/>
      <c r="J526" s="162">
        <f t="shared" ref="J526" si="192">G526-D526</f>
        <v>-17.18756149924349</v>
      </c>
      <c r="K526" s="205"/>
    </row>
    <row r="527" spans="1:11" s="144" customFormat="1" ht="12.75" outlineLevel="4" collapsed="1" x14ac:dyDescent="0.15">
      <c r="A527" s="227"/>
      <c r="B527" s="156"/>
      <c r="C527" s="157"/>
      <c r="D527" s="221"/>
      <c r="E527" s="159"/>
      <c r="F527" s="159"/>
      <c r="G527" s="161"/>
      <c r="H527" s="159"/>
      <c r="I527" s="168"/>
      <c r="J527" s="162"/>
      <c r="K527" s="205"/>
    </row>
    <row r="528" spans="1:11" s="144" customFormat="1" ht="12.75" outlineLevel="4" x14ac:dyDescent="0.15">
      <c r="A528" s="227"/>
      <c r="B528" s="156"/>
      <c r="C528" s="157"/>
      <c r="D528" s="221"/>
      <c r="E528" s="159"/>
      <c r="F528" s="159"/>
      <c r="G528" s="161"/>
      <c r="H528" s="159"/>
      <c r="I528" s="168"/>
      <c r="J528" s="162"/>
      <c r="K528" s="205"/>
    </row>
    <row r="529" spans="1:11" s="144" customFormat="1" ht="12.75" outlineLevel="3" x14ac:dyDescent="0.15">
      <c r="A529" s="169"/>
      <c r="B529" s="156" t="s">
        <v>1315</v>
      </c>
      <c r="C529" s="157"/>
      <c r="D529" s="221">
        <f>E529/K$2</f>
        <v>5.1562684497730471</v>
      </c>
      <c r="E529" s="159">
        <v>600000</v>
      </c>
      <c r="F529" s="160">
        <f>SUM(F530:F531)</f>
        <v>100000</v>
      </c>
      <c r="G529" s="160">
        <f t="shared" ref="G529:H529" si="193">SUM(G530:G531)</f>
        <v>0.85937807496217444</v>
      </c>
      <c r="H529" s="160">
        <f t="shared" si="193"/>
        <v>100000</v>
      </c>
      <c r="I529" s="168"/>
      <c r="J529" s="162">
        <f>G529-D529</f>
        <v>-4.2968903748108724</v>
      </c>
      <c r="K529" s="205"/>
    </row>
    <row r="530" spans="1:11" s="144" customFormat="1" ht="12.75" outlineLevel="2" x14ac:dyDescent="0.15">
      <c r="A530" s="185" t="s">
        <v>1316</v>
      </c>
      <c r="B530" s="146" t="str">
        <f>IF(A530&lt;&gt;0,VLOOKUP(A530,[1]合同台帐!$A$4:$D$893,4,1),"")</f>
        <v>维修改建工程（集团办公室精装）</v>
      </c>
      <c r="C530" s="147"/>
      <c r="D530" s="148"/>
      <c r="E530" s="149"/>
      <c r="F530" s="150">
        <f>IF(A530&lt;&gt;0,VLOOKUP(A530,[1]合同台帐!$A$4:$J$893,6,1),"")</f>
        <v>100000</v>
      </c>
      <c r="G530" s="151">
        <f>F530/K2</f>
        <v>0.85937807496217444</v>
      </c>
      <c r="H530" s="149">
        <f>IF(A530&lt;&gt;0,IF($H$2="元",VLOOKUP(A530,[1]合同台帐!$A$4:$K$1093,11,1),VLOOKUP(A530,[1]合同台帐!$A$4:$K$1093,11,1)),0)</f>
        <v>100000</v>
      </c>
      <c r="I530" s="150"/>
      <c r="J530" s="152"/>
      <c r="K530" s="153"/>
    </row>
    <row r="531" spans="1:11" s="144" customFormat="1" ht="12.75" outlineLevel="4" x14ac:dyDescent="0.15">
      <c r="A531" s="228"/>
      <c r="B531" s="156"/>
      <c r="C531" s="157"/>
      <c r="D531" s="221"/>
      <c r="E531" s="159"/>
      <c r="F531" s="159"/>
      <c r="G531" s="161"/>
      <c r="H531" s="159"/>
      <c r="I531" s="168"/>
      <c r="J531" s="162"/>
      <c r="K531" s="205"/>
    </row>
    <row r="532" spans="1:11" s="144" customFormat="1" ht="18.75" customHeight="1" outlineLevel="3" x14ac:dyDescent="0.15">
      <c r="A532" s="169"/>
      <c r="B532" s="156" t="s">
        <v>1317</v>
      </c>
      <c r="C532" s="157"/>
      <c r="D532" s="221">
        <f>E532/K$2</f>
        <v>12.998952761877851</v>
      </c>
      <c r="E532" s="159">
        <v>1512600</v>
      </c>
      <c r="F532" s="160">
        <f t="shared" ref="F532:H532" si="194">SUM(F533:F534)</f>
        <v>100000</v>
      </c>
      <c r="G532" s="160">
        <f t="shared" si="194"/>
        <v>0.85937807496217444</v>
      </c>
      <c r="H532" s="160">
        <f t="shared" si="194"/>
        <v>100000</v>
      </c>
      <c r="I532" s="168"/>
      <c r="J532" s="162">
        <f>G532-D532</f>
        <v>-12.139574686915676</v>
      </c>
      <c r="K532" s="205"/>
    </row>
    <row r="533" spans="1:11" s="144" customFormat="1" ht="12.75" outlineLevel="2" x14ac:dyDescent="0.15">
      <c r="A533" s="185" t="s">
        <v>1316</v>
      </c>
      <c r="B533" s="146" t="str">
        <f>IF(A533&lt;&gt;0,VLOOKUP(A533,[1]合同台帐!$A$4:$D$893,4,1),"")</f>
        <v>维修改建工程（集团办公室精装）</v>
      </c>
      <c r="C533" s="147"/>
      <c r="D533" s="148"/>
      <c r="E533" s="149"/>
      <c r="F533" s="150">
        <f>IF(A533&lt;&gt;0,VLOOKUP(A533,[1]合同台帐!$A$4:$J$893,6,1),"")</f>
        <v>100000</v>
      </c>
      <c r="G533" s="151">
        <f>F533/K2</f>
        <v>0.85937807496217444</v>
      </c>
      <c r="H533" s="149">
        <f>IF(A533&lt;&gt;0,IF($H$2="元",VLOOKUP(A533,[1]合同台帐!$A$4:$K$1093,11,1),VLOOKUP(A533,[1]合同台帐!$A$4:$K$1093,11,1)),0)</f>
        <v>100000</v>
      </c>
      <c r="I533" s="150"/>
      <c r="J533" s="152"/>
      <c r="K533" s="153"/>
    </row>
    <row r="534" spans="1:11" s="144" customFormat="1" ht="12.75" outlineLevel="4" x14ac:dyDescent="0.15">
      <c r="A534" s="228"/>
      <c r="B534" s="156"/>
      <c r="C534" s="157"/>
      <c r="D534" s="221"/>
      <c r="E534" s="159"/>
      <c r="F534" s="159"/>
      <c r="G534" s="161"/>
      <c r="H534" s="159"/>
      <c r="I534" s="168"/>
      <c r="J534" s="162"/>
      <c r="K534" s="205"/>
    </row>
    <row r="535" spans="1:11" s="144" customFormat="1" ht="12.75" outlineLevel="2" x14ac:dyDescent="0.15">
      <c r="A535" s="169"/>
      <c r="B535" s="170" t="s">
        <v>1318</v>
      </c>
      <c r="C535" s="157"/>
      <c r="D535" s="221">
        <f>E535/K$2*10000</f>
        <v>150.7194111678931</v>
      </c>
      <c r="E535" s="159">
        <f>17538196/10000</f>
        <v>1753.8196</v>
      </c>
      <c r="F535" s="160">
        <f>F536+F539+F542</f>
        <v>0</v>
      </c>
      <c r="G535" s="160">
        <f t="shared" ref="G535:H535" si="195">G536+G539+G542</f>
        <v>0</v>
      </c>
      <c r="H535" s="160">
        <f t="shared" si="195"/>
        <v>0</v>
      </c>
      <c r="I535" s="168">
        <f>F535-E535</f>
        <v>-1753.8196</v>
      </c>
      <c r="J535" s="162">
        <f t="shared" ref="J535:J536" si="196">G535-D535</f>
        <v>-150.7194111678931</v>
      </c>
      <c r="K535" s="205"/>
    </row>
    <row r="536" spans="1:11" s="144" customFormat="1" ht="12.75" outlineLevel="3" x14ac:dyDescent="0.15">
      <c r="A536" s="169"/>
      <c r="B536" s="156" t="s">
        <v>1319</v>
      </c>
      <c r="C536" s="157"/>
      <c r="D536" s="221">
        <f>E536/K$2</f>
        <v>133.05712922004048</v>
      </c>
      <c r="E536" s="159">
        <v>15482956</v>
      </c>
      <c r="F536" s="160">
        <f t="shared" ref="F536:H536" si="197">SUM(F537:F538)</f>
        <v>0</v>
      </c>
      <c r="G536" s="160">
        <f t="shared" si="197"/>
        <v>0</v>
      </c>
      <c r="H536" s="160">
        <f t="shared" si="197"/>
        <v>0</v>
      </c>
      <c r="I536" s="177"/>
      <c r="J536" s="162">
        <f t="shared" si="196"/>
        <v>-133.05712922004048</v>
      </c>
      <c r="K536" s="205"/>
    </row>
    <row r="537" spans="1:11" s="144" customFormat="1" ht="12.75" outlineLevel="4" x14ac:dyDescent="0.15">
      <c r="A537" s="228"/>
      <c r="B537" s="156"/>
      <c r="C537" s="157"/>
      <c r="D537" s="221"/>
      <c r="E537" s="159"/>
      <c r="F537" s="159"/>
      <c r="G537" s="161"/>
      <c r="H537" s="159"/>
      <c r="I537" s="168"/>
      <c r="J537" s="162"/>
      <c r="K537" s="205"/>
    </row>
    <row r="538" spans="1:11" s="144" customFormat="1" ht="12.75" outlineLevel="4" x14ac:dyDescent="0.15">
      <c r="A538" s="228"/>
      <c r="B538" s="156"/>
      <c r="C538" s="157"/>
      <c r="D538" s="221"/>
      <c r="E538" s="159"/>
      <c r="F538" s="159"/>
      <c r="G538" s="161"/>
      <c r="H538" s="159"/>
      <c r="I538" s="168"/>
      <c r="J538" s="162"/>
      <c r="K538" s="205"/>
    </row>
    <row r="539" spans="1:11" s="144" customFormat="1" ht="12.75" outlineLevel="3" x14ac:dyDescent="0.15">
      <c r="A539" s="169"/>
      <c r="B539" s="156" t="s">
        <v>1320</v>
      </c>
      <c r="C539" s="157"/>
      <c r="D539" s="221">
        <f>E539/K$2</f>
        <v>17.662281947852595</v>
      </c>
      <c r="E539" s="159">
        <v>2055240</v>
      </c>
      <c r="F539" s="160">
        <f t="shared" ref="F539:H539" si="198">SUM(F540:F541)</f>
        <v>0</v>
      </c>
      <c r="G539" s="160">
        <f t="shared" si="198"/>
        <v>0</v>
      </c>
      <c r="H539" s="160">
        <f t="shared" si="198"/>
        <v>0</v>
      </c>
      <c r="I539" s="177"/>
      <c r="J539" s="162">
        <f>G539-D539</f>
        <v>-17.662281947852595</v>
      </c>
      <c r="K539" s="205"/>
    </row>
    <row r="540" spans="1:11" s="144" customFormat="1" ht="12.75" outlineLevel="4" x14ac:dyDescent="0.15">
      <c r="A540" s="174"/>
      <c r="B540" s="156"/>
      <c r="C540" s="157"/>
      <c r="D540" s="221"/>
      <c r="E540" s="159"/>
      <c r="F540" s="159"/>
      <c r="G540" s="161"/>
      <c r="H540" s="159"/>
      <c r="I540" s="177"/>
      <c r="J540" s="162"/>
      <c r="K540" s="205"/>
    </row>
    <row r="541" spans="1:11" s="144" customFormat="1" ht="12.75" outlineLevel="4" x14ac:dyDescent="0.15">
      <c r="A541" s="174"/>
      <c r="B541" s="156"/>
      <c r="C541" s="157"/>
      <c r="D541" s="221"/>
      <c r="E541" s="159"/>
      <c r="F541" s="159"/>
      <c r="G541" s="161"/>
      <c r="H541" s="159"/>
      <c r="I541" s="177"/>
      <c r="J541" s="162"/>
      <c r="K541" s="205"/>
    </row>
    <row r="542" spans="1:11" s="144" customFormat="1" ht="12.75" outlineLevel="3" x14ac:dyDescent="0.15">
      <c r="A542" s="169"/>
      <c r="B542" s="156" t="s">
        <v>1321</v>
      </c>
      <c r="C542" s="157"/>
      <c r="D542" s="221">
        <f>E542/K$2</f>
        <v>17.662281947852595</v>
      </c>
      <c r="E542" s="159">
        <v>2055240</v>
      </c>
      <c r="F542" s="160">
        <f>SUM(F544:F547)</f>
        <v>0</v>
      </c>
      <c r="G542" s="160">
        <f t="shared" ref="G542:H542" si="199">SUM(G544:G547)</f>
        <v>0</v>
      </c>
      <c r="H542" s="160">
        <f t="shared" si="199"/>
        <v>0</v>
      </c>
      <c r="I542" s="177"/>
      <c r="J542" s="162">
        <f>G542-D542</f>
        <v>-17.662281947852595</v>
      </c>
      <c r="K542" s="205"/>
    </row>
    <row r="543" spans="1:11" s="144" customFormat="1" ht="12.75" outlineLevel="3" x14ac:dyDescent="0.15">
      <c r="A543" s="169"/>
      <c r="B543" s="156"/>
      <c r="C543" s="157"/>
      <c r="D543" s="221"/>
      <c r="E543" s="159"/>
      <c r="F543" s="190"/>
      <c r="G543" s="168"/>
      <c r="H543" s="190"/>
      <c r="I543" s="177"/>
      <c r="J543" s="162"/>
      <c r="K543" s="205"/>
    </row>
    <row r="544" spans="1:11" s="144" customFormat="1" ht="12.75" outlineLevel="4" x14ac:dyDescent="0.15">
      <c r="A544" s="174"/>
      <c r="B544" s="156"/>
      <c r="C544" s="157"/>
      <c r="D544" s="221"/>
      <c r="E544" s="159"/>
      <c r="F544" s="159"/>
      <c r="G544" s="161"/>
      <c r="H544" s="159"/>
      <c r="I544" s="177"/>
      <c r="J544" s="162"/>
      <c r="K544" s="205"/>
    </row>
    <row r="545" spans="1:11" s="144" customFormat="1" ht="12.75" outlineLevel="4" x14ac:dyDescent="0.15">
      <c r="A545" s="174"/>
      <c r="B545" s="156" t="s">
        <v>1322</v>
      </c>
      <c r="C545" s="157"/>
      <c r="D545" s="221"/>
      <c r="E545" s="159"/>
      <c r="F545" s="159"/>
      <c r="G545" s="161"/>
      <c r="H545" s="159"/>
      <c r="I545" s="177"/>
      <c r="J545" s="162"/>
      <c r="K545" s="205"/>
    </row>
    <row r="546" spans="1:11" s="144" customFormat="1" ht="12.75" outlineLevel="4" x14ac:dyDescent="0.15">
      <c r="A546" s="174"/>
      <c r="B546" s="156"/>
      <c r="C546" s="157"/>
      <c r="D546" s="221"/>
      <c r="E546" s="159"/>
      <c r="F546" s="159"/>
      <c r="G546" s="161"/>
      <c r="H546" s="159"/>
      <c r="I546" s="177"/>
      <c r="J546" s="162"/>
      <c r="K546" s="205"/>
    </row>
    <row r="547" spans="1:11" s="144" customFormat="1" ht="12.75" outlineLevel="4" x14ac:dyDescent="0.15">
      <c r="A547" s="174"/>
      <c r="B547" s="156"/>
      <c r="C547" s="157"/>
      <c r="D547" s="221"/>
      <c r="E547" s="159"/>
      <c r="F547" s="159"/>
      <c r="G547" s="161"/>
      <c r="H547" s="159"/>
      <c r="I547" s="177"/>
      <c r="J547" s="162"/>
      <c r="K547" s="205"/>
    </row>
    <row r="548" spans="1:11" s="226" customFormat="1" ht="12.75" outlineLevel="1" x14ac:dyDescent="0.15">
      <c r="A548" s="169"/>
      <c r="B548" s="170" t="s">
        <v>1323</v>
      </c>
      <c r="C548" s="171"/>
      <c r="D548" s="221">
        <f>E548/K$2*10000</f>
        <v>209.56106233567616</v>
      </c>
      <c r="E548" s="202">
        <v>2438.52</v>
      </c>
      <c r="F548" s="202">
        <f>F549+F557+F565+F571+F574+F582+F590</f>
        <v>0</v>
      </c>
      <c r="G548" s="202">
        <f>G549+G557+G565+G571+G574+G582+G590</f>
        <v>0</v>
      </c>
      <c r="H548" s="202">
        <f>H549+H557+H565+H571+H574+H582+H590+H598</f>
        <v>3509171.7</v>
      </c>
      <c r="I548" s="224">
        <f>F548-E548*10000</f>
        <v>-24385200</v>
      </c>
      <c r="J548" s="162">
        <f>G548-D548</f>
        <v>-209.56106233567616</v>
      </c>
      <c r="K548" s="225"/>
    </row>
    <row r="549" spans="1:11" s="144" customFormat="1" ht="12.75" outlineLevel="2" x14ac:dyDescent="0.15">
      <c r="A549" s="169"/>
      <c r="B549" s="170" t="s">
        <v>1324</v>
      </c>
      <c r="C549" s="157"/>
      <c r="D549" s="221">
        <f>E549/K$2*10000</f>
        <v>150.7194111678931</v>
      </c>
      <c r="E549" s="159">
        <f>17538196/10000</f>
        <v>1753.8196</v>
      </c>
      <c r="F549" s="160">
        <f>F557+F565</f>
        <v>0</v>
      </c>
      <c r="G549" s="160">
        <f>G557+G565</f>
        <v>0</v>
      </c>
      <c r="H549" s="229">
        <f>SUM(H550:H556)</f>
        <v>1642173.1</v>
      </c>
      <c r="I549" s="168">
        <f>F549-E549</f>
        <v>-1753.8196</v>
      </c>
      <c r="J549" s="162">
        <f>G549-D549</f>
        <v>-150.7194111678931</v>
      </c>
      <c r="K549" s="205"/>
    </row>
    <row r="550" spans="1:11" s="144" customFormat="1" ht="12.75" outlineLevel="3" x14ac:dyDescent="0.15">
      <c r="A550" s="169"/>
      <c r="B550" s="156" t="s">
        <v>1325</v>
      </c>
      <c r="C550" s="157"/>
      <c r="D550" s="221"/>
      <c r="E550" s="159"/>
      <c r="F550" s="160"/>
      <c r="G550" s="160"/>
      <c r="H550" s="160">
        <v>394489.05</v>
      </c>
      <c r="I550" s="168"/>
      <c r="J550" s="162"/>
      <c r="K550" s="205"/>
    </row>
    <row r="551" spans="1:11" s="144" customFormat="1" ht="12.75" outlineLevel="3" x14ac:dyDescent="0.15">
      <c r="A551" s="169"/>
      <c r="B551" s="156" t="s">
        <v>1326</v>
      </c>
      <c r="C551" s="157"/>
      <c r="D551" s="221"/>
      <c r="E551" s="159"/>
      <c r="F551" s="160"/>
      <c r="G551" s="160"/>
      <c r="H551" s="160">
        <v>163416.85999999999</v>
      </c>
      <c r="I551" s="168"/>
      <c r="J551" s="162"/>
      <c r="K551" s="205"/>
    </row>
    <row r="552" spans="1:11" s="144" customFormat="1" ht="12.75" outlineLevel="3" x14ac:dyDescent="0.15">
      <c r="A552" s="169"/>
      <c r="B552" s="156" t="s">
        <v>1327</v>
      </c>
      <c r="C552" s="157"/>
      <c r="D552" s="221"/>
      <c r="E552" s="159"/>
      <c r="F552" s="160"/>
      <c r="G552" s="160"/>
      <c r="H552" s="190">
        <v>169560.59</v>
      </c>
      <c r="I552" s="168"/>
      <c r="J552" s="162"/>
      <c r="K552" s="205"/>
    </row>
    <row r="553" spans="1:11" s="144" customFormat="1" ht="12.75" outlineLevel="3" x14ac:dyDescent="0.15">
      <c r="A553" s="169"/>
      <c r="B553" s="156" t="s">
        <v>1328</v>
      </c>
      <c r="C553" s="157"/>
      <c r="D553" s="221"/>
      <c r="E553" s="159"/>
      <c r="F553" s="160"/>
      <c r="G553" s="160"/>
      <c r="H553" s="190">
        <v>350200</v>
      </c>
      <c r="I553" s="168"/>
      <c r="J553" s="162"/>
      <c r="K553" s="205"/>
    </row>
    <row r="554" spans="1:11" s="144" customFormat="1" ht="12.75" outlineLevel="3" x14ac:dyDescent="0.15">
      <c r="A554" s="169"/>
      <c r="B554" s="156" t="s">
        <v>1329</v>
      </c>
      <c r="C554" s="157"/>
      <c r="D554" s="221"/>
      <c r="E554" s="159"/>
      <c r="F554" s="160"/>
      <c r="G554" s="160"/>
      <c r="H554" s="190">
        <v>211400</v>
      </c>
      <c r="I554" s="168"/>
      <c r="J554" s="162"/>
      <c r="K554" s="205"/>
    </row>
    <row r="555" spans="1:11" s="144" customFormat="1" ht="12.75" outlineLevel="3" x14ac:dyDescent="0.15">
      <c r="A555" s="169"/>
      <c r="B555" s="156" t="s">
        <v>1330</v>
      </c>
      <c r="C555" s="157"/>
      <c r="D555" s="221"/>
      <c r="E555" s="159"/>
      <c r="F555" s="160"/>
      <c r="G555" s="160"/>
      <c r="H555" s="190">
        <v>181491.51</v>
      </c>
      <c r="I555" s="168"/>
      <c r="J555" s="162"/>
      <c r="K555" s="205"/>
    </row>
    <row r="556" spans="1:11" s="144" customFormat="1" ht="12.75" outlineLevel="3" x14ac:dyDescent="0.15">
      <c r="A556" s="169"/>
      <c r="B556" s="156" t="s">
        <v>1331</v>
      </c>
      <c r="C556" s="157"/>
      <c r="D556" s="221"/>
      <c r="E556" s="159"/>
      <c r="F556" s="160"/>
      <c r="G556" s="160"/>
      <c r="H556" s="190">
        <v>171615.09</v>
      </c>
      <c r="I556" s="168"/>
      <c r="J556" s="162"/>
      <c r="K556" s="205"/>
    </row>
    <row r="557" spans="1:11" s="144" customFormat="1" ht="12.75" outlineLevel="2" x14ac:dyDescent="0.15">
      <c r="A557" s="169"/>
      <c r="B557" s="170" t="s">
        <v>1332</v>
      </c>
      <c r="C557" s="157"/>
      <c r="D557" s="221">
        <f>E557/K$2*10000</f>
        <v>150.7194111678931</v>
      </c>
      <c r="E557" s="159">
        <f>17538196/10000</f>
        <v>1753.8196</v>
      </c>
      <c r="F557" s="160">
        <f>F558+F566</f>
        <v>0</v>
      </c>
      <c r="G557" s="160">
        <f>G558+G566</f>
        <v>0</v>
      </c>
      <c r="H557" s="229">
        <f>SUM(H558:H564)</f>
        <v>88715.85000000002</v>
      </c>
      <c r="I557" s="168">
        <f>F557-E557</f>
        <v>-1753.8196</v>
      </c>
      <c r="J557" s="162">
        <f>G557-D557</f>
        <v>-150.7194111678931</v>
      </c>
      <c r="K557" s="205"/>
    </row>
    <row r="558" spans="1:11" s="144" customFormat="1" ht="12.75" outlineLevel="3" x14ac:dyDescent="0.15">
      <c r="A558" s="228"/>
      <c r="B558" s="156" t="s">
        <v>1325</v>
      </c>
      <c r="C558" s="157"/>
      <c r="D558" s="221"/>
      <c r="E558" s="159"/>
      <c r="F558" s="159"/>
      <c r="G558" s="161"/>
      <c r="H558" s="160">
        <v>28642.5</v>
      </c>
      <c r="I558" s="168"/>
      <c r="J558" s="162"/>
      <c r="K558" s="205"/>
    </row>
    <row r="559" spans="1:11" s="144" customFormat="1" ht="12.75" outlineLevel="3" x14ac:dyDescent="0.15">
      <c r="A559" s="228"/>
      <c r="B559" s="156" t="s">
        <v>1326</v>
      </c>
      <c r="C559" s="157"/>
      <c r="D559" s="221"/>
      <c r="E559" s="159"/>
      <c r="F559" s="159"/>
      <c r="G559" s="161"/>
      <c r="H559" s="160">
        <v>20886.8</v>
      </c>
      <c r="I559" s="168"/>
      <c r="J559" s="162"/>
      <c r="K559" s="205"/>
    </row>
    <row r="560" spans="1:11" s="144" customFormat="1" ht="12.75" outlineLevel="3" x14ac:dyDescent="0.15">
      <c r="A560" s="228"/>
      <c r="B560" s="156" t="s">
        <v>1327</v>
      </c>
      <c r="C560" s="157"/>
      <c r="D560" s="221"/>
      <c r="E560" s="159"/>
      <c r="F560" s="190"/>
      <c r="G560" s="168"/>
      <c r="H560" s="190">
        <v>7083.65</v>
      </c>
      <c r="I560" s="168"/>
      <c r="J560" s="162"/>
      <c r="K560" s="205"/>
    </row>
    <row r="561" spans="1:11" s="144" customFormat="1" ht="12.75" outlineLevel="3" x14ac:dyDescent="0.15">
      <c r="A561" s="228"/>
      <c r="B561" s="156" t="s">
        <v>1328</v>
      </c>
      <c r="C561" s="157"/>
      <c r="D561" s="221"/>
      <c r="E561" s="159"/>
      <c r="F561" s="190"/>
      <c r="G561" s="168"/>
      <c r="H561" s="190">
        <v>26300</v>
      </c>
      <c r="I561" s="168"/>
      <c r="J561" s="162"/>
      <c r="K561" s="205"/>
    </row>
    <row r="562" spans="1:11" s="144" customFormat="1" ht="12.75" outlineLevel="3" x14ac:dyDescent="0.15">
      <c r="A562" s="228"/>
      <c r="B562" s="156" t="s">
        <v>1329</v>
      </c>
      <c r="C562" s="157"/>
      <c r="D562" s="221"/>
      <c r="E562" s="159"/>
      <c r="F562" s="190"/>
      <c r="G562" s="168"/>
      <c r="H562" s="190">
        <v>2300</v>
      </c>
      <c r="I562" s="168"/>
      <c r="J562" s="162"/>
      <c r="K562" s="205"/>
    </row>
    <row r="563" spans="1:11" s="144" customFormat="1" ht="12.75" outlineLevel="3" x14ac:dyDescent="0.15">
      <c r="A563" s="228"/>
      <c r="B563" s="156" t="s">
        <v>1330</v>
      </c>
      <c r="C563" s="157"/>
      <c r="D563" s="221"/>
      <c r="E563" s="159"/>
      <c r="F563" s="190"/>
      <c r="G563" s="168"/>
      <c r="H563" s="190">
        <v>1779.3</v>
      </c>
      <c r="I563" s="168"/>
      <c r="J563" s="162"/>
      <c r="K563" s="205"/>
    </row>
    <row r="564" spans="1:11" s="144" customFormat="1" ht="12.75" outlineLevel="3" x14ac:dyDescent="0.15">
      <c r="A564" s="228"/>
      <c r="B564" s="156" t="s">
        <v>1331</v>
      </c>
      <c r="C564" s="157"/>
      <c r="D564" s="221"/>
      <c r="E564" s="159"/>
      <c r="F564" s="190"/>
      <c r="G564" s="168"/>
      <c r="H564" s="190">
        <v>1723.6</v>
      </c>
      <c r="I564" s="168"/>
      <c r="J564" s="162"/>
      <c r="K564" s="205"/>
    </row>
    <row r="565" spans="1:11" s="144" customFormat="1" ht="12.75" outlineLevel="2" x14ac:dyDescent="0.15">
      <c r="A565" s="169"/>
      <c r="B565" s="170" t="s">
        <v>1333</v>
      </c>
      <c r="C565" s="157"/>
      <c r="D565" s="221">
        <f>E565/K$2*10000</f>
        <v>150.7194111678931</v>
      </c>
      <c r="E565" s="159">
        <f>17538196/10000</f>
        <v>1753.8196</v>
      </c>
      <c r="F565" s="160">
        <f>F566+F572</f>
        <v>0</v>
      </c>
      <c r="G565" s="160">
        <f>G566+G572</f>
        <v>0</v>
      </c>
      <c r="H565" s="229">
        <f>SUM(H566:H570)</f>
        <v>202385.45</v>
      </c>
      <c r="I565" s="168">
        <f>F565-E565</f>
        <v>-1753.8196</v>
      </c>
      <c r="J565" s="162">
        <f>G565-D565</f>
        <v>-150.7194111678931</v>
      </c>
      <c r="K565" s="205"/>
    </row>
    <row r="566" spans="1:11" s="144" customFormat="1" ht="13.5" customHeight="1" outlineLevel="3" x14ac:dyDescent="0.15">
      <c r="A566" s="174"/>
      <c r="B566" s="156" t="s">
        <v>1325</v>
      </c>
      <c r="C566" s="157"/>
      <c r="D566" s="221"/>
      <c r="E566" s="159"/>
      <c r="F566" s="159"/>
      <c r="G566" s="161"/>
      <c r="H566" s="160">
        <v>118886.45</v>
      </c>
      <c r="I566" s="177"/>
      <c r="J566" s="162"/>
      <c r="K566" s="205"/>
    </row>
    <row r="567" spans="1:11" s="144" customFormat="1" ht="12.75" outlineLevel="3" x14ac:dyDescent="0.15">
      <c r="A567" s="174"/>
      <c r="B567" s="156" t="s">
        <v>1326</v>
      </c>
      <c r="C567" s="157"/>
      <c r="D567" s="221"/>
      <c r="E567" s="159"/>
      <c r="F567" s="159"/>
      <c r="G567" s="161"/>
      <c r="H567" s="160">
        <v>5970</v>
      </c>
      <c r="I567" s="177"/>
      <c r="J567" s="162"/>
      <c r="K567" s="205"/>
    </row>
    <row r="568" spans="1:11" s="144" customFormat="1" ht="12.75" outlineLevel="3" x14ac:dyDescent="0.15">
      <c r="A568" s="174"/>
      <c r="B568" s="156" t="s">
        <v>1327</v>
      </c>
      <c r="C568" s="157"/>
      <c r="D568" s="221"/>
      <c r="E568" s="159"/>
      <c r="F568" s="190"/>
      <c r="G568" s="168"/>
      <c r="H568" s="190">
        <v>47800</v>
      </c>
      <c r="I568" s="177"/>
      <c r="J568" s="162"/>
      <c r="K568" s="205"/>
    </row>
    <row r="569" spans="1:11" s="144" customFormat="1" ht="12.75" outlineLevel="3" x14ac:dyDescent="0.15">
      <c r="A569" s="174"/>
      <c r="B569" s="156" t="s">
        <v>1330</v>
      </c>
      <c r="C569" s="157"/>
      <c r="D569" s="221"/>
      <c r="E569" s="159"/>
      <c r="F569" s="190"/>
      <c r="G569" s="168"/>
      <c r="H569" s="190">
        <v>26281</v>
      </c>
      <c r="I569" s="177"/>
      <c r="J569" s="162"/>
      <c r="K569" s="205"/>
    </row>
    <row r="570" spans="1:11" s="144" customFormat="1" ht="12.75" outlineLevel="3" x14ac:dyDescent="0.15">
      <c r="A570" s="174"/>
      <c r="B570" s="156" t="s">
        <v>1331</v>
      </c>
      <c r="C570" s="157"/>
      <c r="D570" s="221"/>
      <c r="E570" s="159"/>
      <c r="F570" s="190"/>
      <c r="G570" s="168"/>
      <c r="H570" s="190">
        <v>3448</v>
      </c>
      <c r="I570" s="177"/>
      <c r="J570" s="162"/>
      <c r="K570" s="205"/>
    </row>
    <row r="571" spans="1:11" s="144" customFormat="1" ht="12.75" outlineLevel="2" x14ac:dyDescent="0.15">
      <c r="A571" s="169"/>
      <c r="B571" s="170" t="s">
        <v>1334</v>
      </c>
      <c r="C571" s="157"/>
      <c r="D571" s="221">
        <f>E571/K$2*10000</f>
        <v>150.7194111678931</v>
      </c>
      <c r="E571" s="159">
        <f>17538196/10000</f>
        <v>1753.8196</v>
      </c>
      <c r="F571" s="160">
        <f>F572</f>
        <v>0</v>
      </c>
      <c r="G571" s="160">
        <f>G572</f>
        <v>0</v>
      </c>
      <c r="H571" s="229">
        <f>SUM(H572:H573)</f>
        <v>752071.96</v>
      </c>
      <c r="I571" s="168">
        <f>F571-E571</f>
        <v>-1753.8196</v>
      </c>
      <c r="J571" s="162">
        <f>G571-D571</f>
        <v>-150.7194111678931</v>
      </c>
      <c r="K571" s="205"/>
    </row>
    <row r="572" spans="1:11" s="144" customFormat="1" ht="12.75" outlineLevel="3" x14ac:dyDescent="0.15">
      <c r="A572" s="174"/>
      <c r="B572" s="156" t="s">
        <v>1325</v>
      </c>
      <c r="C572" s="157"/>
      <c r="D572" s="221"/>
      <c r="E572" s="159"/>
      <c r="F572" s="159"/>
      <c r="G572" s="161"/>
      <c r="H572" s="160">
        <v>750693.96</v>
      </c>
      <c r="I572" s="177"/>
      <c r="J572" s="162"/>
      <c r="K572" s="205"/>
    </row>
    <row r="573" spans="1:11" s="144" customFormat="1" ht="12.75" outlineLevel="3" x14ac:dyDescent="0.15">
      <c r="A573" s="174"/>
      <c r="B573" s="156" t="s">
        <v>1330</v>
      </c>
      <c r="C573" s="157"/>
      <c r="D573" s="221"/>
      <c r="E573" s="159"/>
      <c r="F573" s="190"/>
      <c r="G573" s="168"/>
      <c r="H573" s="190">
        <v>1378</v>
      </c>
      <c r="I573" s="177"/>
      <c r="J573" s="162"/>
      <c r="K573" s="205"/>
    </row>
    <row r="574" spans="1:11" s="144" customFormat="1" ht="12.75" outlineLevel="2" x14ac:dyDescent="0.15">
      <c r="A574" s="169"/>
      <c r="B574" s="170" t="s">
        <v>1335</v>
      </c>
      <c r="C574" s="157"/>
      <c r="D574" s="221">
        <f>E574/K$2*10000</f>
        <v>150.7194111678931</v>
      </c>
      <c r="E574" s="159">
        <f>17538196/10000</f>
        <v>1753.8196</v>
      </c>
      <c r="F574" s="160">
        <f>F575+F576</f>
        <v>0</v>
      </c>
      <c r="G574" s="160">
        <f t="shared" ref="G574" si="200">G575+G576</f>
        <v>0</v>
      </c>
      <c r="H574" s="229">
        <f>SUM(H575:H581)</f>
        <v>433552.64000000001</v>
      </c>
      <c r="I574" s="168">
        <f>F574-E574</f>
        <v>-1753.8196</v>
      </c>
      <c r="J574" s="162">
        <f>G574-D574</f>
        <v>-150.7194111678931</v>
      </c>
      <c r="K574" s="205"/>
    </row>
    <row r="575" spans="1:11" s="144" customFormat="1" ht="12.75" outlineLevel="3" x14ac:dyDescent="0.15">
      <c r="A575" s="174"/>
      <c r="B575" s="156" t="s">
        <v>1325</v>
      </c>
      <c r="C575" s="157"/>
      <c r="D575" s="221"/>
      <c r="E575" s="159"/>
      <c r="F575" s="159"/>
      <c r="G575" s="161"/>
      <c r="H575" s="160">
        <v>137610.64000000001</v>
      </c>
      <c r="I575" s="177"/>
      <c r="J575" s="162"/>
      <c r="K575" s="205"/>
    </row>
    <row r="576" spans="1:11" s="144" customFormat="1" ht="12.75" outlineLevel="3" x14ac:dyDescent="0.15">
      <c r="A576" s="174"/>
      <c r="B576" s="156" t="s">
        <v>1326</v>
      </c>
      <c r="C576" s="157"/>
      <c r="D576" s="221"/>
      <c r="E576" s="159"/>
      <c r="F576" s="159"/>
      <c r="G576" s="161"/>
      <c r="H576" s="160">
        <v>28757.7</v>
      </c>
      <c r="I576" s="177"/>
      <c r="J576" s="162"/>
      <c r="K576" s="205"/>
    </row>
    <row r="577" spans="1:11" s="144" customFormat="1" ht="12.75" outlineLevel="3" x14ac:dyDescent="0.15">
      <c r="A577" s="174"/>
      <c r="B577" s="156" t="s">
        <v>1327</v>
      </c>
      <c r="C577" s="157"/>
      <c r="D577" s="221"/>
      <c r="E577" s="159"/>
      <c r="F577" s="190"/>
      <c r="G577" s="168"/>
      <c r="H577" s="190">
        <v>69647.8</v>
      </c>
      <c r="I577" s="177"/>
      <c r="J577" s="162"/>
      <c r="K577" s="205"/>
    </row>
    <row r="578" spans="1:11" s="144" customFormat="1" ht="12.75" outlineLevel="3" x14ac:dyDescent="0.15">
      <c r="A578" s="174"/>
      <c r="B578" s="156" t="s">
        <v>1328</v>
      </c>
      <c r="C578" s="157"/>
      <c r="D578" s="221"/>
      <c r="E578" s="159"/>
      <c r="F578" s="190"/>
      <c r="G578" s="190"/>
      <c r="H578" s="190">
        <v>118200</v>
      </c>
      <c r="I578" s="177"/>
      <c r="J578" s="162"/>
      <c r="K578" s="205"/>
    </row>
    <row r="579" spans="1:11" s="144" customFormat="1" ht="12.75" outlineLevel="3" x14ac:dyDescent="0.15">
      <c r="A579" s="174"/>
      <c r="B579" s="156" t="s">
        <v>1329</v>
      </c>
      <c r="C579" s="157"/>
      <c r="D579" s="221"/>
      <c r="E579" s="159"/>
      <c r="F579" s="190"/>
      <c r="G579" s="190"/>
      <c r="H579" s="190">
        <v>29500</v>
      </c>
      <c r="I579" s="177"/>
      <c r="J579" s="162"/>
      <c r="K579" s="205"/>
    </row>
    <row r="580" spans="1:11" s="144" customFormat="1" ht="12.75" outlineLevel="3" x14ac:dyDescent="0.15">
      <c r="A580" s="174"/>
      <c r="B580" s="156" t="s">
        <v>1330</v>
      </c>
      <c r="C580" s="157"/>
      <c r="D580" s="221"/>
      <c r="E580" s="159"/>
      <c r="F580" s="190"/>
      <c r="G580" s="190"/>
      <c r="H580" s="190">
        <v>25028.5</v>
      </c>
      <c r="I580" s="177"/>
      <c r="J580" s="162"/>
      <c r="K580" s="205"/>
    </row>
    <row r="581" spans="1:11" s="144" customFormat="1" ht="12.75" outlineLevel="3" x14ac:dyDescent="0.15">
      <c r="A581" s="174"/>
      <c r="B581" s="156" t="s">
        <v>1331</v>
      </c>
      <c r="C581" s="157"/>
      <c r="D581" s="221"/>
      <c r="E581" s="159"/>
      <c r="F581" s="190"/>
      <c r="G581" s="190"/>
      <c r="H581" s="190">
        <v>24808</v>
      </c>
      <c r="I581" s="177"/>
      <c r="J581" s="162"/>
      <c r="K581" s="205"/>
    </row>
    <row r="582" spans="1:11" s="144" customFormat="1" ht="12.75" outlineLevel="2" x14ac:dyDescent="0.15">
      <c r="A582" s="169"/>
      <c r="B582" s="170" t="s">
        <v>1336</v>
      </c>
      <c r="C582" s="157"/>
      <c r="D582" s="221">
        <f>E582/K$2*10000</f>
        <v>150.7194111678931</v>
      </c>
      <c r="E582" s="159">
        <f>17538196/10000</f>
        <v>1753.8196</v>
      </c>
      <c r="F582" s="229">
        <f>SUM(F583:F585)</f>
        <v>0</v>
      </c>
      <c r="G582" s="229">
        <f>SUM(G583:G585)</f>
        <v>0</v>
      </c>
      <c r="H582" s="229">
        <f>SUM(H583:H589)</f>
        <v>123127.15000000001</v>
      </c>
      <c r="I582" s="168">
        <f>F582-E582</f>
        <v>-1753.8196</v>
      </c>
      <c r="J582" s="162">
        <f>G582-D582</f>
        <v>-150.7194111678931</v>
      </c>
      <c r="K582" s="205"/>
    </row>
    <row r="583" spans="1:11" s="144" customFormat="1" ht="12.75" outlineLevel="3" x14ac:dyDescent="0.15">
      <c r="A583" s="174"/>
      <c r="B583" s="156" t="s">
        <v>1325</v>
      </c>
      <c r="C583" s="157"/>
      <c r="D583" s="221"/>
      <c r="E583" s="159"/>
      <c r="F583" s="159"/>
      <c r="G583" s="161"/>
      <c r="H583" s="160">
        <v>61037.1</v>
      </c>
      <c r="I583" s="177"/>
      <c r="J583" s="162"/>
      <c r="K583" s="205"/>
    </row>
    <row r="584" spans="1:11" s="144" customFormat="1" ht="12.75" outlineLevel="3" x14ac:dyDescent="0.15">
      <c r="A584" s="174"/>
      <c r="B584" s="156" t="s">
        <v>1326</v>
      </c>
      <c r="C584" s="157"/>
      <c r="D584" s="221"/>
      <c r="E584" s="159"/>
      <c r="F584" s="159"/>
      <c r="G584" s="161"/>
      <c r="H584" s="160">
        <v>8483.85</v>
      </c>
      <c r="I584" s="177"/>
      <c r="J584" s="162"/>
      <c r="K584" s="205"/>
    </row>
    <row r="585" spans="1:11" s="144" customFormat="1" ht="12.75" outlineLevel="3" x14ac:dyDescent="0.15">
      <c r="A585" s="174"/>
      <c r="B585" s="156" t="s">
        <v>1327</v>
      </c>
      <c r="C585" s="157"/>
      <c r="D585" s="221"/>
      <c r="E585" s="159"/>
      <c r="F585" s="190"/>
      <c r="G585" s="168"/>
      <c r="H585" s="190">
        <v>10776.35</v>
      </c>
      <c r="I585" s="177"/>
      <c r="J585" s="162"/>
      <c r="K585" s="205"/>
    </row>
    <row r="586" spans="1:11" s="144" customFormat="1" ht="12.75" outlineLevel="3" x14ac:dyDescent="0.15">
      <c r="A586" s="174"/>
      <c r="B586" s="156" t="s">
        <v>1328</v>
      </c>
      <c r="C586" s="157"/>
      <c r="D586" s="221"/>
      <c r="E586" s="159"/>
      <c r="F586" s="190"/>
      <c r="G586" s="190"/>
      <c r="H586" s="190">
        <v>8100</v>
      </c>
      <c r="I586" s="177"/>
      <c r="J586" s="162"/>
      <c r="K586" s="205"/>
    </row>
    <row r="587" spans="1:11" s="144" customFormat="1" ht="12.75" outlineLevel="3" x14ac:dyDescent="0.15">
      <c r="A587" s="174"/>
      <c r="B587" s="156" t="s">
        <v>1329</v>
      </c>
      <c r="C587" s="157"/>
      <c r="D587" s="221"/>
      <c r="E587" s="159"/>
      <c r="F587" s="190"/>
      <c r="G587" s="190"/>
      <c r="H587" s="190">
        <v>10300</v>
      </c>
      <c r="I587" s="177"/>
      <c r="J587" s="162"/>
      <c r="K587" s="205"/>
    </row>
    <row r="588" spans="1:11" s="144" customFormat="1" ht="12.75" outlineLevel="3" x14ac:dyDescent="0.15">
      <c r="A588" s="174"/>
      <c r="B588" s="156" t="s">
        <v>1330</v>
      </c>
      <c r="C588" s="157"/>
      <c r="D588" s="221"/>
      <c r="E588" s="159"/>
      <c r="F588" s="190"/>
      <c r="G588" s="190"/>
      <c r="H588" s="190">
        <v>11159.8</v>
      </c>
      <c r="I588" s="177"/>
      <c r="J588" s="162"/>
      <c r="K588" s="205"/>
    </row>
    <row r="589" spans="1:11" s="144" customFormat="1" ht="12.75" outlineLevel="3" x14ac:dyDescent="0.15">
      <c r="A589" s="174"/>
      <c r="B589" s="156" t="s">
        <v>1331</v>
      </c>
      <c r="C589" s="157"/>
      <c r="D589" s="221"/>
      <c r="E589" s="159"/>
      <c r="F589" s="190"/>
      <c r="G589" s="190"/>
      <c r="H589" s="190">
        <v>13270.05</v>
      </c>
      <c r="I589" s="177"/>
      <c r="J589" s="162"/>
      <c r="K589" s="205"/>
    </row>
    <row r="590" spans="1:11" s="226" customFormat="1" ht="12.75" outlineLevel="2" x14ac:dyDescent="0.15">
      <c r="A590" s="169"/>
      <c r="B590" s="170" t="s">
        <v>1337</v>
      </c>
      <c r="C590" s="171"/>
      <c r="D590" s="221">
        <f>E590/K$2*10000</f>
        <v>150.7194111678931</v>
      </c>
      <c r="E590" s="202">
        <f>17538196/10000</f>
        <v>1753.8196</v>
      </c>
      <c r="F590" s="230">
        <f t="shared" ref="F590:G590" si="201">SUM(F591:F593)</f>
        <v>0</v>
      </c>
      <c r="G590" s="230">
        <f t="shared" si="201"/>
        <v>0</v>
      </c>
      <c r="H590" s="230">
        <f>SUM(H591:H597)</f>
        <v>64534.71</v>
      </c>
      <c r="I590" s="172">
        <f>F590-E590</f>
        <v>-1753.8196</v>
      </c>
      <c r="J590" s="162">
        <f>G590-D590</f>
        <v>-150.7194111678931</v>
      </c>
      <c r="K590" s="225"/>
    </row>
    <row r="591" spans="1:11" s="144" customFormat="1" ht="12.75" outlineLevel="3" x14ac:dyDescent="0.15">
      <c r="A591" s="174"/>
      <c r="B591" s="156" t="s">
        <v>1325</v>
      </c>
      <c r="C591" s="157"/>
      <c r="D591" s="221"/>
      <c r="E591" s="159"/>
      <c r="F591" s="159"/>
      <c r="G591" s="161"/>
      <c r="H591" s="160">
        <v>41055.31</v>
      </c>
      <c r="I591" s="177"/>
      <c r="J591" s="162"/>
      <c r="K591" s="205"/>
    </row>
    <row r="592" spans="1:11" s="144" customFormat="1" ht="12.75" outlineLevel="3" x14ac:dyDescent="0.15">
      <c r="A592" s="174"/>
      <c r="B592" s="156" t="s">
        <v>1326</v>
      </c>
      <c r="C592" s="157"/>
      <c r="D592" s="221"/>
      <c r="E592" s="159"/>
      <c r="F592" s="159"/>
      <c r="G592" s="161"/>
      <c r="H592" s="160">
        <v>515</v>
      </c>
      <c r="I592" s="177"/>
      <c r="J592" s="162"/>
      <c r="K592" s="205"/>
    </row>
    <row r="593" spans="1:11" s="144" customFormat="1" ht="12.75" outlineLevel="3" x14ac:dyDescent="0.15">
      <c r="A593" s="174"/>
      <c r="B593" s="156" t="s">
        <v>1327</v>
      </c>
      <c r="C593" s="157"/>
      <c r="D593" s="221"/>
      <c r="E593" s="159"/>
      <c r="F593" s="159"/>
      <c r="G593" s="168"/>
      <c r="H593" s="160">
        <v>2268.4</v>
      </c>
      <c r="I593" s="177"/>
      <c r="J593" s="162"/>
      <c r="K593" s="205"/>
    </row>
    <row r="594" spans="1:11" s="144" customFormat="1" ht="12.75" outlineLevel="3" x14ac:dyDescent="0.15">
      <c r="A594" s="174"/>
      <c r="B594" s="156" t="s">
        <v>1328</v>
      </c>
      <c r="C594" s="157"/>
      <c r="D594" s="221"/>
      <c r="E594" s="159"/>
      <c r="F594" s="190"/>
      <c r="G594" s="168"/>
      <c r="H594" s="160">
        <v>3200</v>
      </c>
      <c r="I594" s="177"/>
      <c r="J594" s="172"/>
      <c r="K594" s="205"/>
    </row>
    <row r="595" spans="1:11" s="144" customFormat="1" ht="12.75" outlineLevel="3" x14ac:dyDescent="0.15">
      <c r="A595" s="174"/>
      <c r="B595" s="156" t="s">
        <v>1329</v>
      </c>
      <c r="C595" s="157"/>
      <c r="D595" s="221"/>
      <c r="E595" s="159"/>
      <c r="F595" s="190"/>
      <c r="G595" s="168"/>
      <c r="H595" s="160">
        <v>200</v>
      </c>
      <c r="I595" s="177"/>
      <c r="J595" s="172"/>
      <c r="K595" s="205"/>
    </row>
    <row r="596" spans="1:11" s="144" customFormat="1" ht="12.75" outlineLevel="3" x14ac:dyDescent="0.15">
      <c r="A596" s="174"/>
      <c r="B596" s="156" t="s">
        <v>1330</v>
      </c>
      <c r="C596" s="157"/>
      <c r="D596" s="221"/>
      <c r="E596" s="159"/>
      <c r="F596" s="190"/>
      <c r="G596" s="168"/>
      <c r="H596" s="160">
        <v>276</v>
      </c>
      <c r="I596" s="177"/>
      <c r="J596" s="172"/>
      <c r="K596" s="205"/>
    </row>
    <row r="597" spans="1:11" s="144" customFormat="1" ht="12.75" outlineLevel="3" x14ac:dyDescent="0.15">
      <c r="A597" s="174"/>
      <c r="B597" s="156" t="s">
        <v>1331</v>
      </c>
      <c r="C597" s="157"/>
      <c r="D597" s="221"/>
      <c r="E597" s="159"/>
      <c r="F597" s="190"/>
      <c r="G597" s="168"/>
      <c r="H597" s="160">
        <v>17020</v>
      </c>
      <c r="I597" s="177"/>
      <c r="J597" s="172"/>
      <c r="K597" s="205"/>
    </row>
    <row r="598" spans="1:11" s="226" customFormat="1" ht="12.75" outlineLevel="3" x14ac:dyDescent="0.15">
      <c r="A598" s="169"/>
      <c r="B598" s="170" t="s">
        <v>1338</v>
      </c>
      <c r="C598" s="171"/>
      <c r="D598" s="221"/>
      <c r="E598" s="202"/>
      <c r="F598" s="203">
        <f t="shared" ref="F598:J598" si="202">SUM(F599:F600)</f>
        <v>199459.4</v>
      </c>
      <c r="G598" s="203">
        <f t="shared" si="202"/>
        <v>0</v>
      </c>
      <c r="H598" s="203">
        <f t="shared" si="202"/>
        <v>202610.84</v>
      </c>
      <c r="I598" s="203">
        <f t="shared" si="202"/>
        <v>0</v>
      </c>
      <c r="J598" s="203">
        <f t="shared" si="202"/>
        <v>0</v>
      </c>
      <c r="K598" s="225"/>
    </row>
    <row r="599" spans="1:11" s="226" customFormat="1" ht="12.75" outlineLevel="3" x14ac:dyDescent="0.15">
      <c r="A599" s="169"/>
      <c r="B599" s="156" t="s">
        <v>1326</v>
      </c>
      <c r="C599" s="171"/>
      <c r="D599" s="221"/>
      <c r="E599" s="202"/>
      <c r="F599" s="223">
        <v>199459.4</v>
      </c>
      <c r="G599" s="172"/>
      <c r="H599" s="203">
        <v>199459.4</v>
      </c>
      <c r="I599" s="224"/>
      <c r="J599" s="162"/>
      <c r="K599" s="225"/>
    </row>
    <row r="600" spans="1:11" s="226" customFormat="1" ht="12.75" outlineLevel="3" x14ac:dyDescent="0.15">
      <c r="A600" s="169"/>
      <c r="B600" s="156" t="s">
        <v>1328</v>
      </c>
      <c r="C600" s="171"/>
      <c r="D600" s="221"/>
      <c r="E600" s="202"/>
      <c r="F600" s="223"/>
      <c r="G600" s="172"/>
      <c r="H600" s="203">
        <v>3151.44</v>
      </c>
      <c r="I600" s="224"/>
      <c r="J600" s="162"/>
      <c r="K600" s="225"/>
    </row>
    <row r="601" spans="1:11" s="226" customFormat="1" ht="12.75" outlineLevel="1" x14ac:dyDescent="0.15">
      <c r="A601" s="169"/>
      <c r="B601" s="170" t="s">
        <v>1339</v>
      </c>
      <c r="C601" s="171"/>
      <c r="D601" s="221"/>
      <c r="E601" s="202"/>
      <c r="F601" s="203">
        <f>F602+F605</f>
        <v>0</v>
      </c>
      <c r="G601" s="203">
        <f t="shared" ref="G601:H601" si="203">G602+G605</f>
        <v>0</v>
      </c>
      <c r="H601" s="160">
        <f t="shared" si="203"/>
        <v>0</v>
      </c>
      <c r="I601" s="172">
        <f>F601-E601*10000</f>
        <v>0</v>
      </c>
      <c r="J601" s="162"/>
      <c r="K601" s="225"/>
    </row>
    <row r="602" spans="1:11" s="144" customFormat="1" ht="12.75" outlineLevel="2" x14ac:dyDescent="0.15">
      <c r="A602" s="169"/>
      <c r="B602" s="170" t="s">
        <v>1340</v>
      </c>
      <c r="C602" s="157"/>
      <c r="D602" s="221">
        <f>E602/K$2*10000</f>
        <v>135.02861986803046</v>
      </c>
      <c r="E602" s="159">
        <f>15712365/10000</f>
        <v>1571.2365</v>
      </c>
      <c r="F602" s="160">
        <f>SUM(F603:F604)</f>
        <v>0</v>
      </c>
      <c r="G602" s="160">
        <f t="shared" ref="G602:H602" si="204">SUM(G603:G604)</f>
        <v>0</v>
      </c>
      <c r="H602" s="160">
        <f t="shared" si="204"/>
        <v>0</v>
      </c>
      <c r="I602" s="160">
        <f>F602-E602*10000</f>
        <v>-15712365</v>
      </c>
      <c r="J602" s="162">
        <f>G602-D602</f>
        <v>-135.02861986803046</v>
      </c>
      <c r="K602" s="205"/>
    </row>
    <row r="603" spans="1:11" s="144" customFormat="1" ht="12.75" outlineLevel="3" collapsed="1" x14ac:dyDescent="0.15">
      <c r="A603" s="227"/>
      <c r="B603" s="156"/>
      <c r="C603" s="157"/>
      <c r="D603" s="221"/>
      <c r="E603" s="159"/>
      <c r="F603" s="159"/>
      <c r="G603" s="161"/>
      <c r="H603" s="160"/>
      <c r="I603" s="168"/>
      <c r="J603" s="162"/>
      <c r="K603" s="205"/>
    </row>
    <row r="604" spans="1:11" s="144" customFormat="1" ht="12.75" outlineLevel="3" x14ac:dyDescent="0.15">
      <c r="A604" s="227"/>
      <c r="B604" s="156"/>
      <c r="C604" s="157"/>
      <c r="D604" s="221"/>
      <c r="E604" s="159"/>
      <c r="F604" s="159"/>
      <c r="G604" s="161"/>
      <c r="H604" s="160"/>
      <c r="I604" s="168"/>
      <c r="J604" s="162"/>
      <c r="K604" s="205"/>
    </row>
    <row r="605" spans="1:11" s="144" customFormat="1" ht="12.75" outlineLevel="2" x14ac:dyDescent="0.15">
      <c r="A605" s="169"/>
      <c r="B605" s="170" t="s">
        <v>1341</v>
      </c>
      <c r="C605" s="157"/>
      <c r="D605" s="221">
        <f>E605/K$2*10000</f>
        <v>150.7194111678931</v>
      </c>
      <c r="E605" s="159">
        <f>17538196/10000</f>
        <v>1753.8196</v>
      </c>
      <c r="F605" s="160">
        <f>SUM(F606:F607)</f>
        <v>0</v>
      </c>
      <c r="G605" s="160">
        <f t="shared" ref="G605:H605" si="205">SUM(G606:G607)</f>
        <v>0</v>
      </c>
      <c r="H605" s="160">
        <f t="shared" si="205"/>
        <v>0</v>
      </c>
      <c r="I605" s="168">
        <f>F605-E605</f>
        <v>-1753.8196</v>
      </c>
      <c r="J605" s="162">
        <f t="shared" ref="J605" si="206">G605-D605</f>
        <v>-150.7194111678931</v>
      </c>
      <c r="K605" s="205"/>
    </row>
    <row r="606" spans="1:11" s="144" customFormat="1" ht="12.75" outlineLevel="3" x14ac:dyDescent="0.15">
      <c r="A606" s="169"/>
      <c r="B606" s="170"/>
      <c r="C606" s="157"/>
      <c r="D606" s="221"/>
      <c r="E606" s="159"/>
      <c r="F606" s="190"/>
      <c r="G606" s="160"/>
      <c r="H606" s="160"/>
      <c r="I606" s="168"/>
      <c r="J606" s="162"/>
      <c r="K606" s="205"/>
    </row>
    <row r="607" spans="1:11" s="144" customFormat="1" ht="12.75" outlineLevel="3" x14ac:dyDescent="0.15">
      <c r="A607" s="169"/>
      <c r="B607" s="170"/>
      <c r="C607" s="157"/>
      <c r="D607" s="221"/>
      <c r="E607" s="159"/>
      <c r="F607" s="190"/>
      <c r="G607" s="160"/>
      <c r="H607" s="160"/>
      <c r="I607" s="168"/>
      <c r="J607" s="162"/>
      <c r="K607" s="205"/>
    </row>
    <row r="608" spans="1:11" s="226" customFormat="1" ht="13.5" customHeight="1" x14ac:dyDescent="0.15">
      <c r="A608" s="231"/>
      <c r="B608" s="232" t="s">
        <v>1342</v>
      </c>
      <c r="C608" s="233"/>
      <c r="D608" s="234">
        <f>E608/K$2*10000</f>
        <v>100.37879666788182</v>
      </c>
      <c r="E608" s="235">
        <v>1168.04</v>
      </c>
      <c r="F608" s="235">
        <f>F609+F612+F615+F618</f>
        <v>0</v>
      </c>
      <c r="G608" s="235">
        <f t="shared" ref="G608:H608" si="207">G609+G612+G615+G618</f>
        <v>0</v>
      </c>
      <c r="H608" s="235">
        <f t="shared" si="207"/>
        <v>0</v>
      </c>
      <c r="I608" s="236">
        <f>F608-E608*10000</f>
        <v>-11680400</v>
      </c>
      <c r="J608" s="237">
        <f t="shared" ref="J608:J612" si="208">G608-D608</f>
        <v>-100.37879666788182</v>
      </c>
      <c r="K608" s="238"/>
    </row>
    <row r="609" spans="1:11" s="144" customFormat="1" ht="12.75" outlineLevel="1" x14ac:dyDescent="0.15">
      <c r="A609" s="227"/>
      <c r="B609" s="156" t="s">
        <v>1343</v>
      </c>
      <c r="C609" s="157"/>
      <c r="D609" s="158">
        <f>E609/K2</f>
        <v>14.695365081853183</v>
      </c>
      <c r="E609" s="159">
        <v>1710000</v>
      </c>
      <c r="F609" s="160">
        <f>SUM(F610:F611)</f>
        <v>0</v>
      </c>
      <c r="G609" s="160">
        <f t="shared" ref="G609:H609" si="209">SUM(G610:G611)</f>
        <v>0</v>
      </c>
      <c r="H609" s="160">
        <f t="shared" si="209"/>
        <v>0</v>
      </c>
      <c r="I609" s="168"/>
      <c r="J609" s="162">
        <f t="shared" si="208"/>
        <v>-14.695365081853183</v>
      </c>
      <c r="K609" s="205"/>
    </row>
    <row r="610" spans="1:11" s="144" customFormat="1" ht="12.75" outlineLevel="2" x14ac:dyDescent="0.15">
      <c r="A610" s="227"/>
      <c r="B610" s="156"/>
      <c r="C610" s="157"/>
      <c r="D610" s="221"/>
      <c r="E610" s="159"/>
      <c r="F610" s="159"/>
      <c r="G610" s="161"/>
      <c r="H610" s="159"/>
      <c r="I610" s="168"/>
      <c r="J610" s="162"/>
      <c r="K610" s="205"/>
    </row>
    <row r="611" spans="1:11" s="144" customFormat="1" ht="12.75" outlineLevel="2" x14ac:dyDescent="0.15">
      <c r="A611" s="227"/>
      <c r="B611" s="156"/>
      <c r="C611" s="157"/>
      <c r="D611" s="221"/>
      <c r="E611" s="159"/>
      <c r="F611" s="159"/>
      <c r="G611" s="161"/>
      <c r="H611" s="159"/>
      <c r="I611" s="168"/>
      <c r="J611" s="162"/>
      <c r="K611" s="205"/>
    </row>
    <row r="612" spans="1:11" s="144" customFormat="1" ht="14.25" customHeight="1" outlineLevel="1" x14ac:dyDescent="0.15">
      <c r="A612" s="227"/>
      <c r="B612" s="156" t="s">
        <v>1344</v>
      </c>
      <c r="C612" s="157"/>
      <c r="D612" s="158">
        <f>E612/K2</f>
        <v>14.695365081853183</v>
      </c>
      <c r="E612" s="159">
        <v>1710000</v>
      </c>
      <c r="F612" s="160">
        <f>SUM(F613:F614)</f>
        <v>0</v>
      </c>
      <c r="G612" s="160">
        <f t="shared" ref="G612:H612" si="210">SUM(G613:G614)</f>
        <v>0</v>
      </c>
      <c r="H612" s="160">
        <f t="shared" si="210"/>
        <v>0</v>
      </c>
      <c r="I612" s="168"/>
      <c r="J612" s="162">
        <f t="shared" si="208"/>
        <v>-14.695365081853183</v>
      </c>
      <c r="K612" s="205"/>
    </row>
    <row r="613" spans="1:11" s="144" customFormat="1" ht="12.75" outlineLevel="2" x14ac:dyDescent="0.15">
      <c r="A613" s="227"/>
      <c r="B613" s="156"/>
      <c r="C613" s="157"/>
      <c r="D613" s="221"/>
      <c r="E613" s="159"/>
      <c r="F613" s="159"/>
      <c r="G613" s="161"/>
      <c r="H613" s="159"/>
      <c r="I613" s="168"/>
      <c r="J613" s="162"/>
      <c r="K613" s="205"/>
    </row>
    <row r="614" spans="1:11" s="144" customFormat="1" ht="12.75" outlineLevel="2" x14ac:dyDescent="0.15">
      <c r="A614" s="227"/>
      <c r="B614" s="156"/>
      <c r="C614" s="157"/>
      <c r="D614" s="221"/>
      <c r="E614" s="159"/>
      <c r="F614" s="159"/>
      <c r="G614" s="161"/>
      <c r="H614" s="159"/>
      <c r="I614" s="168"/>
      <c r="J614" s="162"/>
      <c r="K614" s="205"/>
    </row>
    <row r="615" spans="1:11" s="144" customFormat="1" ht="12.75" outlineLevel="1" x14ac:dyDescent="0.15">
      <c r="A615" s="227"/>
      <c r="B615" s="156" t="s">
        <v>1345</v>
      </c>
      <c r="C615" s="157"/>
      <c r="D615" s="158">
        <f>E615/K2</f>
        <v>14.695365081853183</v>
      </c>
      <c r="E615" s="159">
        <v>1710000</v>
      </c>
      <c r="F615" s="160">
        <f>SUM(F616:F617)</f>
        <v>0</v>
      </c>
      <c r="G615" s="160">
        <f t="shared" ref="G615:H615" si="211">SUM(G616:G617)</f>
        <v>0</v>
      </c>
      <c r="H615" s="160">
        <f t="shared" si="211"/>
        <v>0</v>
      </c>
      <c r="I615" s="168"/>
      <c r="J615" s="162">
        <f>G615-D615</f>
        <v>-14.695365081853183</v>
      </c>
      <c r="K615" s="205"/>
    </row>
    <row r="616" spans="1:11" s="144" customFormat="1" ht="12.75" outlineLevel="2" x14ac:dyDescent="0.15">
      <c r="A616" s="227"/>
      <c r="B616" s="156"/>
      <c r="C616" s="157"/>
      <c r="D616" s="221"/>
      <c r="E616" s="159"/>
      <c r="F616" s="159"/>
      <c r="G616" s="161"/>
      <c r="H616" s="159"/>
      <c r="I616" s="168"/>
      <c r="J616" s="162"/>
      <c r="K616" s="205"/>
    </row>
    <row r="617" spans="1:11" s="144" customFormat="1" ht="12.75" outlineLevel="2" x14ac:dyDescent="0.15">
      <c r="A617" s="227"/>
      <c r="B617" s="156"/>
      <c r="C617" s="157"/>
      <c r="D617" s="221"/>
      <c r="E617" s="159"/>
      <c r="F617" s="159"/>
      <c r="G617" s="161"/>
      <c r="H617" s="159"/>
      <c r="I617" s="168"/>
      <c r="J617" s="162"/>
      <c r="K617" s="205"/>
    </row>
    <row r="618" spans="1:11" s="144" customFormat="1" ht="12.75" outlineLevel="1" x14ac:dyDescent="0.15">
      <c r="A618" s="227"/>
      <c r="B618" s="156" t="s">
        <v>1346</v>
      </c>
      <c r="C618" s="157"/>
      <c r="D618" s="158">
        <f>E618/K2</f>
        <v>14.695365081853183</v>
      </c>
      <c r="E618" s="159">
        <v>1710000</v>
      </c>
      <c r="F618" s="160">
        <f t="shared" ref="F618:H618" si="212">SUM(F619:F620)</f>
        <v>0</v>
      </c>
      <c r="G618" s="160">
        <f t="shared" si="212"/>
        <v>0</v>
      </c>
      <c r="H618" s="160">
        <f t="shared" si="212"/>
        <v>0</v>
      </c>
      <c r="I618" s="168"/>
      <c r="J618" s="162">
        <f t="shared" ref="J618" si="213">G618-D618</f>
        <v>-14.695365081853183</v>
      </c>
      <c r="K618" s="205"/>
    </row>
    <row r="619" spans="1:11" s="144" customFormat="1" ht="12.75" outlineLevel="2" x14ac:dyDescent="0.15">
      <c r="A619" s="227"/>
      <c r="B619" s="156"/>
      <c r="C619" s="157"/>
      <c r="D619" s="221"/>
      <c r="E619" s="159"/>
      <c r="F619" s="159"/>
      <c r="G619" s="161"/>
      <c r="H619" s="159"/>
      <c r="I619" s="168"/>
      <c r="J619" s="162"/>
      <c r="K619" s="205"/>
    </row>
    <row r="620" spans="1:11" s="144" customFormat="1" ht="12.75" outlineLevel="2" x14ac:dyDescent="0.15">
      <c r="A620" s="227"/>
      <c r="B620" s="156"/>
      <c r="C620" s="157"/>
      <c r="D620" s="221"/>
      <c r="E620" s="159"/>
      <c r="F620" s="159"/>
      <c r="G620" s="161"/>
      <c r="H620" s="159"/>
      <c r="I620" s="168"/>
      <c r="J620" s="162"/>
      <c r="K620" s="205"/>
    </row>
    <row r="621" spans="1:11" s="226" customFormat="1" ht="12.75" x14ac:dyDescent="0.15">
      <c r="A621" s="169"/>
      <c r="B621" s="170" t="s">
        <v>1347</v>
      </c>
      <c r="C621" s="171" t="s">
        <v>1348</v>
      </c>
      <c r="D621" s="221">
        <f>E621/K$2*10000</f>
        <v>520.29842419279908</v>
      </c>
      <c r="E621" s="202">
        <v>6054.36</v>
      </c>
      <c r="F621" s="202">
        <f t="shared" ref="F621:H621" si="214">F622+F625+F628+F632+F635+F638</f>
        <v>383546.13</v>
      </c>
      <c r="G621" s="202">
        <f t="shared" si="214"/>
        <v>3.2961113485859195</v>
      </c>
      <c r="H621" s="202">
        <f t="shared" si="214"/>
        <v>0</v>
      </c>
      <c r="I621" s="172">
        <f>F621-E621*10000</f>
        <v>-60160053.869999997</v>
      </c>
      <c r="J621" s="162">
        <f t="shared" ref="J621:J625" si="215">G621-D621</f>
        <v>-517.00231284421318</v>
      </c>
      <c r="K621" s="225"/>
    </row>
    <row r="622" spans="1:11" s="144" customFormat="1" ht="12.75" outlineLevel="1" x14ac:dyDescent="0.15">
      <c r="A622" s="227"/>
      <c r="B622" s="156" t="s">
        <v>1349</v>
      </c>
      <c r="C622" s="157"/>
      <c r="D622" s="158">
        <f>E622/K2</f>
        <v>14.695365081853183</v>
      </c>
      <c r="E622" s="159">
        <v>1710000</v>
      </c>
      <c r="F622" s="160">
        <f t="shared" ref="F622" si="216">SUM(F623:F624)</f>
        <v>0</v>
      </c>
      <c r="G622" s="160">
        <f t="shared" ref="G622:H622" si="217">SUM(G623:G624)</f>
        <v>0</v>
      </c>
      <c r="H622" s="160">
        <f t="shared" si="217"/>
        <v>0</v>
      </c>
      <c r="I622" s="168"/>
      <c r="J622" s="162">
        <f t="shared" si="215"/>
        <v>-14.695365081853183</v>
      </c>
      <c r="K622" s="205"/>
    </row>
    <row r="623" spans="1:11" s="144" customFormat="1" ht="12.75" outlineLevel="2" x14ac:dyDescent="0.15">
      <c r="A623" s="227"/>
      <c r="B623" s="156"/>
      <c r="C623" s="157"/>
      <c r="D623" s="221"/>
      <c r="E623" s="159"/>
      <c r="F623" s="159"/>
      <c r="G623" s="161"/>
      <c r="H623" s="159"/>
      <c r="I623" s="168"/>
      <c r="J623" s="162"/>
      <c r="K623" s="205"/>
    </row>
    <row r="624" spans="1:11" s="144" customFormat="1" ht="12.75" outlineLevel="2" x14ac:dyDescent="0.15">
      <c r="A624" s="227"/>
      <c r="B624" s="156"/>
      <c r="C624" s="157"/>
      <c r="D624" s="221"/>
      <c r="E624" s="159"/>
      <c r="F624" s="159"/>
      <c r="G624" s="161"/>
      <c r="H624" s="159"/>
      <c r="I624" s="168"/>
      <c r="J624" s="162"/>
      <c r="K624" s="205"/>
    </row>
    <row r="625" spans="1:11" s="144" customFormat="1" ht="12.75" outlineLevel="1" x14ac:dyDescent="0.15">
      <c r="A625" s="227"/>
      <c r="B625" s="156" t="s">
        <v>1350</v>
      </c>
      <c r="C625" s="157"/>
      <c r="D625" s="158">
        <f>E625/K2</f>
        <v>14.695365081853183</v>
      </c>
      <c r="E625" s="159">
        <v>1710000</v>
      </c>
      <c r="F625" s="160">
        <f t="shared" ref="F625:H625" si="218">SUM(F626:F627)</f>
        <v>0</v>
      </c>
      <c r="G625" s="160">
        <f t="shared" si="218"/>
        <v>0</v>
      </c>
      <c r="H625" s="160">
        <f t="shared" si="218"/>
        <v>0</v>
      </c>
      <c r="I625" s="168"/>
      <c r="J625" s="162">
        <f t="shared" si="215"/>
        <v>-14.695365081853183</v>
      </c>
      <c r="K625" s="205"/>
    </row>
    <row r="626" spans="1:11" s="144" customFormat="1" ht="12.75" outlineLevel="2" x14ac:dyDescent="0.15">
      <c r="A626" s="227"/>
      <c r="B626" s="156"/>
      <c r="C626" s="157"/>
      <c r="D626" s="221"/>
      <c r="E626" s="159"/>
      <c r="F626" s="159"/>
      <c r="G626" s="161"/>
      <c r="H626" s="159"/>
      <c r="I626" s="168"/>
      <c r="J626" s="162"/>
      <c r="K626" s="205"/>
    </row>
    <row r="627" spans="1:11" s="144" customFormat="1" ht="12.75" outlineLevel="2" x14ac:dyDescent="0.15">
      <c r="A627" s="227"/>
      <c r="B627" s="156"/>
      <c r="C627" s="157"/>
      <c r="D627" s="221"/>
      <c r="E627" s="159"/>
      <c r="F627" s="159"/>
      <c r="G627" s="161"/>
      <c r="H627" s="159"/>
      <c r="I627" s="168"/>
      <c r="J627" s="162"/>
      <c r="K627" s="205"/>
    </row>
    <row r="628" spans="1:11" s="144" customFormat="1" ht="12.75" outlineLevel="1" x14ac:dyDescent="0.15">
      <c r="A628" s="227"/>
      <c r="B628" s="156" t="s">
        <v>1351</v>
      </c>
      <c r="C628" s="157"/>
      <c r="D628" s="158">
        <f>E628/K2</f>
        <v>14.695365081853183</v>
      </c>
      <c r="E628" s="159">
        <v>1710000</v>
      </c>
      <c r="F628" s="160">
        <f>SUM(F629:F631)</f>
        <v>349627.4</v>
      </c>
      <c r="G628" s="160">
        <f>SUM(G629:G631)</f>
        <v>3.0046212196603017</v>
      </c>
      <c r="H628" s="160">
        <f t="shared" ref="H628:K628" si="219">SUM(H629:H629)</f>
        <v>0</v>
      </c>
      <c r="I628" s="160">
        <f t="shared" si="219"/>
        <v>0</v>
      </c>
      <c r="J628" s="160">
        <f t="shared" si="219"/>
        <v>0</v>
      </c>
      <c r="K628" s="160">
        <f t="shared" si="219"/>
        <v>0</v>
      </c>
    </row>
    <row r="629" spans="1:11" s="144" customFormat="1" ht="12.75" outlineLevel="2" x14ac:dyDescent="0.15">
      <c r="A629" s="180"/>
      <c r="B629" s="156" t="s">
        <v>35</v>
      </c>
      <c r="C629" s="157"/>
      <c r="D629" s="158"/>
      <c r="E629" s="159"/>
      <c r="F629" s="160">
        <v>150000</v>
      </c>
      <c r="G629" s="161">
        <f t="shared" ref="G629:G631" si="220">F629/K$2</f>
        <v>1.2890671124432618</v>
      </c>
      <c r="H629" s="159">
        <f>IF(A629&lt;&gt;0,IF($H$2="元",VLOOKUP(A629,[1]合同台帐!$A$4:$K$1093,11,1),VLOOKUP(A629,[1]合同台帐!$A$4:$K$1093,11,1)),0)</f>
        <v>0</v>
      </c>
      <c r="I629" s="168"/>
      <c r="J629" s="162"/>
      <c r="K629" s="136"/>
    </row>
    <row r="630" spans="1:11" s="144" customFormat="1" ht="12.75" outlineLevel="2" x14ac:dyDescent="0.15">
      <c r="A630" s="180"/>
      <c r="B630" s="156" t="s">
        <v>1352</v>
      </c>
      <c r="C630" s="157"/>
      <c r="D630" s="158"/>
      <c r="E630" s="159"/>
      <c r="F630" s="160">
        <v>168</v>
      </c>
      <c r="G630" s="161">
        <f t="shared" si="220"/>
        <v>1.4437551659364531E-3</v>
      </c>
      <c r="H630" s="190"/>
      <c r="I630" s="168"/>
      <c r="J630" s="162"/>
      <c r="K630" s="136"/>
    </row>
    <row r="631" spans="1:11" s="144" customFormat="1" ht="12.75" outlineLevel="2" x14ac:dyDescent="0.15">
      <c r="A631" s="180"/>
      <c r="B631" s="156" t="s">
        <v>1353</v>
      </c>
      <c r="C631" s="157"/>
      <c r="D631" s="158"/>
      <c r="E631" s="159"/>
      <c r="F631" s="160">
        <v>199459.4</v>
      </c>
      <c r="G631" s="161">
        <f t="shared" si="220"/>
        <v>1.7141103520511034</v>
      </c>
      <c r="H631" s="190"/>
      <c r="I631" s="168"/>
      <c r="J631" s="162"/>
      <c r="K631" s="136"/>
    </row>
    <row r="632" spans="1:11" s="144" customFormat="1" ht="12.75" outlineLevel="1" x14ac:dyDescent="0.15">
      <c r="A632" s="227"/>
      <c r="B632" s="156" t="s">
        <v>1354</v>
      </c>
      <c r="C632" s="157"/>
      <c r="D632" s="158">
        <f>E632/K2</f>
        <v>14.695365081853183</v>
      </c>
      <c r="E632" s="159">
        <v>1710000</v>
      </c>
      <c r="F632" s="160">
        <f t="shared" ref="F632" si="221">SUM(F633:F634)</f>
        <v>0</v>
      </c>
      <c r="G632" s="160">
        <f t="shared" ref="G632:H632" si="222">SUM(G633:G634)</f>
        <v>0</v>
      </c>
      <c r="H632" s="160">
        <f t="shared" si="222"/>
        <v>0</v>
      </c>
      <c r="I632" s="168"/>
      <c r="J632" s="162">
        <f>G632-D632</f>
        <v>-14.695365081853183</v>
      </c>
      <c r="K632" s="205"/>
    </row>
    <row r="633" spans="1:11" s="144" customFormat="1" ht="12.75" outlineLevel="2" x14ac:dyDescent="0.15">
      <c r="A633" s="227"/>
      <c r="B633" s="156"/>
      <c r="C633" s="157"/>
      <c r="D633" s="221"/>
      <c r="E633" s="159"/>
      <c r="F633" s="159"/>
      <c r="G633" s="161"/>
      <c r="H633" s="159"/>
      <c r="I633" s="168"/>
      <c r="J633" s="162"/>
      <c r="K633" s="205"/>
    </row>
    <row r="634" spans="1:11" s="144" customFormat="1" ht="12.75" outlineLevel="2" x14ac:dyDescent="0.15">
      <c r="A634" s="227"/>
      <c r="B634" s="156"/>
      <c r="C634" s="157"/>
      <c r="D634" s="221"/>
      <c r="E634" s="159"/>
      <c r="F634" s="159"/>
      <c r="G634" s="161"/>
      <c r="H634" s="159"/>
      <c r="I634" s="168"/>
      <c r="J634" s="162"/>
      <c r="K634" s="205"/>
    </row>
    <row r="635" spans="1:11" s="144" customFormat="1" ht="12.75" outlineLevel="1" x14ac:dyDescent="0.15">
      <c r="A635" s="227"/>
      <c r="B635" s="156" t="s">
        <v>1355</v>
      </c>
      <c r="C635" s="157"/>
      <c r="D635" s="158">
        <f>E635/K2</f>
        <v>14.695365081853183</v>
      </c>
      <c r="E635" s="159">
        <v>1710000</v>
      </c>
      <c r="F635" s="160">
        <f t="shared" ref="F635:H635" si="223">SUM(F636:F637)</f>
        <v>0</v>
      </c>
      <c r="G635" s="160">
        <f t="shared" si="223"/>
        <v>0</v>
      </c>
      <c r="H635" s="160">
        <f t="shared" si="223"/>
        <v>0</v>
      </c>
      <c r="I635" s="168"/>
      <c r="J635" s="162">
        <f>G635-D635</f>
        <v>-14.695365081853183</v>
      </c>
      <c r="K635" s="205"/>
    </row>
    <row r="636" spans="1:11" s="144" customFormat="1" ht="12.75" outlineLevel="2" x14ac:dyDescent="0.15">
      <c r="A636" s="227"/>
      <c r="B636" s="156" t="str">
        <f>IF(A636&lt;&gt;0,VLOOKUP(A636,[1]合同台帐!$A$4:$D$195,4,1),"")</f>
        <v/>
      </c>
      <c r="C636" s="157"/>
      <c r="D636" s="158"/>
      <c r="E636" s="159"/>
      <c r="F636" s="160">
        <f>IF(A636&lt;&gt;0,IF(VLOOKUP(A636,[1]合同台帐!$A$4:$G$195,7,1),IF($H$2="元",VLOOKUP(A636,[1]合同台帐!$A$4:$G$195,7,1),VLOOKUP(A636,[1]合同台帐!$A$4:$G$195,7,1)),IF($H$2="元",VLOOKUP(A636,[1]合同台帐!$A$4:$F$195,6,1),VLOOKUP(A636,[1]合同台帐!$A$4:$F$195,6,1))),0)</f>
        <v>0</v>
      </c>
      <c r="G636" s="161">
        <f t="shared" ref="G636" si="224">F636/K$2</f>
        <v>0</v>
      </c>
      <c r="H636" s="159">
        <f>IF(A636&lt;&gt;0,IF($H$2="元",VLOOKUP(A636,[1]合同台帐!$A$4:$K$1093,11,1),VLOOKUP(A636,[1]合同台帐!$A$4:$K$1093,11,1)),0)</f>
        <v>0</v>
      </c>
      <c r="I636" s="168"/>
      <c r="J636" s="162"/>
      <c r="K636" s="136"/>
    </row>
    <row r="637" spans="1:11" s="144" customFormat="1" ht="12.75" outlineLevel="2" x14ac:dyDescent="0.15">
      <c r="A637" s="227"/>
      <c r="B637" s="156"/>
      <c r="C637" s="157"/>
      <c r="D637" s="221"/>
      <c r="E637" s="159"/>
      <c r="F637" s="159"/>
      <c r="G637" s="161"/>
      <c r="H637" s="159"/>
      <c r="I637" s="168"/>
      <c r="J637" s="162"/>
      <c r="K637" s="205"/>
    </row>
    <row r="638" spans="1:11" s="144" customFormat="1" ht="12.75" outlineLevel="1" x14ac:dyDescent="0.15">
      <c r="A638" s="227"/>
      <c r="B638" s="156" t="s">
        <v>1356</v>
      </c>
      <c r="C638" s="157"/>
      <c r="D638" s="158">
        <f>E638/K2</f>
        <v>14.695365081853183</v>
      </c>
      <c r="E638" s="159">
        <v>1710000</v>
      </c>
      <c r="F638" s="160">
        <f t="shared" ref="F638" si="225">SUM(F639:F640)</f>
        <v>33918.730000000003</v>
      </c>
      <c r="G638" s="160">
        <f t="shared" ref="G638:H638" si="226">SUM(G639:G640)</f>
        <v>0.2914901289256176</v>
      </c>
      <c r="H638" s="160">
        <f t="shared" si="226"/>
        <v>0</v>
      </c>
      <c r="I638" s="168"/>
      <c r="J638" s="162">
        <f>G638-D638</f>
        <v>-14.403874952927564</v>
      </c>
      <c r="K638" s="205"/>
    </row>
    <row r="639" spans="1:11" s="144" customFormat="1" ht="12.75" outlineLevel="2" x14ac:dyDescent="0.15">
      <c r="A639" s="227"/>
      <c r="B639" s="156" t="s">
        <v>1326</v>
      </c>
      <c r="C639" s="157"/>
      <c r="D639" s="221"/>
      <c r="E639" s="159"/>
      <c r="F639" s="160">
        <v>15</v>
      </c>
      <c r="G639" s="161">
        <f t="shared" ref="G639:G640" si="227">F639/K$2</f>
        <v>1.2890671124432616E-4</v>
      </c>
      <c r="H639" s="159">
        <f>IF(A639&lt;&gt;0,IF($H$2="元",VLOOKUP(A639,[1]合同台帐!$A$4:$K$1093,11,1),VLOOKUP(A639,[1]合同台帐!$A$4:$K$1093,11,1)),0)</f>
        <v>0</v>
      </c>
      <c r="I639" s="168"/>
      <c r="J639" s="162"/>
      <c r="K639" s="136"/>
    </row>
    <row r="640" spans="1:11" s="144" customFormat="1" ht="12.75" outlineLevel="2" x14ac:dyDescent="0.15">
      <c r="A640" s="227"/>
      <c r="B640" s="156" t="s">
        <v>1327</v>
      </c>
      <c r="C640" s="157"/>
      <c r="D640" s="221"/>
      <c r="E640" s="159"/>
      <c r="F640" s="160">
        <v>33903.730000000003</v>
      </c>
      <c r="G640" s="161">
        <f t="shared" si="227"/>
        <v>0.29136122221437327</v>
      </c>
      <c r="H640" s="160">
        <f>IF(C640&lt;&gt;0,IF(VLOOKUP(C640,[1]合同台帐!$A$4:$G$195,7,1),IF($H$2="元",VLOOKUP(C640,[1]合同台帐!$A$4:$G$195,7,1),VLOOKUP(C640,[1]合同台帐!$A$4:$G$195,7,1)),IF($H$2="元",VLOOKUP(C640,[1]合同台帐!$A$4:$F$195,6,1),VLOOKUP(C640,[1]合同台帐!$A$4:$F$195,6,1))),0)</f>
        <v>0</v>
      </c>
      <c r="I640" s="160">
        <f>IF(D640&lt;&gt;0,IF(VLOOKUP(D640,[1]合同台帐!$A$4:$G$195,7,1),IF($H$2="元",VLOOKUP(D640,[1]合同台帐!$A$4:$G$195,7,1),VLOOKUP(D640,[1]合同台帐!$A$4:$G$195,7,1)),IF($H$2="元",VLOOKUP(D640,[1]合同台帐!$A$4:$F$195,6,1),VLOOKUP(D640,[1]合同台帐!$A$4:$F$195,6,1))),0)</f>
        <v>0</v>
      </c>
      <c r="J640" s="160">
        <f>IF(E640&lt;&gt;0,IF(VLOOKUP(E640,[1]合同台帐!$A$4:$G$195,7,1),IF($H$2="元",VLOOKUP(E640,[1]合同台帐!$A$4:$G$195,7,1),VLOOKUP(E640,[1]合同台帐!$A$4:$G$195,7,1)),IF($H$2="元",VLOOKUP(E640,[1]合同台帐!$A$4:$F$195,6,1),VLOOKUP(E640,[1]合同台帐!$A$4:$F$195,6,1))),0)</f>
        <v>0</v>
      </c>
      <c r="K640" s="160" t="e">
        <f>IF(F640&lt;&gt;0,IF(VLOOKUP(F640,[1]合同台帐!$A$4:$G$195,7,1),IF($H$2="元",VLOOKUP(F640,[1]合同台帐!$A$4:$G$195,7,1),VLOOKUP(F640,[1]合同台帐!$A$4:$G$195,7,1)),IF($H$2="元",VLOOKUP(F640,[1]合同台帐!$A$4:$F$195,6,1),VLOOKUP(F640,[1]合同台帐!$A$4:$F$195,6,1))),0)</f>
        <v>#N/A</v>
      </c>
    </row>
    <row r="641" spans="1:11" s="226" customFormat="1" ht="12.75" collapsed="1" x14ac:dyDescent="0.15">
      <c r="A641" s="212"/>
      <c r="B641" s="239" t="s">
        <v>1357</v>
      </c>
      <c r="C641" s="240"/>
      <c r="D641" s="241">
        <f t="shared" ref="D641:D645" si="228">E641/K$2*10000</f>
        <v>632.09749609885318</v>
      </c>
      <c r="E641" s="215">
        <v>7355.29</v>
      </c>
      <c r="F641" s="215">
        <f>F521+F522+F523+F621</f>
        <v>828828172.25999999</v>
      </c>
      <c r="G641" s="217"/>
      <c r="H641" s="242">
        <f t="shared" ref="H641:H644" si="229">F641</f>
        <v>828828172.25999999</v>
      </c>
      <c r="I641" s="243"/>
      <c r="J641" s="217">
        <f>G641-D641</f>
        <v>-632.09749609885318</v>
      </c>
      <c r="K641" s="218"/>
    </row>
    <row r="642" spans="1:11" s="226" customFormat="1" ht="13.5" customHeight="1" x14ac:dyDescent="0.15">
      <c r="A642" s="169"/>
      <c r="B642" s="170" t="s">
        <v>1358</v>
      </c>
      <c r="C642" s="171"/>
      <c r="D642" s="221">
        <f t="shared" si="228"/>
        <v>1004.9360957869677</v>
      </c>
      <c r="E642" s="202">
        <v>11693.76</v>
      </c>
      <c r="F642" s="202">
        <f>F608-F641</f>
        <v>-828828172.25999999</v>
      </c>
      <c r="G642" s="162">
        <f>F642/K2</f>
        <v>-7122.7675915121636</v>
      </c>
      <c r="H642" s="203">
        <f t="shared" si="229"/>
        <v>-828828172.25999999</v>
      </c>
      <c r="I642" s="172"/>
      <c r="J642" s="162">
        <f>成本明细!H1079</f>
        <v>0</v>
      </c>
      <c r="K642" s="225"/>
    </row>
    <row r="643" spans="1:11" s="226" customFormat="1" ht="12.75" x14ac:dyDescent="0.15">
      <c r="A643" s="169"/>
      <c r="B643" s="170" t="s">
        <v>1359</v>
      </c>
      <c r="C643" s="171"/>
      <c r="D643" s="221">
        <f t="shared" si="228"/>
        <v>14.388567109091689</v>
      </c>
      <c r="E643" s="202">
        <v>167.43</v>
      </c>
      <c r="F643" s="202" t="e">
        <f>F642/F608</f>
        <v>#DIV/0!</v>
      </c>
      <c r="G643" s="162" t="e">
        <f>F643/K2</f>
        <v>#DIV/0!</v>
      </c>
      <c r="H643" s="203" t="e">
        <f t="shared" si="229"/>
        <v>#DIV/0!</v>
      </c>
      <c r="I643" s="172"/>
      <c r="J643" s="162">
        <f>成本明细!H1080</f>
        <v>0</v>
      </c>
      <c r="K643" s="225"/>
    </row>
    <row r="644" spans="1:11" s="144" customFormat="1" ht="12.75" x14ac:dyDescent="0.15">
      <c r="A644" s="212"/>
      <c r="B644" s="239" t="s">
        <v>1360</v>
      </c>
      <c r="C644" s="240"/>
      <c r="D644" s="241">
        <f t="shared" si="228"/>
        <v>907.73871675259591</v>
      </c>
      <c r="E644" s="215">
        <v>10562.74</v>
      </c>
      <c r="F644" s="215">
        <f>F641+F621</f>
        <v>829211718.38999999</v>
      </c>
      <c r="G644" s="217">
        <f>F644/K2</f>
        <v>7126.0637028607489</v>
      </c>
      <c r="H644" s="242">
        <f t="shared" si="229"/>
        <v>829211718.38999999</v>
      </c>
      <c r="I644" s="244"/>
      <c r="J644" s="217">
        <f>成本明细!H1086</f>
        <v>0</v>
      </c>
      <c r="K644" s="245"/>
    </row>
    <row r="645" spans="1:11" s="144" customFormat="1" ht="12.75" x14ac:dyDescent="0.15">
      <c r="A645" s="246"/>
      <c r="B645" s="247" t="s">
        <v>1361</v>
      </c>
      <c r="C645" s="248"/>
      <c r="D645" s="249">
        <f t="shared" si="228"/>
        <v>11774.343095696389</v>
      </c>
      <c r="E645" s="250">
        <f>E521+E522+E523+E548+E608+E621+E641+E642+E643+E644</f>
        <v>137010.04759999999</v>
      </c>
      <c r="F645" s="250">
        <f>F608-F644</f>
        <v>-829211718.38999999</v>
      </c>
      <c r="G645" s="250">
        <f>F645/K2</f>
        <v>-7126.0637028607489</v>
      </c>
      <c r="H645" s="251">
        <f>IF($J$2="元",成本明细!G1334/10000,成本明细!G1334)</f>
        <v>0</v>
      </c>
      <c r="I645" s="251"/>
      <c r="J645" s="250">
        <f>成本明细!H1317</f>
        <v>0</v>
      </c>
      <c r="K645" s="252"/>
    </row>
    <row r="646" spans="1:11" s="144" customFormat="1" ht="12.75" x14ac:dyDescent="0.15">
      <c r="A646" s="246"/>
      <c r="B646" s="247" t="s">
        <v>1362</v>
      </c>
      <c r="C646" s="248"/>
      <c r="D646" s="249"/>
      <c r="E646" s="250"/>
      <c r="F646" s="251" t="e">
        <f>F645/F608</f>
        <v>#DIV/0!</v>
      </c>
      <c r="G646" s="250" t="e">
        <f>F646/K2</f>
        <v>#DIV/0!</v>
      </c>
      <c r="H646" s="251">
        <f>IF($J$2="元",成本明细!G1343/10000,成本明细!G1343)</f>
        <v>0</v>
      </c>
      <c r="I646" s="251"/>
      <c r="J646" s="250">
        <f>成本明细!H1333</f>
        <v>0</v>
      </c>
      <c r="K646" s="252"/>
    </row>
    <row r="647" spans="1:11" s="137" customFormat="1" ht="12.75" x14ac:dyDescent="0.15">
      <c r="A647" s="246"/>
      <c r="B647" s="247" t="s">
        <v>1363</v>
      </c>
      <c r="C647" s="253"/>
      <c r="D647" s="254"/>
      <c r="E647" s="255"/>
      <c r="F647" s="250"/>
      <c r="G647" s="250"/>
      <c r="H647" s="250"/>
      <c r="I647" s="250"/>
      <c r="J647" s="250"/>
      <c r="K647" s="256"/>
    </row>
    <row r="648" spans="1:11" x14ac:dyDescent="0.15">
      <c r="A648" s="257"/>
      <c r="B648" s="247" t="s">
        <v>1364</v>
      </c>
      <c r="C648" s="258"/>
      <c r="D648" s="259"/>
      <c r="E648" s="259"/>
      <c r="F648" s="259"/>
      <c r="G648" s="259"/>
      <c r="H648" s="259"/>
      <c r="I648" s="259"/>
      <c r="J648" s="260"/>
      <c r="K648" s="258"/>
    </row>
    <row r="649" spans="1:11" x14ac:dyDescent="0.15">
      <c r="A649" s="257"/>
      <c r="B649" s="247" t="s">
        <v>1365</v>
      </c>
      <c r="C649" s="258"/>
      <c r="D649" s="259"/>
      <c r="E649" s="259"/>
      <c r="F649" s="259"/>
      <c r="G649" s="259"/>
      <c r="H649" s="259"/>
      <c r="I649" s="259"/>
      <c r="J649" s="260"/>
      <c r="K649" s="258"/>
    </row>
    <row r="650" spans="1:11" x14ac:dyDescent="0.15">
      <c r="A650" s="257"/>
      <c r="B650" s="247" t="s">
        <v>1366</v>
      </c>
      <c r="C650" s="258"/>
      <c r="D650" s="259"/>
      <c r="E650" s="259"/>
      <c r="F650" s="259"/>
      <c r="G650" s="259"/>
      <c r="H650" s="259"/>
      <c r="I650" s="259"/>
      <c r="J650" s="260"/>
      <c r="K650" s="258"/>
    </row>
    <row r="651" spans="1:11" x14ac:dyDescent="0.15">
      <c r="A651" s="257"/>
      <c r="B651" s="247" t="s">
        <v>1367</v>
      </c>
      <c r="C651" s="258"/>
      <c r="D651" s="259"/>
      <c r="E651" s="259"/>
      <c r="F651" s="259"/>
      <c r="G651" s="259"/>
      <c r="H651" s="259"/>
      <c r="I651" s="259"/>
      <c r="J651" s="260"/>
      <c r="K651" s="258"/>
    </row>
    <row r="652" spans="1:11" x14ac:dyDescent="0.15">
      <c r="A652" s="261"/>
      <c r="B652" s="247" t="s">
        <v>1368</v>
      </c>
      <c r="C652" s="258"/>
      <c r="D652" s="259"/>
      <c r="E652" s="259"/>
      <c r="F652" s="262"/>
      <c r="G652" s="262"/>
      <c r="H652" s="259"/>
      <c r="I652" s="259"/>
      <c r="J652" s="260"/>
      <c r="K652" s="258"/>
    </row>
    <row r="653" spans="1:11" s="137" customFormat="1" x14ac:dyDescent="0.15">
      <c r="A653" s="116"/>
      <c r="B653" s="116"/>
      <c r="C653" s="117"/>
      <c r="D653" s="263"/>
      <c r="E653" s="263"/>
      <c r="F653" s="263"/>
      <c r="G653" s="264"/>
      <c r="H653" s="264"/>
      <c r="I653" s="263"/>
      <c r="J653" s="119"/>
      <c r="K653" s="117"/>
    </row>
    <row r="654" spans="1:11" s="137" customFormat="1" x14ac:dyDescent="0.15">
      <c r="C654" s="265"/>
      <c r="D654" s="263"/>
      <c r="E654" s="263"/>
      <c r="F654" s="263"/>
      <c r="G654" s="263"/>
      <c r="H654" s="263"/>
      <c r="I654" s="263"/>
      <c r="J654" s="119"/>
      <c r="K654" s="117"/>
    </row>
    <row r="655" spans="1:11" s="137" customFormat="1" x14ac:dyDescent="0.15">
      <c r="C655" s="265"/>
      <c r="D655" s="263"/>
      <c r="E655" s="263"/>
      <c r="F655" s="263"/>
      <c r="G655" s="263"/>
      <c r="H655" s="263"/>
      <c r="I655" s="263"/>
      <c r="J655" s="119"/>
      <c r="K655" s="117"/>
    </row>
    <row r="656" spans="1:11" s="137" customFormat="1" x14ac:dyDescent="0.15">
      <c r="C656" s="265"/>
      <c r="D656" s="263"/>
      <c r="E656" s="263"/>
      <c r="F656" s="263"/>
      <c r="G656" s="263"/>
      <c r="H656" s="263"/>
      <c r="I656" s="263"/>
      <c r="J656" s="119"/>
      <c r="K656" s="117"/>
    </row>
    <row r="657" spans="1:3" x14ac:dyDescent="0.15">
      <c r="A657" s="137"/>
      <c r="B657" s="137"/>
      <c r="C657" s="265"/>
    </row>
    <row r="658" spans="1:3" x14ac:dyDescent="0.15">
      <c r="A658" s="137"/>
      <c r="B658" s="137"/>
      <c r="C658" s="265"/>
    </row>
  </sheetData>
  <mergeCells count="2">
    <mergeCell ref="A1:K1"/>
    <mergeCell ref="D2:G2"/>
  </mergeCells>
  <phoneticPr fontId="3" type="noConversion"/>
  <dataValidations count="1">
    <dataValidation type="list" allowBlank="1" showInputMessage="1" showErrorMessage="1" sqref="A3">
      <formula1>$A$4:$A$647</formula1>
    </dataValidation>
  </dataValidations>
  <printOptions horizontalCentered="1"/>
  <pageMargins left="0.27500000000000002" right="0.156944444444444" top="0.59027777777777801" bottom="0.39305555555555599" header="0.51180555555555596" footer="0.51180555555555596"/>
  <pageSetup paperSize="9" orientation="portrait" useFirstPageNumber="1"/>
  <headerFooter alignWithMargins="0">
    <oddFooter>&amp;C第&amp;"Times New Roman,常规"&amp;P&amp;"宋体,常规"页&amp;"Times New Roman,常规"    &amp;"宋体,常规"共&amp;"Times New Roman,常规"&amp;N&amp;"宋体,常规"页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1"/>
  <sheetViews>
    <sheetView workbookViewId="0">
      <pane xSplit="2" ySplit="5" topLeftCell="C155" activePane="bottomRight" state="frozen"/>
      <selection pane="topRight"/>
      <selection pane="bottomLeft"/>
      <selection pane="bottomRight" activeCell="F173" sqref="F173"/>
    </sheetView>
  </sheetViews>
  <sheetFormatPr defaultColWidth="8.875" defaultRowHeight="14.25" outlineLevelRow="2" x14ac:dyDescent="0.15"/>
  <cols>
    <col min="1" max="1" width="8.875" style="81"/>
    <col min="2" max="2" width="20.375" style="81" customWidth="1"/>
    <col min="3" max="3" width="9.5" style="81" customWidth="1"/>
    <col min="4" max="5" width="12.625" style="81" customWidth="1"/>
    <col min="6" max="6" width="13.875" style="81" customWidth="1"/>
    <col min="7" max="9" width="9" style="81" customWidth="1"/>
    <col min="10" max="10" width="12.125" style="81" customWidth="1"/>
    <col min="11" max="11" width="9" style="81" customWidth="1"/>
    <col min="12" max="12" width="11.125" style="81" customWidth="1"/>
    <col min="13" max="13" width="9" style="80" customWidth="1"/>
    <col min="14" max="14" width="11.375" style="81" customWidth="1"/>
    <col min="15" max="15" width="10.625" style="81" customWidth="1"/>
    <col min="16" max="16" width="18" style="82" customWidth="1"/>
    <col min="17" max="16384" width="8.875" style="81"/>
  </cols>
  <sheetData>
    <row r="1" spans="1:17" s="80" customFormat="1" ht="22.5" x14ac:dyDescent="0.25">
      <c r="A1" s="412" t="s">
        <v>4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</row>
    <row r="2" spans="1:17" ht="15" thickBot="1" x14ac:dyDescent="0.2"/>
    <row r="3" spans="1:17" s="85" customFormat="1" ht="28.5" customHeight="1" x14ac:dyDescent="0.15">
      <c r="A3" s="413" t="s">
        <v>5</v>
      </c>
      <c r="B3" s="414"/>
      <c r="C3" s="419" t="s">
        <v>6</v>
      </c>
      <c r="D3" s="414"/>
      <c r="E3" s="83" t="s">
        <v>929</v>
      </c>
      <c r="F3" s="420" t="s">
        <v>8</v>
      </c>
      <c r="G3" s="421"/>
      <c r="H3" s="421"/>
      <c r="I3" s="421"/>
      <c r="J3" s="421"/>
      <c r="K3" s="422"/>
      <c r="L3" s="420" t="s">
        <v>9</v>
      </c>
      <c r="M3" s="422"/>
      <c r="N3" s="423" t="s">
        <v>930</v>
      </c>
      <c r="O3" s="423" t="s">
        <v>931</v>
      </c>
      <c r="P3" s="425" t="s">
        <v>11</v>
      </c>
      <c r="Q3" s="84"/>
    </row>
    <row r="4" spans="1:17" s="85" customFormat="1" ht="28.5" customHeight="1" x14ac:dyDescent="0.15">
      <c r="A4" s="415"/>
      <c r="B4" s="416"/>
      <c r="C4" s="86" t="s">
        <v>12</v>
      </c>
      <c r="D4" s="86">
        <v>95754.15</v>
      </c>
      <c r="E4" s="87"/>
      <c r="F4" s="428" t="s">
        <v>13</v>
      </c>
      <c r="G4" s="429"/>
      <c r="H4" s="428" t="s">
        <v>14</v>
      </c>
      <c r="I4" s="429"/>
      <c r="J4" s="409" t="s">
        <v>15</v>
      </c>
      <c r="K4" s="410" t="s">
        <v>16</v>
      </c>
      <c r="L4" s="410" t="s">
        <v>17</v>
      </c>
      <c r="M4" s="410" t="s">
        <v>16</v>
      </c>
      <c r="N4" s="424"/>
      <c r="O4" s="424"/>
      <c r="P4" s="426"/>
      <c r="Q4" s="84"/>
    </row>
    <row r="5" spans="1:17" s="85" customFormat="1" ht="28.5" customHeight="1" x14ac:dyDescent="0.15">
      <c r="A5" s="417"/>
      <c r="B5" s="418"/>
      <c r="C5" s="88" t="s">
        <v>932</v>
      </c>
      <c r="D5" s="88" t="s">
        <v>933</v>
      </c>
      <c r="E5" s="88"/>
      <c r="F5" s="89" t="s">
        <v>934</v>
      </c>
      <c r="G5" s="90" t="s">
        <v>935</v>
      </c>
      <c r="H5" s="89" t="s">
        <v>19</v>
      </c>
      <c r="I5" s="90" t="s">
        <v>936</v>
      </c>
      <c r="J5" s="409"/>
      <c r="K5" s="411"/>
      <c r="L5" s="411"/>
      <c r="M5" s="411"/>
      <c r="N5" s="411"/>
      <c r="O5" s="411"/>
      <c r="P5" s="427"/>
      <c r="Q5" s="84"/>
    </row>
    <row r="6" spans="1:17" s="85" customFormat="1" ht="28.5" customHeight="1" x14ac:dyDescent="0.15">
      <c r="A6" s="91"/>
      <c r="B6" s="92"/>
      <c r="C6" s="88"/>
      <c r="D6" s="89" t="s">
        <v>21</v>
      </c>
      <c r="E6" s="90"/>
      <c r="F6" s="90" t="s">
        <v>22</v>
      </c>
      <c r="G6" s="89" t="s">
        <v>23</v>
      </c>
      <c r="H6" s="90" t="s">
        <v>24</v>
      </c>
      <c r="I6" s="90" t="s">
        <v>25</v>
      </c>
      <c r="J6" s="93" t="s">
        <v>26</v>
      </c>
      <c r="K6" s="89"/>
      <c r="L6" s="89" t="s">
        <v>27</v>
      </c>
      <c r="M6" s="94"/>
      <c r="N6" s="89" t="s">
        <v>28</v>
      </c>
      <c r="O6" s="89" t="s">
        <v>29</v>
      </c>
      <c r="P6" s="95"/>
      <c r="Q6" s="84"/>
    </row>
    <row r="7" spans="1:17" s="85" customFormat="1" ht="28.5" customHeight="1" x14ac:dyDescent="0.15">
      <c r="A7" s="91"/>
      <c r="B7" s="92"/>
      <c r="C7" s="88"/>
      <c r="D7" s="89"/>
      <c r="E7" s="90"/>
      <c r="F7" s="90"/>
      <c r="G7" s="89"/>
      <c r="H7" s="90"/>
      <c r="I7" s="90"/>
      <c r="J7" s="93"/>
      <c r="K7" s="89"/>
      <c r="L7" s="89"/>
      <c r="M7" s="94"/>
      <c r="N7" s="89"/>
      <c r="O7" s="89"/>
      <c r="P7" s="95"/>
      <c r="Q7" s="84"/>
    </row>
    <row r="8" spans="1:17" ht="16.5" customHeight="1" x14ac:dyDescent="0.15">
      <c r="A8" s="96" t="s">
        <v>937</v>
      </c>
      <c r="B8" s="97" t="s">
        <v>938</v>
      </c>
      <c r="C8" s="3">
        <f>C9+C10+C11+C12+C13+C14+C15</f>
        <v>4379.9983917146155</v>
      </c>
      <c r="D8" s="3">
        <f t="shared" ref="D8:F8" si="0">D9+D10+D11+D12+D13+D14+D15</f>
        <v>41940.302300000003</v>
      </c>
      <c r="E8" s="3">
        <v>41940.285418084997</v>
      </c>
      <c r="F8" s="3">
        <f t="shared" si="0"/>
        <v>41966.709757000004</v>
      </c>
      <c r="G8" s="3">
        <f>G9+G10+G11+G12+G13+G14+G15</f>
        <v>0</v>
      </c>
      <c r="H8" s="3">
        <f t="shared" ref="H8:O8" si="1">H9+H10+H11+H12+H13+H14+H15</f>
        <v>0</v>
      </c>
      <c r="I8" s="3">
        <f t="shared" si="1"/>
        <v>0</v>
      </c>
      <c r="J8" s="3">
        <f t="shared" si="1"/>
        <v>41966.709757000004</v>
      </c>
      <c r="K8" s="3"/>
      <c r="L8" s="3">
        <f t="shared" si="1"/>
        <v>-26.424357000000025</v>
      </c>
      <c r="M8" s="4"/>
      <c r="N8" s="3">
        <f t="shared" si="1"/>
        <v>41940.285400000008</v>
      </c>
      <c r="O8" s="3">
        <f t="shared" si="1"/>
        <v>-1.6899999999992588E-2</v>
      </c>
      <c r="P8" s="5" t="s">
        <v>939</v>
      </c>
    </row>
    <row r="9" spans="1:17" ht="16.5" customHeight="1" outlineLevel="1" x14ac:dyDescent="0.15">
      <c r="A9" s="98">
        <v>1.1000000000000001</v>
      </c>
      <c r="B9" s="99" t="s">
        <v>2</v>
      </c>
      <c r="C9" s="9">
        <f>D9/$D$4*10000</f>
        <v>3823.3329834790452</v>
      </c>
      <c r="D9" s="9">
        <f>成本明细!E5</f>
        <v>36610</v>
      </c>
      <c r="E9" s="9">
        <v>36610</v>
      </c>
      <c r="F9" s="9">
        <f>成本明细!F5/10000</f>
        <v>36610</v>
      </c>
      <c r="G9" s="9"/>
      <c r="H9" s="9"/>
      <c r="I9" s="9"/>
      <c r="J9" s="9">
        <f>F9+G9+H9+I9</f>
        <v>36610</v>
      </c>
      <c r="K9" s="9"/>
      <c r="L9" s="9">
        <v>0</v>
      </c>
      <c r="M9" s="10"/>
      <c r="N9" s="9">
        <f>J9+L9</f>
        <v>36610</v>
      </c>
      <c r="O9" s="9">
        <f>N9-D9</f>
        <v>0</v>
      </c>
      <c r="P9" s="11"/>
    </row>
    <row r="10" spans="1:17" ht="16.5" customHeight="1" outlineLevel="1" x14ac:dyDescent="0.15">
      <c r="A10" s="98">
        <v>1.2</v>
      </c>
      <c r="B10" s="99" t="s">
        <v>3</v>
      </c>
      <c r="C10" s="9">
        <f t="shared" ref="C10:C15" si="2">D10/$D$4*10000</f>
        <v>253.06539716555369</v>
      </c>
      <c r="D10" s="9">
        <f>成本明细!E9</f>
        <v>2423.2062000000001</v>
      </c>
      <c r="E10" s="9">
        <v>2423.2061699999999</v>
      </c>
      <c r="F10" s="9">
        <f>成本明细!F9/10000</f>
        <v>2439.28334</v>
      </c>
      <c r="G10" s="9"/>
      <c r="H10" s="9"/>
      <c r="I10" s="9"/>
      <c r="J10" s="9">
        <f t="shared" ref="J10:J15" si="3">F10+G10+H10+I10</f>
        <v>2439.28334</v>
      </c>
      <c r="K10" s="9"/>
      <c r="L10" s="9">
        <f>D10-F10</f>
        <v>-16.077139999999872</v>
      </c>
      <c r="M10" s="10"/>
      <c r="N10" s="9">
        <f t="shared" ref="N10:N15" si="4">J10+L10</f>
        <v>2423.2062000000001</v>
      </c>
      <c r="O10" s="9">
        <f t="shared" ref="O10:O15" si="5">N10-D10</f>
        <v>0</v>
      </c>
      <c r="P10" s="11"/>
    </row>
    <row r="11" spans="1:17" ht="16.5" customHeight="1" outlineLevel="1" x14ac:dyDescent="0.15">
      <c r="A11" s="98">
        <v>1.3</v>
      </c>
      <c r="B11" s="99" t="s">
        <v>32</v>
      </c>
      <c r="C11" s="9">
        <f t="shared" si="2"/>
        <v>121.86339704336574</v>
      </c>
      <c r="D11" s="9">
        <f>成本明细!E13</f>
        <v>1166.8925999999999</v>
      </c>
      <c r="E11" s="9">
        <v>1166.8926449999999</v>
      </c>
      <c r="F11" s="9">
        <f>成本明细!F13/10000</f>
        <v>1196.7564170000001</v>
      </c>
      <c r="G11" s="9"/>
      <c r="H11" s="9"/>
      <c r="I11" s="9"/>
      <c r="J11" s="9">
        <f t="shared" si="3"/>
        <v>1196.7564170000001</v>
      </c>
      <c r="K11" s="9"/>
      <c r="L11" s="9">
        <f>D11-J11</f>
        <v>-29.863817000000154</v>
      </c>
      <c r="M11" s="10"/>
      <c r="N11" s="9">
        <f t="shared" si="4"/>
        <v>1166.8925999999999</v>
      </c>
      <c r="O11" s="9">
        <f t="shared" si="5"/>
        <v>0</v>
      </c>
      <c r="P11" s="11" t="s">
        <v>33</v>
      </c>
    </row>
    <row r="12" spans="1:17" ht="16.5" customHeight="1" outlineLevel="1" x14ac:dyDescent="0.15">
      <c r="A12" s="98">
        <v>1.4</v>
      </c>
      <c r="B12" s="99" t="s">
        <v>34</v>
      </c>
      <c r="C12" s="9">
        <f t="shared" si="2"/>
        <v>19.118429853954112</v>
      </c>
      <c r="D12" s="9">
        <f>成本明细!E16</f>
        <v>183.0669</v>
      </c>
      <c r="E12" s="9">
        <v>183.05</v>
      </c>
      <c r="F12" s="9">
        <f>成本明细!F16/10000</f>
        <v>183.05</v>
      </c>
      <c r="G12" s="9"/>
      <c r="H12" s="9"/>
      <c r="I12" s="9"/>
      <c r="J12" s="9">
        <f t="shared" si="3"/>
        <v>183.05</v>
      </c>
      <c r="K12" s="9"/>
      <c r="L12" s="9">
        <v>0</v>
      </c>
      <c r="M12" s="10"/>
      <c r="N12" s="9">
        <f t="shared" si="4"/>
        <v>183.05</v>
      </c>
      <c r="O12" s="9">
        <f t="shared" si="5"/>
        <v>-1.6899999999992588E-2</v>
      </c>
      <c r="P12" s="11"/>
    </row>
    <row r="13" spans="1:17" ht="16.5" customHeight="1" outlineLevel="1" x14ac:dyDescent="0.15">
      <c r="A13" s="98">
        <v>1.5</v>
      </c>
      <c r="B13" s="100" t="s">
        <v>35</v>
      </c>
      <c r="C13" s="9">
        <f t="shared" si="2"/>
        <v>2.0381988665765403</v>
      </c>
      <c r="D13" s="9">
        <f>成本明细!E19</f>
        <v>19.5166</v>
      </c>
      <c r="E13" s="9">
        <v>19.516603085</v>
      </c>
      <c r="F13" s="9">
        <f>成本明细!F19/10000</f>
        <v>0</v>
      </c>
      <c r="G13" s="9"/>
      <c r="H13" s="9"/>
      <c r="I13" s="9"/>
      <c r="J13" s="9">
        <f t="shared" si="3"/>
        <v>0</v>
      </c>
      <c r="K13" s="9"/>
      <c r="L13" s="9">
        <f>D13</f>
        <v>19.5166</v>
      </c>
      <c r="M13" s="10"/>
      <c r="N13" s="9">
        <f t="shared" si="4"/>
        <v>19.5166</v>
      </c>
      <c r="O13" s="9">
        <f t="shared" si="5"/>
        <v>0</v>
      </c>
      <c r="P13" s="11"/>
    </row>
    <row r="14" spans="1:17" ht="16.5" customHeight="1" outlineLevel="1" x14ac:dyDescent="0.15">
      <c r="A14" s="98">
        <v>1.6</v>
      </c>
      <c r="B14" s="99" t="s">
        <v>36</v>
      </c>
      <c r="C14" s="9">
        <f t="shared" si="2"/>
        <v>7.646665966958091</v>
      </c>
      <c r="D14" s="9">
        <f>成本明细!E22</f>
        <v>73.22</v>
      </c>
      <c r="E14" s="9">
        <v>73.22</v>
      </c>
      <c r="F14" s="9">
        <f>成本明细!F22/10000</f>
        <v>73.22</v>
      </c>
      <c r="G14" s="9"/>
      <c r="H14" s="9"/>
      <c r="I14" s="9"/>
      <c r="J14" s="9">
        <f t="shared" si="3"/>
        <v>73.22</v>
      </c>
      <c r="K14" s="9"/>
      <c r="L14" s="9">
        <v>0</v>
      </c>
      <c r="M14" s="10"/>
      <c r="N14" s="9">
        <f t="shared" si="4"/>
        <v>73.22</v>
      </c>
      <c r="O14" s="9">
        <f t="shared" si="5"/>
        <v>0</v>
      </c>
      <c r="P14" s="11"/>
    </row>
    <row r="15" spans="1:17" ht="16.5" customHeight="1" outlineLevel="1" x14ac:dyDescent="0.15">
      <c r="A15" s="98">
        <v>1.7</v>
      </c>
      <c r="B15" s="99" t="s">
        <v>37</v>
      </c>
      <c r="C15" s="9">
        <f t="shared" si="2"/>
        <v>152.93331933916181</v>
      </c>
      <c r="D15" s="9">
        <f>成本明细!E25</f>
        <v>1464.4</v>
      </c>
      <c r="E15" s="9">
        <v>1464.4</v>
      </c>
      <c r="F15" s="9">
        <f>成本明细!F25/10000</f>
        <v>1464.4</v>
      </c>
      <c r="G15" s="9"/>
      <c r="H15" s="9"/>
      <c r="I15" s="9"/>
      <c r="J15" s="9">
        <f t="shared" si="3"/>
        <v>1464.4</v>
      </c>
      <c r="K15" s="9"/>
      <c r="L15" s="9">
        <v>0</v>
      </c>
      <c r="M15" s="10"/>
      <c r="N15" s="9">
        <f t="shared" si="4"/>
        <v>1464.4</v>
      </c>
      <c r="O15" s="9">
        <f t="shared" si="5"/>
        <v>0</v>
      </c>
      <c r="P15" s="11"/>
    </row>
    <row r="16" spans="1:17" ht="16.5" customHeight="1" x14ac:dyDescent="0.15">
      <c r="A16" s="101" t="s">
        <v>76</v>
      </c>
      <c r="B16" s="102" t="s">
        <v>77</v>
      </c>
      <c r="C16" s="3">
        <f t="shared" ref="C16:J16" si="6">C17+C21+C28+C36+C41+C48+C55+C62</f>
        <v>274.7254505418303</v>
      </c>
      <c r="D16" s="3">
        <f t="shared" si="6"/>
        <v>2630.6102000000005</v>
      </c>
      <c r="E16" s="3">
        <v>2921.16396746808</v>
      </c>
      <c r="F16" s="3">
        <f t="shared" si="6"/>
        <v>2501.114728</v>
      </c>
      <c r="G16" s="3">
        <f t="shared" si="6"/>
        <v>6.3845000000000001</v>
      </c>
      <c r="H16" s="3">
        <f t="shared" si="6"/>
        <v>0</v>
      </c>
      <c r="I16" s="3">
        <f t="shared" si="6"/>
        <v>0</v>
      </c>
      <c r="J16" s="3">
        <f t="shared" si="6"/>
        <v>2507.4992279999997</v>
      </c>
      <c r="K16" s="3"/>
      <c r="L16" s="3">
        <f t="shared" ref="L16:O16" si="7">L17+L21+L28+L36+L41+L48+L55+L62</f>
        <v>351.067049</v>
      </c>
      <c r="M16" s="4"/>
      <c r="N16" s="3">
        <f t="shared" si="7"/>
        <v>2858.5662769999999</v>
      </c>
      <c r="O16" s="3">
        <f t="shared" si="7"/>
        <v>227.95607699999985</v>
      </c>
      <c r="P16" s="5"/>
    </row>
    <row r="17" spans="1:16" ht="16.5" customHeight="1" outlineLevel="1" x14ac:dyDescent="0.15">
      <c r="A17" s="103">
        <v>2.1</v>
      </c>
      <c r="B17" s="104" t="s">
        <v>78</v>
      </c>
      <c r="C17" s="32">
        <f t="shared" ref="C17:F17" si="8">SUM(C18:C20)</f>
        <v>14.399992063007188</v>
      </c>
      <c r="D17" s="32">
        <f t="shared" si="8"/>
        <v>137.88589999999999</v>
      </c>
      <c r="E17" s="32">
        <v>137.88584489153999</v>
      </c>
      <c r="F17" s="32">
        <f t="shared" si="8"/>
        <v>127.60080000000001</v>
      </c>
      <c r="G17" s="32">
        <f t="shared" ref="G17:O17" si="9">SUM(G18:G20)</f>
        <v>3.0554999999999999</v>
      </c>
      <c r="H17" s="32">
        <f t="shared" si="9"/>
        <v>0</v>
      </c>
      <c r="I17" s="32">
        <f t="shared" si="9"/>
        <v>0</v>
      </c>
      <c r="J17" s="32">
        <f t="shared" si="9"/>
        <v>130.65629999999999</v>
      </c>
      <c r="K17" s="32"/>
      <c r="L17" s="32">
        <f t="shared" si="9"/>
        <v>7.7224999999999966</v>
      </c>
      <c r="M17" s="33"/>
      <c r="N17" s="32">
        <f t="shared" si="9"/>
        <v>138.37879999999998</v>
      </c>
      <c r="O17" s="32">
        <f t="shared" si="9"/>
        <v>0.49290000000000034</v>
      </c>
      <c r="P17" s="34"/>
    </row>
    <row r="18" spans="1:16" ht="16.5" customHeight="1" outlineLevel="2" x14ac:dyDescent="0.15">
      <c r="A18" s="98" t="s">
        <v>79</v>
      </c>
      <c r="B18" s="99" t="s">
        <v>80</v>
      </c>
      <c r="C18" s="9">
        <f t="shared" ref="C18:C69" si="10">D18/$D$4*10000</f>
        <v>12.632350660519673</v>
      </c>
      <c r="D18" s="9">
        <f>成本明细!E30</f>
        <v>120.96</v>
      </c>
      <c r="E18" s="9">
        <v>120.96</v>
      </c>
      <c r="F18" s="9">
        <f>成本明细!F30/10000-3.0555</f>
        <v>110.182</v>
      </c>
      <c r="G18" s="9">
        <v>3.0554999999999999</v>
      </c>
      <c r="H18" s="9"/>
      <c r="I18" s="9"/>
      <c r="J18" s="9">
        <f>F18+G18+H18+I18</f>
        <v>113.2375</v>
      </c>
      <c r="K18" s="9"/>
      <c r="L18" s="9">
        <f>D18-J18</f>
        <v>7.7224999999999966</v>
      </c>
      <c r="M18" s="10" t="s">
        <v>81</v>
      </c>
      <c r="N18" s="9">
        <f t="shared" ref="N18:N69" si="11">J18+L18</f>
        <v>120.96</v>
      </c>
      <c r="O18" s="9">
        <f t="shared" ref="O18:O69" si="12">N18-D18</f>
        <v>0</v>
      </c>
      <c r="P18" s="11"/>
    </row>
    <row r="19" spans="1:16" ht="16.5" customHeight="1" outlineLevel="2" x14ac:dyDescent="0.15">
      <c r="A19" s="98" t="s">
        <v>82</v>
      </c>
      <c r="B19" s="99" t="s">
        <v>83</v>
      </c>
      <c r="C19" s="9">
        <f t="shared" si="10"/>
        <v>1.6627999935250848</v>
      </c>
      <c r="D19" s="9">
        <f>成本明细!E34</f>
        <v>15.922000000000001</v>
      </c>
      <c r="E19" s="9">
        <v>15.921979392600001</v>
      </c>
      <c r="F19" s="9">
        <f>成本明细!F34/10000</f>
        <v>16.418800000000001</v>
      </c>
      <c r="G19" s="9"/>
      <c r="H19" s="9"/>
      <c r="I19" s="9"/>
      <c r="J19" s="9">
        <f t="shared" ref="J19:J69" si="13">F19+G19+H19+I19</f>
        <v>16.418800000000001</v>
      </c>
      <c r="K19" s="9"/>
      <c r="L19" s="9">
        <v>0</v>
      </c>
      <c r="M19" s="10"/>
      <c r="N19" s="9">
        <f t="shared" si="11"/>
        <v>16.418800000000001</v>
      </c>
      <c r="O19" s="9">
        <f t="shared" si="12"/>
        <v>0.49680000000000035</v>
      </c>
      <c r="P19" s="11"/>
    </row>
    <row r="20" spans="1:16" ht="16.5" customHeight="1" outlineLevel="2" x14ac:dyDescent="0.15">
      <c r="A20" s="98" t="s">
        <v>84</v>
      </c>
      <c r="B20" s="99" t="s">
        <v>85</v>
      </c>
      <c r="C20" s="9">
        <f t="shared" si="10"/>
        <v>0.1048414089624314</v>
      </c>
      <c r="D20" s="9">
        <f>成本明细!E41</f>
        <v>1.0039</v>
      </c>
      <c r="E20" s="9">
        <v>1.00386549894</v>
      </c>
      <c r="F20" s="9">
        <f>成本明细!F41/10000</f>
        <v>1</v>
      </c>
      <c r="G20" s="9"/>
      <c r="H20" s="9"/>
      <c r="I20" s="9"/>
      <c r="J20" s="9">
        <f t="shared" si="13"/>
        <v>1</v>
      </c>
      <c r="K20" s="9"/>
      <c r="L20" s="9">
        <v>0</v>
      </c>
      <c r="M20" s="10"/>
      <c r="N20" s="9">
        <f t="shared" si="11"/>
        <v>1</v>
      </c>
      <c r="O20" s="9">
        <f t="shared" si="12"/>
        <v>-3.9000000000000146E-3</v>
      </c>
      <c r="P20" s="11"/>
    </row>
    <row r="21" spans="1:16" ht="16.5" customHeight="1" outlineLevel="1" x14ac:dyDescent="0.15">
      <c r="A21" s="103">
        <v>2.2000000000000002</v>
      </c>
      <c r="B21" s="104" t="s">
        <v>121</v>
      </c>
      <c r="C21" s="32">
        <f t="shared" ref="C21:O21" si="14">SUM(C22:C27)</f>
        <v>130.95099272459734</v>
      </c>
      <c r="D21" s="32">
        <f t="shared" si="14"/>
        <v>1253.9101000000001</v>
      </c>
      <c r="E21" s="32">
        <v>1453.4849224240199</v>
      </c>
      <c r="F21" s="32">
        <f t="shared" si="14"/>
        <v>1278.8694</v>
      </c>
      <c r="G21" s="32">
        <f t="shared" si="14"/>
        <v>3.3290000000000002</v>
      </c>
      <c r="H21" s="32">
        <f t="shared" si="14"/>
        <v>0</v>
      </c>
      <c r="I21" s="32">
        <f t="shared" si="14"/>
        <v>0</v>
      </c>
      <c r="J21" s="32">
        <f t="shared" si="14"/>
        <v>1282.1984</v>
      </c>
      <c r="K21" s="32"/>
      <c r="L21" s="32">
        <f t="shared" si="14"/>
        <v>171.2619</v>
      </c>
      <c r="M21" s="33"/>
      <c r="N21" s="32">
        <f t="shared" si="14"/>
        <v>1453.4603000000002</v>
      </c>
      <c r="O21" s="32">
        <f t="shared" si="14"/>
        <v>199.5501999999999</v>
      </c>
      <c r="P21" s="34"/>
    </row>
    <row r="22" spans="1:16" ht="16.5" customHeight="1" outlineLevel="2" x14ac:dyDescent="0.15">
      <c r="A22" s="98" t="s">
        <v>122</v>
      </c>
      <c r="B22" s="99" t="s">
        <v>123</v>
      </c>
      <c r="C22" s="9">
        <f t="shared" si="10"/>
        <v>79.899931230134683</v>
      </c>
      <c r="D22" s="9">
        <f>成本明细!E46</f>
        <v>765.07500000000005</v>
      </c>
      <c r="E22" s="9">
        <v>948.89</v>
      </c>
      <c r="F22" s="9">
        <f>成本明细!F46/10000</f>
        <v>780</v>
      </c>
      <c r="G22" s="9"/>
      <c r="H22" s="9"/>
      <c r="I22" s="9"/>
      <c r="J22" s="9">
        <f t="shared" si="13"/>
        <v>780</v>
      </c>
      <c r="K22" s="9"/>
      <c r="L22" s="9">
        <f>-31.11+200</f>
        <v>168.89</v>
      </c>
      <c r="M22" s="10" t="s">
        <v>124</v>
      </c>
      <c r="N22" s="9">
        <f t="shared" si="11"/>
        <v>948.89</v>
      </c>
      <c r="O22" s="9">
        <f t="shared" si="12"/>
        <v>183.81499999999994</v>
      </c>
      <c r="P22" s="11"/>
    </row>
    <row r="23" spans="1:16" ht="16.5" customHeight="1" outlineLevel="2" x14ac:dyDescent="0.15">
      <c r="A23" s="98" t="s">
        <v>125</v>
      </c>
      <c r="B23" s="99" t="s">
        <v>126</v>
      </c>
      <c r="C23" s="9">
        <f t="shared" si="10"/>
        <v>7.3554618781535845</v>
      </c>
      <c r="D23" s="9">
        <f>成本明细!E49</f>
        <v>70.431600000000003</v>
      </c>
      <c r="E23" s="9">
        <v>73.329949999999997</v>
      </c>
      <c r="F23" s="9">
        <f>成本明细!F49/10000-3.329</f>
        <v>70.405000000000001</v>
      </c>
      <c r="G23" s="9">
        <v>3.3290000000000002</v>
      </c>
      <c r="H23" s="9"/>
      <c r="I23" s="9"/>
      <c r="J23" s="9">
        <f t="shared" si="13"/>
        <v>73.733999999999995</v>
      </c>
      <c r="K23" s="9"/>
      <c r="L23" s="9">
        <v>0</v>
      </c>
      <c r="M23" s="10"/>
      <c r="N23" s="9">
        <f t="shared" si="11"/>
        <v>73.733999999999995</v>
      </c>
      <c r="O23" s="9">
        <f t="shared" si="12"/>
        <v>3.3023999999999916</v>
      </c>
      <c r="P23" s="11" t="s">
        <v>127</v>
      </c>
    </row>
    <row r="24" spans="1:16" ht="16.5" customHeight="1" outlineLevel="2" x14ac:dyDescent="0.15">
      <c r="A24" s="98" t="s">
        <v>128</v>
      </c>
      <c r="B24" s="99" t="s">
        <v>129</v>
      </c>
      <c r="C24" s="9">
        <f t="shared" si="10"/>
        <v>28.025678260420051</v>
      </c>
      <c r="D24" s="9">
        <f>成本明细!E52</f>
        <v>268.35750000000002</v>
      </c>
      <c r="E24" s="9">
        <v>268.35745524191998</v>
      </c>
      <c r="F24" s="9">
        <f>成本明细!F52/10000</f>
        <v>268.35750000000002</v>
      </c>
      <c r="G24" s="9"/>
      <c r="H24" s="9"/>
      <c r="I24" s="9"/>
      <c r="J24" s="9">
        <f t="shared" si="13"/>
        <v>268.35750000000002</v>
      </c>
      <c r="K24" s="9"/>
      <c r="L24" s="9">
        <v>0</v>
      </c>
      <c r="M24" s="10"/>
      <c r="N24" s="9">
        <f t="shared" si="11"/>
        <v>268.35750000000002</v>
      </c>
      <c r="O24" s="9">
        <f t="shared" si="12"/>
        <v>0</v>
      </c>
      <c r="P24" s="11"/>
    </row>
    <row r="25" spans="1:16" ht="16.5" customHeight="1" outlineLevel="2" x14ac:dyDescent="0.15">
      <c r="A25" s="98" t="s">
        <v>130</v>
      </c>
      <c r="B25" s="99" t="s">
        <v>131</v>
      </c>
      <c r="C25" s="9">
        <f t="shared" si="10"/>
        <v>5.2173404494739914</v>
      </c>
      <c r="D25" s="9">
        <f>成本明细!E55</f>
        <v>49.958199999999998</v>
      </c>
      <c r="E25" s="9">
        <v>49.778221242599997</v>
      </c>
      <c r="F25" s="9">
        <f>成本明细!F55/10000</f>
        <v>49.78</v>
      </c>
      <c r="G25" s="9"/>
      <c r="H25" s="9"/>
      <c r="I25" s="9"/>
      <c r="J25" s="9">
        <f t="shared" si="13"/>
        <v>49.78</v>
      </c>
      <c r="K25" s="9"/>
      <c r="L25" s="9">
        <v>0</v>
      </c>
      <c r="M25" s="10"/>
      <c r="N25" s="9">
        <f t="shared" si="11"/>
        <v>49.78</v>
      </c>
      <c r="O25" s="9">
        <f t="shared" si="12"/>
        <v>-0.17819999999999681</v>
      </c>
      <c r="P25" s="11"/>
    </row>
    <row r="26" spans="1:16" ht="16.5" customHeight="1" outlineLevel="2" x14ac:dyDescent="0.15">
      <c r="A26" s="98" t="s">
        <v>132</v>
      </c>
      <c r="B26" s="99" t="s">
        <v>133</v>
      </c>
      <c r="C26" s="9">
        <f t="shared" si="10"/>
        <v>8.0787099044793358</v>
      </c>
      <c r="D26" s="9">
        <f>成本明细!E59</f>
        <v>77.356999999999999</v>
      </c>
      <c r="E26" s="9">
        <v>89.966935639499994</v>
      </c>
      <c r="F26" s="9">
        <f>成本明细!F59/10000</f>
        <v>89.968000000000004</v>
      </c>
      <c r="G26" s="9"/>
      <c r="H26" s="9"/>
      <c r="I26" s="9"/>
      <c r="J26" s="9">
        <f t="shared" si="13"/>
        <v>89.968000000000004</v>
      </c>
      <c r="K26" s="9"/>
      <c r="L26" s="9">
        <v>0</v>
      </c>
      <c r="M26" s="10"/>
      <c r="N26" s="9">
        <f t="shared" si="11"/>
        <v>89.968000000000004</v>
      </c>
      <c r="O26" s="9">
        <f t="shared" si="12"/>
        <v>12.611000000000004</v>
      </c>
      <c r="P26" s="11" t="s">
        <v>134</v>
      </c>
    </row>
    <row r="27" spans="1:16" ht="16.5" customHeight="1" outlineLevel="2" x14ac:dyDescent="0.15">
      <c r="A27" s="98" t="s">
        <v>135</v>
      </c>
      <c r="B27" s="99" t="s">
        <v>136</v>
      </c>
      <c r="C27" s="9">
        <f t="shared" si="10"/>
        <v>2.3738710019356861</v>
      </c>
      <c r="D27" s="9">
        <f>成本明细!E64</f>
        <v>22.730799999999999</v>
      </c>
      <c r="E27" s="9">
        <v>22.7307603</v>
      </c>
      <c r="F27" s="9">
        <f>成本明细!F64/10000</f>
        <v>20.358899999999998</v>
      </c>
      <c r="G27" s="9"/>
      <c r="H27" s="9"/>
      <c r="I27" s="9"/>
      <c r="J27" s="9">
        <f t="shared" si="13"/>
        <v>20.358899999999998</v>
      </c>
      <c r="K27" s="9"/>
      <c r="L27" s="9">
        <f>D27-J27</f>
        <v>2.3719000000000001</v>
      </c>
      <c r="M27" s="10" t="s">
        <v>137</v>
      </c>
      <c r="N27" s="9">
        <f t="shared" si="11"/>
        <v>22.730799999999999</v>
      </c>
      <c r="O27" s="9">
        <f t="shared" si="12"/>
        <v>0</v>
      </c>
      <c r="P27" s="11"/>
    </row>
    <row r="28" spans="1:16" ht="16.5" customHeight="1" outlineLevel="1" x14ac:dyDescent="0.15">
      <c r="A28" s="103">
        <v>2.2999999999999998</v>
      </c>
      <c r="B28" s="104" t="s">
        <v>149</v>
      </c>
      <c r="C28" s="32">
        <f t="shared" ref="C28:F28" si="15">SUM(C29:C35)</f>
        <v>89.479985984941649</v>
      </c>
      <c r="D28" s="32">
        <f t="shared" si="15"/>
        <v>856.80799999999999</v>
      </c>
      <c r="E28" s="32">
        <v>872.73927721860002</v>
      </c>
      <c r="F28" s="32">
        <f t="shared" si="15"/>
        <v>834.97069999999997</v>
      </c>
      <c r="G28" s="32">
        <f t="shared" ref="G28:O28" si="16">SUM(G29:G35)</f>
        <v>0</v>
      </c>
      <c r="H28" s="32">
        <f t="shared" si="16"/>
        <v>0</v>
      </c>
      <c r="I28" s="32">
        <f t="shared" si="16"/>
        <v>0</v>
      </c>
      <c r="J28" s="32">
        <f t="shared" si="16"/>
        <v>834.97069999999997</v>
      </c>
      <c r="K28" s="32"/>
      <c r="L28" s="32">
        <f t="shared" si="16"/>
        <v>37.7453</v>
      </c>
      <c r="M28" s="33"/>
      <c r="N28" s="32">
        <f t="shared" si="16"/>
        <v>872.71600000000001</v>
      </c>
      <c r="O28" s="32">
        <f t="shared" si="16"/>
        <v>15.907999999999971</v>
      </c>
      <c r="P28" s="34"/>
    </row>
    <row r="29" spans="1:16" ht="16.5" customHeight="1" outlineLevel="2" x14ac:dyDescent="0.15">
      <c r="A29" s="98" t="s">
        <v>150</v>
      </c>
      <c r="B29" s="99" t="s">
        <v>151</v>
      </c>
      <c r="C29" s="9">
        <f t="shared" si="10"/>
        <v>5.3069031472787342</v>
      </c>
      <c r="D29" s="9">
        <f>成本明细!E76</f>
        <v>50.815800000000003</v>
      </c>
      <c r="E29" s="9">
        <v>77.620085900999996</v>
      </c>
      <c r="F29" s="9">
        <f>成本明细!F76/10000</f>
        <v>65.617699999999999</v>
      </c>
      <c r="G29" s="9"/>
      <c r="H29" s="9"/>
      <c r="I29" s="9"/>
      <c r="J29" s="9">
        <f t="shared" si="13"/>
        <v>65.617699999999999</v>
      </c>
      <c r="K29" s="9"/>
      <c r="L29" s="9">
        <v>12</v>
      </c>
      <c r="M29" s="35" t="s">
        <v>152</v>
      </c>
      <c r="N29" s="9">
        <f t="shared" si="11"/>
        <v>77.617699999999999</v>
      </c>
      <c r="O29" s="9">
        <f t="shared" si="12"/>
        <v>26.801899999999996</v>
      </c>
      <c r="P29" s="11" t="s">
        <v>153</v>
      </c>
    </row>
    <row r="30" spans="1:16" ht="16.5" customHeight="1" outlineLevel="2" x14ac:dyDescent="0.15">
      <c r="A30" s="98" t="s">
        <v>154</v>
      </c>
      <c r="B30" s="99" t="s">
        <v>155</v>
      </c>
      <c r="C30" s="9">
        <f t="shared" si="10"/>
        <v>0.62389985186020658</v>
      </c>
      <c r="D30" s="9">
        <f>成本明细!E84</f>
        <v>5.9741</v>
      </c>
      <c r="E30" s="9">
        <v>5.9740877147999996</v>
      </c>
      <c r="F30" s="9">
        <f>成本明细!F84/10000</f>
        <v>5.9504999999999999</v>
      </c>
      <c r="G30" s="9"/>
      <c r="H30" s="9"/>
      <c r="I30" s="9"/>
      <c r="J30" s="9">
        <f t="shared" si="13"/>
        <v>5.9504999999999999</v>
      </c>
      <c r="K30" s="9"/>
      <c r="L30" s="9">
        <v>0</v>
      </c>
      <c r="M30" s="10"/>
      <c r="N30" s="9">
        <f t="shared" si="11"/>
        <v>5.9504999999999999</v>
      </c>
      <c r="O30" s="9">
        <f t="shared" si="12"/>
        <v>-2.3600000000000065E-2</v>
      </c>
      <c r="P30" s="11"/>
    </row>
    <row r="31" spans="1:16" ht="16.5" customHeight="1" outlineLevel="2" x14ac:dyDescent="0.15">
      <c r="A31" s="98" t="s">
        <v>156</v>
      </c>
      <c r="B31" s="99" t="s">
        <v>157</v>
      </c>
      <c r="C31" s="9">
        <f t="shared" si="10"/>
        <v>0</v>
      </c>
      <c r="D31" s="9">
        <f>成本明细!E88</f>
        <v>0</v>
      </c>
      <c r="E31" s="9">
        <v>0</v>
      </c>
      <c r="F31" s="9">
        <f>成本明细!F88</f>
        <v>0</v>
      </c>
      <c r="G31" s="9"/>
      <c r="H31" s="9"/>
      <c r="I31" s="9"/>
      <c r="J31" s="9">
        <f t="shared" si="13"/>
        <v>0</v>
      </c>
      <c r="K31" s="9"/>
      <c r="L31" s="9">
        <v>0</v>
      </c>
      <c r="M31" s="10"/>
      <c r="N31" s="9">
        <f t="shared" si="11"/>
        <v>0</v>
      </c>
      <c r="O31" s="9">
        <f t="shared" si="12"/>
        <v>0</v>
      </c>
      <c r="P31" s="11"/>
    </row>
    <row r="32" spans="1:16" ht="16.5" customHeight="1" outlineLevel="2" x14ac:dyDescent="0.15">
      <c r="A32" s="98" t="s">
        <v>158</v>
      </c>
      <c r="B32" s="99" t="s">
        <v>159</v>
      </c>
      <c r="C32" s="9">
        <f t="shared" si="10"/>
        <v>72.969641524675438</v>
      </c>
      <c r="D32" s="9">
        <f>成本明细!E91</f>
        <v>698.71460000000002</v>
      </c>
      <c r="E32" s="9">
        <v>674.99976657599996</v>
      </c>
      <c r="F32" s="9">
        <f>成本明细!F91/10000</f>
        <v>675</v>
      </c>
      <c r="G32" s="9"/>
      <c r="H32" s="9"/>
      <c r="I32" s="9"/>
      <c r="J32" s="9">
        <f t="shared" si="13"/>
        <v>675</v>
      </c>
      <c r="K32" s="9"/>
      <c r="L32" s="9">
        <v>0</v>
      </c>
      <c r="M32" s="10"/>
      <c r="N32" s="9">
        <f t="shared" si="11"/>
        <v>675</v>
      </c>
      <c r="O32" s="9">
        <f t="shared" si="12"/>
        <v>-23.714600000000019</v>
      </c>
      <c r="P32" s="11"/>
    </row>
    <row r="33" spans="1:16" ht="16.5" customHeight="1" outlineLevel="2" x14ac:dyDescent="0.15">
      <c r="A33" s="98" t="s">
        <v>160</v>
      </c>
      <c r="B33" s="99" t="s">
        <v>161</v>
      </c>
      <c r="C33" s="9">
        <f t="shared" si="10"/>
        <v>4.8609172552834528</v>
      </c>
      <c r="D33" s="9">
        <f>成本明细!E94</f>
        <v>46.545299999999997</v>
      </c>
      <c r="E33" s="9">
        <v>46.545287999999999</v>
      </c>
      <c r="F33" s="9">
        <f>成本明细!F94/10000</f>
        <v>33.799999999999997</v>
      </c>
      <c r="G33" s="9"/>
      <c r="H33" s="9"/>
      <c r="I33" s="9"/>
      <c r="J33" s="9">
        <f t="shared" si="13"/>
        <v>33.799999999999997</v>
      </c>
      <c r="K33" s="9"/>
      <c r="L33" s="9">
        <f>D33-J33</f>
        <v>12.7453</v>
      </c>
      <c r="M33" s="10" t="s">
        <v>162</v>
      </c>
      <c r="N33" s="9">
        <f t="shared" si="11"/>
        <v>46.545299999999997</v>
      </c>
      <c r="O33" s="9">
        <f t="shared" si="12"/>
        <v>0</v>
      </c>
      <c r="P33" s="11"/>
    </row>
    <row r="34" spans="1:16" ht="16.5" customHeight="1" outlineLevel="2" x14ac:dyDescent="0.15">
      <c r="A34" s="98" t="s">
        <v>163</v>
      </c>
      <c r="B34" s="99" t="s">
        <v>164</v>
      </c>
      <c r="C34" s="9">
        <f t="shared" si="10"/>
        <v>4.1520706935417424</v>
      </c>
      <c r="D34" s="9">
        <f>成本明细!E98</f>
        <v>39.757800000000003</v>
      </c>
      <c r="E34" s="9">
        <v>52.599666336600002</v>
      </c>
      <c r="F34" s="9">
        <f>成本明细!F98/10000</f>
        <v>39.602499999999999</v>
      </c>
      <c r="G34" s="9"/>
      <c r="H34" s="9"/>
      <c r="I34" s="9"/>
      <c r="J34" s="9">
        <f t="shared" si="13"/>
        <v>39.602499999999999</v>
      </c>
      <c r="K34" s="9"/>
      <c r="L34" s="9">
        <v>13</v>
      </c>
      <c r="M34" s="10" t="s">
        <v>165</v>
      </c>
      <c r="N34" s="9">
        <f t="shared" si="11"/>
        <v>52.602499999999999</v>
      </c>
      <c r="O34" s="9">
        <f t="shared" si="12"/>
        <v>12.844699999999996</v>
      </c>
      <c r="P34" s="11"/>
    </row>
    <row r="35" spans="1:16" ht="16.5" customHeight="1" outlineLevel="2" x14ac:dyDescent="0.15">
      <c r="A35" s="98" t="s">
        <v>166</v>
      </c>
      <c r="B35" s="99" t="s">
        <v>167</v>
      </c>
      <c r="C35" s="9">
        <f t="shared" si="10"/>
        <v>1.566553512302078</v>
      </c>
      <c r="D35" s="9">
        <f>成本明细!E103</f>
        <v>15.000400000000001</v>
      </c>
      <c r="E35" s="9">
        <v>15.0003826902</v>
      </c>
      <c r="F35" s="9">
        <f>成本明细!F103/10000</f>
        <v>15</v>
      </c>
      <c r="G35" s="9"/>
      <c r="H35" s="9"/>
      <c r="I35" s="9"/>
      <c r="J35" s="9">
        <f t="shared" si="13"/>
        <v>15</v>
      </c>
      <c r="K35" s="9"/>
      <c r="L35" s="9">
        <v>0</v>
      </c>
      <c r="M35" s="10"/>
      <c r="N35" s="9">
        <f t="shared" si="11"/>
        <v>15</v>
      </c>
      <c r="O35" s="9">
        <f t="shared" si="12"/>
        <v>-4.0000000000084412E-4</v>
      </c>
      <c r="P35" s="11"/>
    </row>
    <row r="36" spans="1:16" ht="16.5" customHeight="1" outlineLevel="1" x14ac:dyDescent="0.15">
      <c r="A36" s="103">
        <v>2.4</v>
      </c>
      <c r="B36" s="104" t="s">
        <v>201</v>
      </c>
      <c r="C36" s="32">
        <f t="shared" ref="C36:O36" si="17">SUM(C37:C40)</f>
        <v>12.7644702605579</v>
      </c>
      <c r="D36" s="32">
        <f t="shared" si="17"/>
        <v>122.2251</v>
      </c>
      <c r="E36" s="32">
        <v>110.0004791304</v>
      </c>
      <c r="F36" s="32">
        <f t="shared" si="17"/>
        <v>115.674882</v>
      </c>
      <c r="G36" s="32">
        <f t="shared" si="17"/>
        <v>0</v>
      </c>
      <c r="H36" s="32">
        <f t="shared" si="17"/>
        <v>0</v>
      </c>
      <c r="I36" s="32">
        <f t="shared" si="17"/>
        <v>0</v>
      </c>
      <c r="J36" s="32">
        <f t="shared" si="17"/>
        <v>115.674882</v>
      </c>
      <c r="K36" s="32"/>
      <c r="L36" s="32">
        <f t="shared" si="17"/>
        <v>19.145170000000007</v>
      </c>
      <c r="M36" s="33"/>
      <c r="N36" s="32">
        <f t="shared" si="17"/>
        <v>134.820052</v>
      </c>
      <c r="O36" s="32">
        <f t="shared" si="17"/>
        <v>12.594951999999999</v>
      </c>
      <c r="P36" s="34"/>
    </row>
    <row r="37" spans="1:16" ht="16.5" customHeight="1" outlineLevel="2" x14ac:dyDescent="0.15">
      <c r="A37" s="98" t="s">
        <v>202</v>
      </c>
      <c r="B37" s="99" t="s">
        <v>203</v>
      </c>
      <c r="C37" s="9">
        <f t="shared" si="10"/>
        <v>3.0470637565055929</v>
      </c>
      <c r="D37" s="9">
        <f>成本明细!E109</f>
        <v>29.1769</v>
      </c>
      <c r="E37" s="9">
        <v>30.873489530400001</v>
      </c>
      <c r="F37" s="9">
        <f>成本明细!F109/10000</f>
        <v>30.8733</v>
      </c>
      <c r="G37" s="9"/>
      <c r="H37" s="9"/>
      <c r="I37" s="9"/>
      <c r="J37" s="9">
        <f t="shared" si="13"/>
        <v>30.8733</v>
      </c>
      <c r="K37" s="9"/>
      <c r="L37" s="9">
        <v>0</v>
      </c>
      <c r="M37" s="10"/>
      <c r="N37" s="9">
        <f t="shared" si="11"/>
        <v>30.8733</v>
      </c>
      <c r="O37" s="9">
        <f t="shared" si="12"/>
        <v>1.6964000000000006</v>
      </c>
      <c r="P37" s="11"/>
    </row>
    <row r="38" spans="1:16" ht="16.5" customHeight="1" outlineLevel="2" x14ac:dyDescent="0.15">
      <c r="A38" s="98" t="s">
        <v>204</v>
      </c>
      <c r="B38" s="99" t="s">
        <v>205</v>
      </c>
      <c r="C38" s="9">
        <f t="shared" si="10"/>
        <v>2.4304534059359311</v>
      </c>
      <c r="D38" s="9">
        <f>成本明细!E114</f>
        <v>23.272600000000001</v>
      </c>
      <c r="E38" s="9">
        <v>23.272644</v>
      </c>
      <c r="F38" s="9">
        <f>成本明细!F114/10000</f>
        <v>24.611152000000001</v>
      </c>
      <c r="G38" s="9"/>
      <c r="H38" s="9"/>
      <c r="I38" s="9"/>
      <c r="J38" s="9">
        <f t="shared" si="13"/>
        <v>24.611152000000001</v>
      </c>
      <c r="K38" s="9"/>
      <c r="L38" s="9">
        <f>4.56+3+2</f>
        <v>9.5599999999999987</v>
      </c>
      <c r="M38" s="10" t="s">
        <v>206</v>
      </c>
      <c r="N38" s="9">
        <f t="shared" si="11"/>
        <v>34.171151999999999</v>
      </c>
      <c r="O38" s="9">
        <f t="shared" si="12"/>
        <v>10.898551999999999</v>
      </c>
      <c r="P38" s="11"/>
    </row>
    <row r="39" spans="1:16" ht="16.5" customHeight="1" outlineLevel="2" x14ac:dyDescent="0.15">
      <c r="A39" s="98" t="s">
        <v>207</v>
      </c>
      <c r="B39" s="99" t="s">
        <v>208</v>
      </c>
      <c r="C39" s="9">
        <f t="shared" si="10"/>
        <v>0.972187628421327</v>
      </c>
      <c r="D39" s="9">
        <f>成本明细!E124</f>
        <v>9.3091000000000008</v>
      </c>
      <c r="E39" s="9">
        <v>9.3090575999999992</v>
      </c>
      <c r="F39" s="9">
        <f>成本明细!F124/10000</f>
        <v>9.2210000000000001</v>
      </c>
      <c r="G39" s="9"/>
      <c r="H39" s="9"/>
      <c r="I39" s="9"/>
      <c r="J39" s="9">
        <f t="shared" si="13"/>
        <v>9.2210000000000001</v>
      </c>
      <c r="K39" s="9"/>
      <c r="L39" s="9">
        <f t="shared" ref="L39:L43" si="18">D39-J39</f>
        <v>8.8100000000000733E-2</v>
      </c>
      <c r="M39" s="10" t="s">
        <v>209</v>
      </c>
      <c r="N39" s="9">
        <f t="shared" si="11"/>
        <v>9.3091000000000008</v>
      </c>
      <c r="O39" s="9">
        <f t="shared" si="12"/>
        <v>0</v>
      </c>
      <c r="P39" s="11"/>
    </row>
    <row r="40" spans="1:16" ht="16.5" customHeight="1" outlineLevel="2" x14ac:dyDescent="0.15">
      <c r="A40" s="98" t="s">
        <v>210</v>
      </c>
      <c r="B40" s="99" t="s">
        <v>211</v>
      </c>
      <c r="C40" s="9">
        <f t="shared" si="10"/>
        <v>6.3147654696950477</v>
      </c>
      <c r="D40" s="9">
        <f>成本明细!E129</f>
        <v>60.466500000000003</v>
      </c>
      <c r="E40" s="9">
        <v>46.545287999999999</v>
      </c>
      <c r="F40" s="9">
        <f>成本明细!F129/10000</f>
        <v>50.969429999999996</v>
      </c>
      <c r="G40" s="9"/>
      <c r="H40" s="9"/>
      <c r="I40" s="9"/>
      <c r="J40" s="9">
        <f t="shared" si="13"/>
        <v>50.969429999999996</v>
      </c>
      <c r="K40" s="9"/>
      <c r="L40" s="9">
        <f t="shared" si="18"/>
        <v>9.4970700000000079</v>
      </c>
      <c r="M40" s="10" t="s">
        <v>212</v>
      </c>
      <c r="N40" s="9">
        <f t="shared" si="11"/>
        <v>60.466500000000003</v>
      </c>
      <c r="O40" s="9">
        <f t="shared" si="12"/>
        <v>0</v>
      </c>
      <c r="P40" s="11"/>
    </row>
    <row r="41" spans="1:16" ht="16.5" customHeight="1" outlineLevel="1" x14ac:dyDescent="0.15">
      <c r="A41" s="103">
        <v>2.5</v>
      </c>
      <c r="B41" s="104" t="s">
        <v>226</v>
      </c>
      <c r="C41" s="32">
        <f t="shared" ref="C41:F41" si="19">SUM(C42:C45)</f>
        <v>5.9685454886289531</v>
      </c>
      <c r="D41" s="32">
        <f t="shared" si="19"/>
        <v>57.151299999999999</v>
      </c>
      <c r="E41" s="32">
        <v>144.42374505012</v>
      </c>
      <c r="F41" s="32">
        <f t="shared" si="19"/>
        <v>33.75</v>
      </c>
      <c r="G41" s="32">
        <f t="shared" ref="G41:O41" si="20">SUM(G42:G45)</f>
        <v>0</v>
      </c>
      <c r="H41" s="32">
        <f t="shared" si="20"/>
        <v>0</v>
      </c>
      <c r="I41" s="32">
        <f t="shared" si="20"/>
        <v>0</v>
      </c>
      <c r="J41" s="32">
        <f t="shared" si="20"/>
        <v>33.75</v>
      </c>
      <c r="K41" s="32"/>
      <c r="L41" s="32">
        <f t="shared" si="20"/>
        <v>23.272600000000001</v>
      </c>
      <c r="M41" s="33"/>
      <c r="N41" s="32">
        <f t="shared" si="20"/>
        <v>57.022599999999997</v>
      </c>
      <c r="O41" s="32">
        <f t="shared" si="20"/>
        <v>-0.12870000000000026</v>
      </c>
      <c r="P41" s="34"/>
    </row>
    <row r="42" spans="1:16" ht="16.5" customHeight="1" outlineLevel="2" x14ac:dyDescent="0.15">
      <c r="A42" s="98" t="s">
        <v>227</v>
      </c>
      <c r="B42" s="99" t="s">
        <v>228</v>
      </c>
      <c r="C42" s="9">
        <f t="shared" si="10"/>
        <v>2.4376280296989741</v>
      </c>
      <c r="D42" s="9">
        <f>成本明细!E134</f>
        <v>23.3413</v>
      </c>
      <c r="E42" s="9">
        <v>23.341298299799998</v>
      </c>
      <c r="F42" s="9">
        <f>成本明细!F134/10000</f>
        <v>23.25</v>
      </c>
      <c r="G42" s="9"/>
      <c r="H42" s="9"/>
      <c r="I42" s="9"/>
      <c r="J42" s="9">
        <f t="shared" si="13"/>
        <v>23.25</v>
      </c>
      <c r="K42" s="9"/>
      <c r="L42" s="9">
        <v>0</v>
      </c>
      <c r="M42" s="10"/>
      <c r="N42" s="9">
        <f t="shared" si="11"/>
        <v>23.25</v>
      </c>
      <c r="O42" s="9">
        <f t="shared" si="12"/>
        <v>-9.1300000000000381E-2</v>
      </c>
      <c r="P42" s="11"/>
    </row>
    <row r="43" spans="1:16" ht="16.5" customHeight="1" outlineLevel="2" x14ac:dyDescent="0.15">
      <c r="A43" s="98" t="s">
        <v>229</v>
      </c>
      <c r="B43" s="99" t="s">
        <v>230</v>
      </c>
      <c r="C43" s="9">
        <f t="shared" si="10"/>
        <v>2.4304534059359311</v>
      </c>
      <c r="D43" s="9">
        <f>成本明细!E138</f>
        <v>23.272600000000001</v>
      </c>
      <c r="E43" s="9">
        <v>23.272644</v>
      </c>
      <c r="F43" s="9">
        <f>成本明细!F138/10000</f>
        <v>0</v>
      </c>
      <c r="G43" s="9"/>
      <c r="H43" s="9"/>
      <c r="I43" s="9"/>
      <c r="J43" s="9">
        <f t="shared" si="13"/>
        <v>0</v>
      </c>
      <c r="K43" s="9"/>
      <c r="L43" s="9">
        <f t="shared" si="18"/>
        <v>23.272600000000001</v>
      </c>
      <c r="M43" s="10"/>
      <c r="N43" s="9">
        <f t="shared" si="11"/>
        <v>23.272600000000001</v>
      </c>
      <c r="O43" s="9">
        <f t="shared" si="12"/>
        <v>0</v>
      </c>
      <c r="P43" s="11"/>
    </row>
    <row r="44" spans="1:16" ht="16.5" customHeight="1" outlineLevel="2" x14ac:dyDescent="0.15">
      <c r="A44" s="98" t="s">
        <v>231</v>
      </c>
      <c r="B44" s="99" t="s">
        <v>232</v>
      </c>
      <c r="C44" s="9">
        <f t="shared" si="10"/>
        <v>0</v>
      </c>
      <c r="D44" s="9">
        <f>成本明细!E141</f>
        <v>0</v>
      </c>
      <c r="E44" s="9">
        <v>0</v>
      </c>
      <c r="F44" s="9">
        <f>成本明细!F141/10000</f>
        <v>0</v>
      </c>
      <c r="G44" s="9"/>
      <c r="H44" s="9"/>
      <c r="I44" s="9"/>
      <c r="J44" s="9">
        <f t="shared" si="13"/>
        <v>0</v>
      </c>
      <c r="K44" s="9"/>
      <c r="L44" s="9">
        <v>0</v>
      </c>
      <c r="M44" s="10"/>
      <c r="N44" s="9">
        <f t="shared" si="11"/>
        <v>0</v>
      </c>
      <c r="O44" s="9">
        <f t="shared" si="12"/>
        <v>0</v>
      </c>
      <c r="P44" s="11" t="s">
        <v>233</v>
      </c>
    </row>
    <row r="45" spans="1:16" ht="16.5" customHeight="1" outlineLevel="2" x14ac:dyDescent="0.15">
      <c r="A45" s="98" t="s">
        <v>234</v>
      </c>
      <c r="B45" s="99" t="s">
        <v>235</v>
      </c>
      <c r="C45" s="9">
        <f t="shared" si="10"/>
        <v>1.1004640529940477</v>
      </c>
      <c r="D45" s="9">
        <f>成本明细!E144</f>
        <v>10.5374</v>
      </c>
      <c r="E45" s="9">
        <v>10.537387750320001</v>
      </c>
      <c r="F45" s="9">
        <f>成本明细!F144/10000</f>
        <v>10.5</v>
      </c>
      <c r="G45" s="9"/>
      <c r="H45" s="9"/>
      <c r="I45" s="9"/>
      <c r="J45" s="9">
        <f t="shared" si="13"/>
        <v>10.5</v>
      </c>
      <c r="K45" s="9"/>
      <c r="L45" s="9">
        <v>0</v>
      </c>
      <c r="M45" s="10"/>
      <c r="N45" s="9">
        <f t="shared" si="11"/>
        <v>10.5</v>
      </c>
      <c r="O45" s="9">
        <f t="shared" si="12"/>
        <v>-3.7399999999999878E-2</v>
      </c>
      <c r="P45" s="11"/>
    </row>
    <row r="46" spans="1:16" ht="16.5" customHeight="1" outlineLevel="2" x14ac:dyDescent="0.15">
      <c r="A46" s="98" t="s">
        <v>236</v>
      </c>
      <c r="B46" s="36" t="s">
        <v>237</v>
      </c>
      <c r="C46" s="9">
        <f t="shared" si="10"/>
        <v>0</v>
      </c>
      <c r="D46" s="9">
        <f>成本明细!E143</f>
        <v>0</v>
      </c>
      <c r="E46" s="9">
        <v>52.363449000000003</v>
      </c>
      <c r="F46" s="9">
        <f>成本明细!F143/10000</f>
        <v>0</v>
      </c>
      <c r="G46" s="9"/>
      <c r="H46" s="9"/>
      <c r="I46" s="9"/>
      <c r="J46" s="9">
        <f t="shared" si="13"/>
        <v>0</v>
      </c>
      <c r="K46" s="9"/>
      <c r="L46" s="9">
        <v>0</v>
      </c>
      <c r="M46" s="10"/>
      <c r="N46" s="9">
        <f t="shared" si="11"/>
        <v>0</v>
      </c>
      <c r="O46" s="9">
        <f t="shared" si="12"/>
        <v>0</v>
      </c>
      <c r="P46" s="11" t="s">
        <v>233</v>
      </c>
    </row>
    <row r="47" spans="1:16" ht="16.5" customHeight="1" outlineLevel="2" x14ac:dyDescent="0.15">
      <c r="A47" s="98" t="s">
        <v>238</v>
      </c>
      <c r="B47" s="36" t="s">
        <v>239</v>
      </c>
      <c r="C47" s="9">
        <f t="shared" si="10"/>
        <v>0</v>
      </c>
      <c r="D47" s="9">
        <f>成本明细!E146</f>
        <v>0</v>
      </c>
      <c r="E47" s="9">
        <v>34.908965999999999</v>
      </c>
      <c r="F47" s="9">
        <f>成本明细!F146/10000</f>
        <v>0</v>
      </c>
      <c r="G47" s="9"/>
      <c r="H47" s="9"/>
      <c r="I47" s="9"/>
      <c r="J47" s="9">
        <f t="shared" si="13"/>
        <v>0</v>
      </c>
      <c r="K47" s="9"/>
      <c r="L47" s="9">
        <v>0</v>
      </c>
      <c r="M47" s="10"/>
      <c r="N47" s="9">
        <f t="shared" si="11"/>
        <v>0</v>
      </c>
      <c r="O47" s="9">
        <f t="shared" si="12"/>
        <v>0</v>
      </c>
      <c r="P47" s="11"/>
    </row>
    <row r="48" spans="1:16" ht="16.5" customHeight="1" outlineLevel="1" x14ac:dyDescent="0.15">
      <c r="A48" s="103">
        <v>2.6</v>
      </c>
      <c r="B48" s="104" t="s">
        <v>251</v>
      </c>
      <c r="C48" s="32">
        <f t="shared" ref="C48:O48" si="21">SUM(C49:C54)</f>
        <v>9.064494854792196</v>
      </c>
      <c r="D48" s="32">
        <f t="shared" si="21"/>
        <v>86.796300000000016</v>
      </c>
      <c r="E48" s="32">
        <v>86.796199953400006</v>
      </c>
      <c r="F48" s="32">
        <f t="shared" si="21"/>
        <v>80.407815999999997</v>
      </c>
      <c r="G48" s="32">
        <f t="shared" si="21"/>
        <v>0</v>
      </c>
      <c r="H48" s="32">
        <f t="shared" si="21"/>
        <v>0</v>
      </c>
      <c r="I48" s="32">
        <f t="shared" si="21"/>
        <v>0</v>
      </c>
      <c r="J48" s="32">
        <f t="shared" si="21"/>
        <v>80.407815999999997</v>
      </c>
      <c r="K48" s="32"/>
      <c r="L48" s="32">
        <f t="shared" si="21"/>
        <v>5.9272089999999986</v>
      </c>
      <c r="M48" s="33"/>
      <c r="N48" s="32">
        <f t="shared" si="21"/>
        <v>86.335025000000016</v>
      </c>
      <c r="O48" s="32">
        <f t="shared" si="21"/>
        <v>-0.46127500000000732</v>
      </c>
      <c r="P48" s="34"/>
    </row>
    <row r="49" spans="1:16" ht="16.5" customHeight="1" outlineLevel="2" x14ac:dyDescent="0.15">
      <c r="A49" s="98" t="s">
        <v>252</v>
      </c>
      <c r="B49" s="99" t="s">
        <v>253</v>
      </c>
      <c r="C49" s="9">
        <f t="shared" si="10"/>
        <v>2.9165524418523896</v>
      </c>
      <c r="D49" s="9">
        <f>成本明细!E148</f>
        <v>27.927199999999999</v>
      </c>
      <c r="E49" s="9">
        <v>27.927172800000001</v>
      </c>
      <c r="F49" s="9">
        <f>成本明细!F148/10000</f>
        <v>27.827709999999996</v>
      </c>
      <c r="G49" s="9"/>
      <c r="H49" s="9"/>
      <c r="I49" s="9"/>
      <c r="J49" s="9">
        <f t="shared" si="13"/>
        <v>27.827709999999996</v>
      </c>
      <c r="K49" s="9"/>
      <c r="L49" s="9">
        <v>0</v>
      </c>
      <c r="M49" s="10"/>
      <c r="N49" s="9">
        <f t="shared" si="11"/>
        <v>27.827709999999996</v>
      </c>
      <c r="O49" s="9">
        <f t="shared" si="12"/>
        <v>-9.9490000000002965E-2</v>
      </c>
      <c r="P49" s="11"/>
    </row>
    <row r="50" spans="1:16" ht="16.5" customHeight="1" outlineLevel="2" x14ac:dyDescent="0.15">
      <c r="A50" s="98" t="s">
        <v>254</v>
      </c>
      <c r="B50" s="99" t="s">
        <v>255</v>
      </c>
      <c r="C50" s="9">
        <f t="shared" si="10"/>
        <v>1.0937071656946462</v>
      </c>
      <c r="D50" s="9">
        <f>成本明细!E152</f>
        <v>10.4727</v>
      </c>
      <c r="E50" s="9">
        <v>10.472689799999999</v>
      </c>
      <c r="F50" s="9">
        <f>成本明细!F152/10000</f>
        <v>10.363691000000001</v>
      </c>
      <c r="G50" s="9"/>
      <c r="H50" s="9"/>
      <c r="I50" s="9"/>
      <c r="J50" s="9">
        <f t="shared" si="13"/>
        <v>10.363691000000001</v>
      </c>
      <c r="K50" s="9"/>
      <c r="L50" s="9">
        <f>D50-J50</f>
        <v>0.10900899999999858</v>
      </c>
      <c r="M50" s="10" t="s">
        <v>256</v>
      </c>
      <c r="N50" s="9">
        <f t="shared" si="11"/>
        <v>10.4727</v>
      </c>
      <c r="O50" s="9">
        <f t="shared" si="12"/>
        <v>0</v>
      </c>
      <c r="P50" s="11"/>
    </row>
    <row r="51" spans="1:16" ht="16.5" customHeight="1" outlineLevel="2" x14ac:dyDescent="0.15">
      <c r="A51" s="98" t="s">
        <v>257</v>
      </c>
      <c r="B51" s="99" t="s">
        <v>258</v>
      </c>
      <c r="C51" s="9">
        <f t="shared" si="10"/>
        <v>3.5541853799548115</v>
      </c>
      <c r="D51" s="9">
        <f>成本明细!E156</f>
        <v>34.032800000000002</v>
      </c>
      <c r="E51" s="9">
        <v>34.032750953399997</v>
      </c>
      <c r="F51" s="9">
        <f>成本明细!F156/10000</f>
        <v>33.9</v>
      </c>
      <c r="G51" s="9"/>
      <c r="H51" s="9"/>
      <c r="I51" s="9"/>
      <c r="J51" s="9">
        <f t="shared" si="13"/>
        <v>33.9</v>
      </c>
      <c r="K51" s="9"/>
      <c r="L51" s="9">
        <v>0</v>
      </c>
      <c r="M51" s="10"/>
      <c r="N51" s="9">
        <f t="shared" si="11"/>
        <v>33.9</v>
      </c>
      <c r="O51" s="9">
        <f t="shared" si="12"/>
        <v>-0.13280000000000314</v>
      </c>
      <c r="P51" s="11"/>
    </row>
    <row r="52" spans="1:16" ht="16.5" customHeight="1" outlineLevel="2" x14ac:dyDescent="0.15">
      <c r="A52" s="98" t="s">
        <v>259</v>
      </c>
      <c r="B52" s="99" t="s">
        <v>260</v>
      </c>
      <c r="C52" s="9">
        <f t="shared" si="10"/>
        <v>0.85065764773641672</v>
      </c>
      <c r="D52" s="9">
        <f>成本明细!E159</f>
        <v>8.1454000000000004</v>
      </c>
      <c r="E52" s="9">
        <v>8.1454254000000006</v>
      </c>
      <c r="F52" s="9">
        <f>成本明细!F159/10000</f>
        <v>8.3164149999999992</v>
      </c>
      <c r="G52" s="9"/>
      <c r="H52" s="9"/>
      <c r="I52" s="9"/>
      <c r="J52" s="9">
        <f t="shared" si="13"/>
        <v>8.3164149999999992</v>
      </c>
      <c r="K52" s="9"/>
      <c r="L52" s="9">
        <v>0</v>
      </c>
      <c r="M52" s="10"/>
      <c r="N52" s="9">
        <f t="shared" si="11"/>
        <v>8.3164149999999992</v>
      </c>
      <c r="O52" s="9">
        <f t="shared" si="12"/>
        <v>0.17101499999999881</v>
      </c>
      <c r="P52" s="11"/>
    </row>
    <row r="53" spans="1:16" ht="16.5" customHeight="1" outlineLevel="2" x14ac:dyDescent="0.15">
      <c r="A53" s="98" t="s">
        <v>261</v>
      </c>
      <c r="B53" s="99" t="s">
        <v>262</v>
      </c>
      <c r="C53" s="9">
        <f t="shared" si="10"/>
        <v>4.1773646364152366E-2</v>
      </c>
      <c r="D53" s="9">
        <f>成本明细!E162</f>
        <v>0.4</v>
      </c>
      <c r="E53" s="9">
        <v>0.4</v>
      </c>
      <c r="F53" s="9">
        <f>成本明细!F162/10000</f>
        <v>0</v>
      </c>
      <c r="G53" s="9"/>
      <c r="H53" s="9"/>
      <c r="I53" s="9"/>
      <c r="J53" s="9">
        <f t="shared" si="13"/>
        <v>0</v>
      </c>
      <c r="K53" s="9"/>
      <c r="L53" s="9">
        <v>0</v>
      </c>
      <c r="M53" s="10"/>
      <c r="N53" s="9">
        <f t="shared" si="11"/>
        <v>0</v>
      </c>
      <c r="O53" s="9">
        <f t="shared" si="12"/>
        <v>-0.4</v>
      </c>
      <c r="P53" s="11"/>
    </row>
    <row r="54" spans="1:16" ht="16.5" customHeight="1" outlineLevel="2" x14ac:dyDescent="0.15">
      <c r="A54" s="98" t="s">
        <v>263</v>
      </c>
      <c r="B54" s="99" t="s">
        <v>264</v>
      </c>
      <c r="C54" s="9">
        <f t="shared" si="10"/>
        <v>0.60761857318977819</v>
      </c>
      <c r="D54" s="9">
        <f>成本明细!E165</f>
        <v>5.8182</v>
      </c>
      <c r="E54" s="9">
        <v>5.8181609999999999</v>
      </c>
      <c r="F54" s="9">
        <f>成本明细!F165/10000</f>
        <v>0</v>
      </c>
      <c r="G54" s="9"/>
      <c r="H54" s="9"/>
      <c r="I54" s="9"/>
      <c r="J54" s="9">
        <f t="shared" si="13"/>
        <v>0</v>
      </c>
      <c r="K54" s="9"/>
      <c r="L54" s="9">
        <f t="shared" ref="L54" si="22">D54-J54</f>
        <v>5.8182</v>
      </c>
      <c r="M54" s="10"/>
      <c r="N54" s="9">
        <f t="shared" si="11"/>
        <v>5.8182</v>
      </c>
      <c r="O54" s="9">
        <f t="shared" si="12"/>
        <v>0</v>
      </c>
      <c r="P54" s="11"/>
    </row>
    <row r="55" spans="1:16" ht="16.5" customHeight="1" outlineLevel="1" x14ac:dyDescent="0.15">
      <c r="A55" s="103">
        <v>2.7</v>
      </c>
      <c r="B55" s="104" t="s">
        <v>278</v>
      </c>
      <c r="C55" s="32">
        <f t="shared" ref="C55:O55" si="23">SUM(C56:C61)</f>
        <v>5.2846064635318681</v>
      </c>
      <c r="D55" s="32">
        <f t="shared" si="23"/>
        <v>50.6023</v>
      </c>
      <c r="E55" s="32">
        <v>50.602304400000001</v>
      </c>
      <c r="F55" s="32">
        <f t="shared" si="23"/>
        <v>2.1980999999999997</v>
      </c>
      <c r="G55" s="32">
        <f t="shared" si="23"/>
        <v>0</v>
      </c>
      <c r="H55" s="32">
        <f t="shared" si="23"/>
        <v>0</v>
      </c>
      <c r="I55" s="32">
        <f t="shared" si="23"/>
        <v>0</v>
      </c>
      <c r="J55" s="32">
        <f t="shared" si="23"/>
        <v>2.1980999999999997</v>
      </c>
      <c r="K55" s="32"/>
      <c r="L55" s="32">
        <f t="shared" si="23"/>
        <v>48.404199999999996</v>
      </c>
      <c r="M55" s="33"/>
      <c r="N55" s="32">
        <f t="shared" si="23"/>
        <v>50.6023</v>
      </c>
      <c r="O55" s="32">
        <f t="shared" si="23"/>
        <v>0</v>
      </c>
      <c r="P55" s="34"/>
    </row>
    <row r="56" spans="1:16" ht="16.5" customHeight="1" outlineLevel="2" x14ac:dyDescent="0.15">
      <c r="A56" s="98" t="s">
        <v>279</v>
      </c>
      <c r="B56" s="99" t="s">
        <v>280</v>
      </c>
      <c r="C56" s="9">
        <f t="shared" si="10"/>
        <v>1.0853628798334067</v>
      </c>
      <c r="D56" s="9">
        <f>成本明细!E169</f>
        <v>10.392799999999999</v>
      </c>
      <c r="E56" s="9">
        <v>10.392825</v>
      </c>
      <c r="F56" s="9">
        <f>成本明细!F169/10000</f>
        <v>0</v>
      </c>
      <c r="G56" s="9"/>
      <c r="H56" s="9"/>
      <c r="I56" s="9"/>
      <c r="J56" s="9">
        <f t="shared" si="13"/>
        <v>0</v>
      </c>
      <c r="K56" s="9"/>
      <c r="L56" s="9">
        <f>D56-J56</f>
        <v>10.392799999999999</v>
      </c>
      <c r="M56" s="10"/>
      <c r="N56" s="9">
        <f t="shared" si="11"/>
        <v>10.392799999999999</v>
      </c>
      <c r="O56" s="9">
        <f t="shared" si="12"/>
        <v>0</v>
      </c>
      <c r="P56" s="11"/>
    </row>
    <row r="57" spans="1:16" ht="16.5" customHeight="1" outlineLevel="2" x14ac:dyDescent="0.15">
      <c r="A57" s="98" t="s">
        <v>281</v>
      </c>
      <c r="B57" s="99" t="s">
        <v>282</v>
      </c>
      <c r="C57" s="9">
        <f t="shared" si="10"/>
        <v>0.60761857318977819</v>
      </c>
      <c r="D57" s="9">
        <f>成本明细!E172</f>
        <v>5.8182</v>
      </c>
      <c r="E57" s="9">
        <v>5.8181609999999999</v>
      </c>
      <c r="F57" s="9">
        <f>成本明细!F172/10000</f>
        <v>0</v>
      </c>
      <c r="G57" s="9"/>
      <c r="H57" s="9"/>
      <c r="I57" s="9"/>
      <c r="J57" s="9">
        <f t="shared" si="13"/>
        <v>0</v>
      </c>
      <c r="K57" s="9"/>
      <c r="L57" s="9">
        <f t="shared" ref="L57:L69" si="24">D57-J57</f>
        <v>5.8182</v>
      </c>
      <c r="M57" s="10"/>
      <c r="N57" s="9">
        <f t="shared" si="11"/>
        <v>5.8182</v>
      </c>
      <c r="O57" s="9">
        <f t="shared" si="12"/>
        <v>0</v>
      </c>
      <c r="P57" s="11"/>
    </row>
    <row r="58" spans="1:16" ht="16.5" customHeight="1" outlineLevel="2" x14ac:dyDescent="0.15">
      <c r="A58" s="98" t="s">
        <v>283</v>
      </c>
      <c r="B58" s="99" t="s">
        <v>284</v>
      </c>
      <c r="C58" s="9">
        <f t="shared" si="10"/>
        <v>1.0853628798334067</v>
      </c>
      <c r="D58" s="9">
        <f>成本明细!E175</f>
        <v>10.392799999999999</v>
      </c>
      <c r="E58" s="9">
        <v>10.392825</v>
      </c>
      <c r="F58" s="9">
        <f>成本明细!F175/10000</f>
        <v>0</v>
      </c>
      <c r="G58" s="9"/>
      <c r="H58" s="9"/>
      <c r="I58" s="9"/>
      <c r="J58" s="9">
        <f t="shared" si="13"/>
        <v>0</v>
      </c>
      <c r="K58" s="9"/>
      <c r="L58" s="9">
        <f t="shared" si="24"/>
        <v>10.392799999999999</v>
      </c>
      <c r="M58" s="10"/>
      <c r="N58" s="9">
        <f t="shared" si="11"/>
        <v>10.392799999999999</v>
      </c>
      <c r="O58" s="9">
        <f t="shared" si="12"/>
        <v>0</v>
      </c>
      <c r="P58" s="11"/>
    </row>
    <row r="59" spans="1:16" ht="16.5" customHeight="1" outlineLevel="2" x14ac:dyDescent="0.15">
      <c r="A59" s="98" t="s">
        <v>285</v>
      </c>
      <c r="B59" s="99" t="s">
        <v>286</v>
      </c>
      <c r="C59" s="9">
        <f t="shared" si="10"/>
        <v>1.4582762209261948</v>
      </c>
      <c r="D59" s="9">
        <f>成本明细!E178</f>
        <v>13.9636</v>
      </c>
      <c r="E59" s="9">
        <v>13.963586400000001</v>
      </c>
      <c r="F59" s="9">
        <f>成本明细!F178/10000</f>
        <v>0</v>
      </c>
      <c r="G59" s="9"/>
      <c r="H59" s="9"/>
      <c r="I59" s="9"/>
      <c r="J59" s="9">
        <f t="shared" si="13"/>
        <v>0</v>
      </c>
      <c r="K59" s="9"/>
      <c r="L59" s="9">
        <f t="shared" si="24"/>
        <v>13.9636</v>
      </c>
      <c r="M59" s="10"/>
      <c r="N59" s="9">
        <f t="shared" si="11"/>
        <v>13.9636</v>
      </c>
      <c r="O59" s="9">
        <f t="shared" si="12"/>
        <v>0</v>
      </c>
      <c r="P59" s="11"/>
    </row>
    <row r="60" spans="1:16" ht="16.5" customHeight="1" outlineLevel="2" x14ac:dyDescent="0.15">
      <c r="A60" s="98" t="s">
        <v>287</v>
      </c>
      <c r="B60" s="99" t="s">
        <v>288</v>
      </c>
      <c r="C60" s="9">
        <f t="shared" si="10"/>
        <v>0.80936439830545204</v>
      </c>
      <c r="D60" s="9">
        <f>成本明细!E181</f>
        <v>7.75</v>
      </c>
      <c r="E60" s="9">
        <v>7.75</v>
      </c>
      <c r="F60" s="9">
        <f>成本明细!F181/10000</f>
        <v>1.9644999999999999</v>
      </c>
      <c r="G60" s="9"/>
      <c r="H60" s="9"/>
      <c r="I60" s="9"/>
      <c r="J60" s="9">
        <f t="shared" si="13"/>
        <v>1.9644999999999999</v>
      </c>
      <c r="K60" s="9"/>
      <c r="L60" s="9">
        <f t="shared" si="24"/>
        <v>5.7854999999999999</v>
      </c>
      <c r="M60" s="10"/>
      <c r="N60" s="9">
        <f t="shared" si="11"/>
        <v>7.75</v>
      </c>
      <c r="O60" s="9">
        <f t="shared" si="12"/>
        <v>0</v>
      </c>
      <c r="P60" s="11"/>
    </row>
    <row r="61" spans="1:16" ht="16.5" customHeight="1" outlineLevel="2" x14ac:dyDescent="0.15">
      <c r="A61" s="98" t="s">
        <v>289</v>
      </c>
      <c r="B61" s="99" t="s">
        <v>290</v>
      </c>
      <c r="C61" s="9">
        <f t="shared" si="10"/>
        <v>0.23862151144362934</v>
      </c>
      <c r="D61" s="9">
        <f>成本明细!E184</f>
        <v>2.2848999999999999</v>
      </c>
      <c r="E61" s="9">
        <v>2.284907</v>
      </c>
      <c r="F61" s="9">
        <f>成本明细!F184/10000</f>
        <v>0.2336</v>
      </c>
      <c r="G61" s="9"/>
      <c r="H61" s="9"/>
      <c r="I61" s="9"/>
      <c r="J61" s="9">
        <f t="shared" si="13"/>
        <v>0.2336</v>
      </c>
      <c r="K61" s="9"/>
      <c r="L61" s="9">
        <f t="shared" si="24"/>
        <v>2.0512999999999999</v>
      </c>
      <c r="M61" s="10"/>
      <c r="N61" s="9">
        <f t="shared" si="11"/>
        <v>2.2848999999999999</v>
      </c>
      <c r="O61" s="9">
        <f t="shared" si="12"/>
        <v>0</v>
      </c>
      <c r="P61" s="11"/>
    </row>
    <row r="62" spans="1:16" ht="16.5" customHeight="1" outlineLevel="1" x14ac:dyDescent="0.15">
      <c r="A62" s="103">
        <v>2.8</v>
      </c>
      <c r="B62" s="104" t="s">
        <v>312</v>
      </c>
      <c r="C62" s="32">
        <f t="shared" ref="C62:O62" si="25">SUM(C63:C69)</f>
        <v>6.8123627017732389</v>
      </c>
      <c r="D62" s="32">
        <f t="shared" si="25"/>
        <v>65.231200000000001</v>
      </c>
      <c r="E62" s="32">
        <v>65.231194400000007</v>
      </c>
      <c r="F62" s="32">
        <f t="shared" si="25"/>
        <v>27.643030000000003</v>
      </c>
      <c r="G62" s="32">
        <f t="shared" si="25"/>
        <v>0</v>
      </c>
      <c r="H62" s="32">
        <f t="shared" si="25"/>
        <v>0</v>
      </c>
      <c r="I62" s="32">
        <f t="shared" si="25"/>
        <v>0</v>
      </c>
      <c r="J62" s="32">
        <f t="shared" si="25"/>
        <v>27.643030000000003</v>
      </c>
      <c r="K62" s="32"/>
      <c r="L62" s="32">
        <f t="shared" si="25"/>
        <v>37.588169999999998</v>
      </c>
      <c r="M62" s="33"/>
      <c r="N62" s="32">
        <f t="shared" si="25"/>
        <v>65.231200000000001</v>
      </c>
      <c r="O62" s="32">
        <f t="shared" si="25"/>
        <v>0</v>
      </c>
      <c r="P62" s="34"/>
    </row>
    <row r="63" spans="1:16" ht="16.5" customHeight="1" outlineLevel="2" x14ac:dyDescent="0.15">
      <c r="A63" s="98" t="s">
        <v>313</v>
      </c>
      <c r="B63" s="99" t="s">
        <v>314</v>
      </c>
      <c r="C63" s="9">
        <f t="shared" si="10"/>
        <v>0.60761857318977819</v>
      </c>
      <c r="D63" s="9">
        <f>成本明细!E188</f>
        <v>5.8182</v>
      </c>
      <c r="E63" s="9">
        <v>5.8181609999999999</v>
      </c>
      <c r="F63" s="9">
        <f>成本明细!F188/10000</f>
        <v>1.612876</v>
      </c>
      <c r="G63" s="9"/>
      <c r="H63" s="9"/>
      <c r="I63" s="9"/>
      <c r="J63" s="9">
        <f t="shared" si="13"/>
        <v>1.612876</v>
      </c>
      <c r="K63" s="9"/>
      <c r="L63" s="9">
        <f t="shared" si="24"/>
        <v>4.2053240000000001</v>
      </c>
      <c r="M63" s="10"/>
      <c r="N63" s="9">
        <f t="shared" si="11"/>
        <v>5.8182</v>
      </c>
      <c r="O63" s="9">
        <f t="shared" si="12"/>
        <v>0</v>
      </c>
      <c r="P63" s="11"/>
    </row>
    <row r="64" spans="1:16" ht="16.5" customHeight="1" outlineLevel="2" x14ac:dyDescent="0.15">
      <c r="A64" s="98" t="s">
        <v>315</v>
      </c>
      <c r="B64" s="99" t="s">
        <v>316</v>
      </c>
      <c r="C64" s="9">
        <f t="shared" si="10"/>
        <v>0.31330234773114274</v>
      </c>
      <c r="D64" s="9">
        <f>成本明细!E193</f>
        <v>3</v>
      </c>
      <c r="E64" s="9">
        <v>3</v>
      </c>
      <c r="F64" s="9">
        <f>成本明细!F193/10000</f>
        <v>2.4</v>
      </c>
      <c r="G64" s="9"/>
      <c r="H64" s="9"/>
      <c r="I64" s="9"/>
      <c r="J64" s="9">
        <f t="shared" si="13"/>
        <v>2.4</v>
      </c>
      <c r="K64" s="9"/>
      <c r="L64" s="9">
        <f t="shared" si="24"/>
        <v>0.60000000000000009</v>
      </c>
      <c r="M64" s="10"/>
      <c r="N64" s="9">
        <f t="shared" si="11"/>
        <v>3</v>
      </c>
      <c r="O64" s="9">
        <f t="shared" si="12"/>
        <v>0</v>
      </c>
      <c r="P64" s="11"/>
    </row>
    <row r="65" spans="1:16" ht="16.5" customHeight="1" outlineLevel="2" x14ac:dyDescent="0.15">
      <c r="A65" s="98" t="s">
        <v>317</v>
      </c>
      <c r="B65" s="99" t="s">
        <v>318</v>
      </c>
      <c r="C65" s="9">
        <f t="shared" si="10"/>
        <v>0.57898273860715177</v>
      </c>
      <c r="D65" s="9">
        <f>成本明细!E198</f>
        <v>5.5439999999999996</v>
      </c>
      <c r="E65" s="9">
        <v>5.5439999999999996</v>
      </c>
      <c r="F65" s="9">
        <f>成本明细!F198/10000</f>
        <v>2.5680000000000001</v>
      </c>
      <c r="G65" s="9"/>
      <c r="H65" s="9"/>
      <c r="I65" s="9"/>
      <c r="J65" s="9">
        <f t="shared" si="13"/>
        <v>2.5680000000000001</v>
      </c>
      <c r="K65" s="9"/>
      <c r="L65" s="9">
        <f t="shared" si="24"/>
        <v>2.9759999999999995</v>
      </c>
      <c r="M65" s="10"/>
      <c r="N65" s="9">
        <f t="shared" si="11"/>
        <v>5.5439999999999996</v>
      </c>
      <c r="O65" s="9">
        <f t="shared" si="12"/>
        <v>0</v>
      </c>
      <c r="P65" s="11"/>
    </row>
    <row r="66" spans="1:16" ht="16.5" customHeight="1" outlineLevel="2" x14ac:dyDescent="0.15">
      <c r="A66" s="98" t="s">
        <v>319</v>
      </c>
      <c r="B66" s="99" t="s">
        <v>320</v>
      </c>
      <c r="C66" s="9">
        <f t="shared" si="10"/>
        <v>0</v>
      </c>
      <c r="D66" s="9">
        <f>成本明细!E203</f>
        <v>0</v>
      </c>
      <c r="E66" s="9">
        <v>0</v>
      </c>
      <c r="F66" s="9">
        <f>成本明细!F203/10000</f>
        <v>0</v>
      </c>
      <c r="G66" s="9"/>
      <c r="H66" s="9"/>
      <c r="I66" s="9"/>
      <c r="J66" s="9">
        <f t="shared" si="13"/>
        <v>0</v>
      </c>
      <c r="K66" s="9"/>
      <c r="L66" s="9">
        <f t="shared" si="24"/>
        <v>0</v>
      </c>
      <c r="M66" s="10"/>
      <c r="N66" s="9">
        <f t="shared" si="11"/>
        <v>0</v>
      </c>
      <c r="O66" s="9">
        <f t="shared" si="12"/>
        <v>0</v>
      </c>
      <c r="P66" s="11"/>
    </row>
    <row r="67" spans="1:16" ht="16.5" customHeight="1" outlineLevel="2" x14ac:dyDescent="0.15">
      <c r="A67" s="98" t="s">
        <v>321</v>
      </c>
      <c r="B67" s="99" t="s">
        <v>322</v>
      </c>
      <c r="C67" s="9">
        <f t="shared" si="10"/>
        <v>3.3418917091321894E-2</v>
      </c>
      <c r="D67" s="9">
        <f>成本明细!E206</f>
        <v>0.32</v>
      </c>
      <c r="E67" s="9">
        <v>0.32</v>
      </c>
      <c r="F67" s="9">
        <f>成本明细!F206/10000</f>
        <v>0</v>
      </c>
      <c r="G67" s="9"/>
      <c r="H67" s="9"/>
      <c r="I67" s="9"/>
      <c r="J67" s="9">
        <f t="shared" si="13"/>
        <v>0</v>
      </c>
      <c r="K67" s="9"/>
      <c r="L67" s="9">
        <f t="shared" si="24"/>
        <v>0.32</v>
      </c>
      <c r="M67" s="10"/>
      <c r="N67" s="9">
        <f t="shared" si="11"/>
        <v>0.32</v>
      </c>
      <c r="O67" s="9">
        <f t="shared" si="12"/>
        <v>0</v>
      </c>
      <c r="P67" s="11"/>
    </row>
    <row r="68" spans="1:16" ht="16.5" customHeight="1" outlineLevel="2" x14ac:dyDescent="0.15">
      <c r="A68" s="98" t="s">
        <v>323</v>
      </c>
      <c r="B68" s="99" t="s">
        <v>324</v>
      </c>
      <c r="C68" s="9">
        <f t="shared" si="10"/>
        <v>1.8054256656238921</v>
      </c>
      <c r="D68" s="9">
        <f>成本明细!E209</f>
        <v>17.287700000000001</v>
      </c>
      <c r="E68" s="9">
        <v>17.287738399999999</v>
      </c>
      <c r="F68" s="9">
        <f>成本明细!F209/10000</f>
        <v>8.1518990000000002</v>
      </c>
      <c r="G68" s="9"/>
      <c r="H68" s="9"/>
      <c r="I68" s="9"/>
      <c r="J68" s="9">
        <f t="shared" si="13"/>
        <v>8.1518990000000002</v>
      </c>
      <c r="K68" s="9"/>
      <c r="L68" s="9">
        <f t="shared" si="24"/>
        <v>9.1358010000000007</v>
      </c>
      <c r="M68" s="10"/>
      <c r="N68" s="9">
        <f t="shared" si="11"/>
        <v>17.287700000000001</v>
      </c>
      <c r="O68" s="9">
        <f t="shared" si="12"/>
        <v>0</v>
      </c>
      <c r="P68" s="11"/>
    </row>
    <row r="69" spans="1:16" ht="16.5" customHeight="1" outlineLevel="2" x14ac:dyDescent="0.15">
      <c r="A69" s="98" t="s">
        <v>325</v>
      </c>
      <c r="B69" s="99" t="s">
        <v>326</v>
      </c>
      <c r="C69" s="9">
        <f t="shared" si="10"/>
        <v>3.4736144595299527</v>
      </c>
      <c r="D69" s="9">
        <f>成本明细!E213</f>
        <v>33.261299999999999</v>
      </c>
      <c r="E69" s="9">
        <v>33.261294999999997</v>
      </c>
      <c r="F69" s="9">
        <f>成本明细!F213/10000</f>
        <v>12.910255000000001</v>
      </c>
      <c r="G69" s="9"/>
      <c r="H69" s="9"/>
      <c r="I69" s="9"/>
      <c r="J69" s="9">
        <f t="shared" si="13"/>
        <v>12.910255000000001</v>
      </c>
      <c r="K69" s="9"/>
      <c r="L69" s="9">
        <f t="shared" si="24"/>
        <v>20.351044999999999</v>
      </c>
      <c r="M69" s="10"/>
      <c r="N69" s="9">
        <f t="shared" si="11"/>
        <v>33.261299999999999</v>
      </c>
      <c r="O69" s="9">
        <f t="shared" si="12"/>
        <v>0</v>
      </c>
      <c r="P69" s="11"/>
    </row>
    <row r="70" spans="1:16" ht="16.5" customHeight="1" x14ac:dyDescent="0.15">
      <c r="A70" s="96" t="s">
        <v>342</v>
      </c>
      <c r="B70" s="97" t="s">
        <v>343</v>
      </c>
      <c r="C70" s="3">
        <f t="shared" ref="C70:O70" si="26">C71+C79+C88+C97+C101+C104</f>
        <v>4069.0801913024138</v>
      </c>
      <c r="D70" s="3">
        <f t="shared" si="26"/>
        <v>38963.131499999996</v>
      </c>
      <c r="E70" s="3">
        <v>41880.310860200698</v>
      </c>
      <c r="F70" s="3">
        <f t="shared" si="26"/>
        <v>33315.832199999997</v>
      </c>
      <c r="G70" s="3">
        <f t="shared" si="26"/>
        <v>0</v>
      </c>
      <c r="H70" s="3">
        <f t="shared" si="26"/>
        <v>0</v>
      </c>
      <c r="I70" s="3">
        <f t="shared" si="26"/>
        <v>0</v>
      </c>
      <c r="J70" s="3" t="e">
        <f t="shared" si="26"/>
        <v>#REF!</v>
      </c>
      <c r="K70" s="3"/>
      <c r="L70" s="3">
        <f t="shared" si="26"/>
        <v>34256.164400000001</v>
      </c>
      <c r="M70" s="4"/>
      <c r="N70" s="3" t="e">
        <f t="shared" si="26"/>
        <v>#REF!</v>
      </c>
      <c r="O70" s="3" t="e">
        <f t="shared" si="26"/>
        <v>#REF!</v>
      </c>
      <c r="P70" s="5"/>
    </row>
    <row r="71" spans="1:16" ht="16.5" customHeight="1" outlineLevel="1" x14ac:dyDescent="0.15">
      <c r="A71" s="103">
        <v>3.1</v>
      </c>
      <c r="B71" s="104" t="s">
        <v>344</v>
      </c>
      <c r="C71" s="32">
        <f t="shared" ref="C71:F71" si="27">SUM(C72:C78)</f>
        <v>123.3233650969697</v>
      </c>
      <c r="D71" s="32">
        <f t="shared" si="27"/>
        <v>1180.8724</v>
      </c>
      <c r="E71" s="32">
        <v>1797.9616260753</v>
      </c>
      <c r="F71" s="32">
        <f t="shared" si="27"/>
        <v>836.21410000000003</v>
      </c>
      <c r="G71" s="32">
        <f t="shared" ref="G71:O71" si="28">SUM(G72:G78)</f>
        <v>0</v>
      </c>
      <c r="H71" s="32">
        <f t="shared" si="28"/>
        <v>0</v>
      </c>
      <c r="I71" s="32">
        <f t="shared" si="28"/>
        <v>0</v>
      </c>
      <c r="J71" s="32">
        <f t="shared" si="28"/>
        <v>836.21410000000003</v>
      </c>
      <c r="K71" s="32"/>
      <c r="L71" s="32">
        <f t="shared" si="28"/>
        <v>1538.1967000000002</v>
      </c>
      <c r="M71" s="33"/>
      <c r="N71" s="32">
        <f t="shared" si="28"/>
        <v>2374.4107999999997</v>
      </c>
      <c r="O71" s="32">
        <f t="shared" si="28"/>
        <v>1193.5383999999999</v>
      </c>
      <c r="P71" s="34"/>
    </row>
    <row r="72" spans="1:16" ht="16.5" customHeight="1" outlineLevel="2" x14ac:dyDescent="0.15">
      <c r="A72" s="98" t="s">
        <v>345</v>
      </c>
      <c r="B72" s="99" t="s">
        <v>346</v>
      </c>
      <c r="C72" s="9">
        <f t="shared" ref="C72:C104" si="29">D72/$D$4*10000</f>
        <v>10.853660128568839</v>
      </c>
      <c r="D72" s="9">
        <f>成本明细!E229</f>
        <v>103.92829999999999</v>
      </c>
      <c r="E72" s="9">
        <v>700.00041361499996</v>
      </c>
      <c r="F72" s="9">
        <f>成本明细!F229/10000</f>
        <v>576.46600000000001</v>
      </c>
      <c r="G72" s="9"/>
      <c r="H72" s="9"/>
      <c r="I72" s="9"/>
      <c r="J72" s="9">
        <f t="shared" ref="J72:J104" si="30">F72+G72+H72+I72</f>
        <v>576.46600000000001</v>
      </c>
      <c r="K72" s="9"/>
      <c r="L72" s="9">
        <v>700</v>
      </c>
      <c r="M72" s="10"/>
      <c r="N72" s="9">
        <f t="shared" ref="N72:N78" si="31">J72+L72</f>
        <v>1276.4659999999999</v>
      </c>
      <c r="O72" s="9">
        <f t="shared" ref="O72:O78" si="32">N72-D72</f>
        <v>1172.5376999999999</v>
      </c>
      <c r="P72" s="11"/>
    </row>
    <row r="73" spans="1:16" ht="16.5" customHeight="1" outlineLevel="2" x14ac:dyDescent="0.15">
      <c r="A73" s="98" t="s">
        <v>347</v>
      </c>
      <c r="B73" s="99" t="s">
        <v>348</v>
      </c>
      <c r="C73" s="9">
        <f t="shared" si="29"/>
        <v>0.64931911567279332</v>
      </c>
      <c r="D73" s="9">
        <f>成本明细!E232</f>
        <v>6.2175000000000002</v>
      </c>
      <c r="E73" s="9">
        <v>18.4898749575</v>
      </c>
      <c r="F73" s="9">
        <f>成本明细!F232/10000</f>
        <v>18.494</v>
      </c>
      <c r="G73" s="9"/>
      <c r="H73" s="9"/>
      <c r="I73" s="9"/>
      <c r="J73" s="9">
        <f t="shared" si="30"/>
        <v>18.494</v>
      </c>
      <c r="K73" s="9"/>
      <c r="L73" s="9">
        <v>0</v>
      </c>
      <c r="M73" s="10"/>
      <c r="N73" s="9">
        <f t="shared" si="31"/>
        <v>18.494</v>
      </c>
      <c r="O73" s="9">
        <f t="shared" si="32"/>
        <v>12.276499999999999</v>
      </c>
      <c r="P73" s="11"/>
    </row>
    <row r="74" spans="1:16" ht="16.5" customHeight="1" outlineLevel="2" x14ac:dyDescent="0.15">
      <c r="A74" s="98" t="s">
        <v>349</v>
      </c>
      <c r="B74" s="100" t="s">
        <v>350</v>
      </c>
      <c r="C74" s="9">
        <f t="shared" si="29"/>
        <v>24.304575833005675</v>
      </c>
      <c r="D74" s="9">
        <f>成本明细!E236</f>
        <v>232.72640000000001</v>
      </c>
      <c r="E74" s="9">
        <v>232.72644</v>
      </c>
      <c r="F74" s="9">
        <f>成本明细!F236/10000</f>
        <v>0</v>
      </c>
      <c r="G74" s="9"/>
      <c r="H74" s="9"/>
      <c r="I74" s="9"/>
      <c r="J74" s="9">
        <f t="shared" si="30"/>
        <v>0</v>
      </c>
      <c r="K74" s="9"/>
      <c r="L74" s="9">
        <f>D74-J74</f>
        <v>232.72640000000001</v>
      </c>
      <c r="M74" s="10"/>
      <c r="N74" s="9">
        <f t="shared" si="31"/>
        <v>232.72640000000001</v>
      </c>
      <c r="O74" s="9">
        <f t="shared" si="32"/>
        <v>0</v>
      </c>
      <c r="P74" s="11"/>
    </row>
    <row r="75" spans="1:16" ht="16.5" customHeight="1" outlineLevel="2" x14ac:dyDescent="0.15">
      <c r="A75" s="98" t="s">
        <v>351</v>
      </c>
      <c r="B75" s="99" t="s">
        <v>352</v>
      </c>
      <c r="C75" s="9">
        <f t="shared" si="29"/>
        <v>30.380730234668682</v>
      </c>
      <c r="D75" s="9">
        <f>成本明细!E239</f>
        <v>290.90809999999999</v>
      </c>
      <c r="E75" s="9">
        <v>290.90805</v>
      </c>
      <c r="F75" s="9">
        <f>成本明细!F239/10000</f>
        <v>191.61779999999999</v>
      </c>
      <c r="G75" s="9"/>
      <c r="H75" s="9"/>
      <c r="I75" s="9"/>
      <c r="J75" s="9">
        <f t="shared" si="30"/>
        <v>191.61779999999999</v>
      </c>
      <c r="K75" s="9"/>
      <c r="L75" s="9">
        <f t="shared" ref="L75:L76" si="33">D75-J75</f>
        <v>99.290300000000002</v>
      </c>
      <c r="M75" s="10"/>
      <c r="N75" s="9">
        <f t="shared" si="31"/>
        <v>290.90809999999999</v>
      </c>
      <c r="O75" s="9">
        <f t="shared" si="32"/>
        <v>0</v>
      </c>
      <c r="P75" s="11"/>
    </row>
    <row r="76" spans="1:16" ht="16.5" customHeight="1" outlineLevel="2" x14ac:dyDescent="0.15">
      <c r="A76" s="98" t="s">
        <v>353</v>
      </c>
      <c r="B76" s="100" t="s">
        <v>354</v>
      </c>
      <c r="C76" s="9">
        <f t="shared" si="29"/>
        <v>52.862460791516611</v>
      </c>
      <c r="D76" s="9">
        <f>成本明细!E245</f>
        <v>506.18</v>
      </c>
      <c r="E76" s="9">
        <v>506.18000699999999</v>
      </c>
      <c r="F76" s="9">
        <f>成本明细!F245/10000</f>
        <v>0</v>
      </c>
      <c r="G76" s="9"/>
      <c r="H76" s="9"/>
      <c r="I76" s="9"/>
      <c r="J76" s="9">
        <f t="shared" si="30"/>
        <v>0</v>
      </c>
      <c r="K76" s="9"/>
      <c r="L76" s="9">
        <f t="shared" si="33"/>
        <v>506.18</v>
      </c>
      <c r="M76" s="10"/>
      <c r="N76" s="9">
        <f t="shared" si="31"/>
        <v>506.18</v>
      </c>
      <c r="O76" s="9">
        <f t="shared" si="32"/>
        <v>0</v>
      </c>
      <c r="P76" s="11"/>
    </row>
    <row r="77" spans="1:16" ht="16.5" customHeight="1" outlineLevel="2" x14ac:dyDescent="0.15">
      <c r="A77" s="98" t="s">
        <v>355</v>
      </c>
      <c r="B77" s="99" t="s">
        <v>356</v>
      </c>
      <c r="C77" s="9">
        <f t="shared" si="29"/>
        <v>0.86997795917983711</v>
      </c>
      <c r="D77" s="9">
        <f>成本明细!E248</f>
        <v>8.3303999999999991</v>
      </c>
      <c r="E77" s="9">
        <v>8.3304429197999994</v>
      </c>
      <c r="F77" s="9">
        <f>成本明细!F248/10000</f>
        <v>8.3102999999999998</v>
      </c>
      <c r="G77" s="9"/>
      <c r="H77" s="9"/>
      <c r="I77" s="9"/>
      <c r="J77" s="9">
        <f t="shared" si="30"/>
        <v>8.3102999999999998</v>
      </c>
      <c r="K77" s="9"/>
      <c r="L77" s="9">
        <v>0</v>
      </c>
      <c r="M77" s="10"/>
      <c r="N77" s="9">
        <f t="shared" si="31"/>
        <v>8.3102999999999998</v>
      </c>
      <c r="O77" s="9">
        <f t="shared" si="32"/>
        <v>-2.0099999999999341E-2</v>
      </c>
      <c r="P77" s="11"/>
    </row>
    <row r="78" spans="1:16" ht="16.5" customHeight="1" outlineLevel="2" x14ac:dyDescent="0.15">
      <c r="A78" s="98" t="s">
        <v>357</v>
      </c>
      <c r="B78" s="99" t="s">
        <v>358</v>
      </c>
      <c r="C78" s="9">
        <f t="shared" si="29"/>
        <v>3.4026410343572575</v>
      </c>
      <c r="D78" s="9">
        <f>成本明细!E252</f>
        <v>32.581699999999998</v>
      </c>
      <c r="E78" s="9">
        <v>41.326397583000002</v>
      </c>
      <c r="F78" s="9">
        <f>成本明细!F252/10000</f>
        <v>41.326000000000001</v>
      </c>
      <c r="G78" s="9"/>
      <c r="H78" s="9"/>
      <c r="I78" s="9"/>
      <c r="J78" s="9">
        <f t="shared" si="30"/>
        <v>41.326000000000001</v>
      </c>
      <c r="K78" s="9"/>
      <c r="L78" s="9">
        <v>0</v>
      </c>
      <c r="M78" s="10"/>
      <c r="N78" s="9">
        <f t="shared" si="31"/>
        <v>41.326000000000001</v>
      </c>
      <c r="O78" s="9">
        <f t="shared" si="32"/>
        <v>8.7443000000000026</v>
      </c>
      <c r="P78" s="11"/>
    </row>
    <row r="79" spans="1:16" ht="16.5" customHeight="1" outlineLevel="1" x14ac:dyDescent="0.15">
      <c r="A79" s="103">
        <v>3.2</v>
      </c>
      <c r="B79" s="104" t="s">
        <v>384</v>
      </c>
      <c r="C79" s="32">
        <f t="shared" ref="C79:O79" si="34">SUM(C80:C87)</f>
        <v>3257.9823119937887</v>
      </c>
      <c r="D79" s="32">
        <f t="shared" si="34"/>
        <v>31196.5327</v>
      </c>
      <c r="E79" s="32">
        <v>32973.187353707799</v>
      </c>
      <c r="F79" s="32">
        <f t="shared" si="34"/>
        <v>28961.1669</v>
      </c>
      <c r="G79" s="32">
        <f t="shared" si="34"/>
        <v>0</v>
      </c>
      <c r="H79" s="32">
        <f t="shared" si="34"/>
        <v>0</v>
      </c>
      <c r="I79" s="32">
        <f t="shared" si="34"/>
        <v>0</v>
      </c>
      <c r="J79" s="32">
        <f t="shared" si="34"/>
        <v>28961.1669</v>
      </c>
      <c r="K79" s="32"/>
      <c r="L79" s="32">
        <f>SUM(L80:L87)</f>
        <v>27988.429700000004</v>
      </c>
      <c r="M79" s="33"/>
      <c r="N79" s="32">
        <f t="shared" si="34"/>
        <v>56949.596599999997</v>
      </c>
      <c r="O79" s="32">
        <f t="shared" si="34"/>
        <v>25753.063899999997</v>
      </c>
      <c r="P79" s="34"/>
    </row>
    <row r="80" spans="1:16" ht="16.5" customHeight="1" outlineLevel="2" x14ac:dyDescent="0.15">
      <c r="A80" s="98" t="s">
        <v>385</v>
      </c>
      <c r="B80" s="100" t="s">
        <v>386</v>
      </c>
      <c r="C80" s="9">
        <f t="shared" si="29"/>
        <v>2330.0742056610607</v>
      </c>
      <c r="D80" s="9">
        <f>成本明细!E258</f>
        <v>22311.427500000002</v>
      </c>
      <c r="E80" s="9">
        <v>23739.602181709401</v>
      </c>
      <c r="F80" s="9">
        <f>成本明细!F258/10000</f>
        <v>23990.0072</v>
      </c>
      <c r="G80" s="9"/>
      <c r="H80" s="9"/>
      <c r="I80" s="9"/>
      <c r="J80" s="9">
        <f t="shared" si="30"/>
        <v>23990.0072</v>
      </c>
      <c r="K80" s="9"/>
      <c r="L80" s="9">
        <f>11032+300+12490-1*96</f>
        <v>23726</v>
      </c>
      <c r="M80" s="10" t="s">
        <v>387</v>
      </c>
      <c r="N80" s="9">
        <f t="shared" ref="N80:N87" si="35">J80+L80</f>
        <v>47716.0072</v>
      </c>
      <c r="O80" s="9">
        <f t="shared" ref="O80:O87" si="36">N80-D80</f>
        <v>25404.579699999998</v>
      </c>
      <c r="P80" s="11"/>
    </row>
    <row r="81" spans="1:16" ht="16.5" customHeight="1" outlineLevel="2" x14ac:dyDescent="0.15">
      <c r="A81" s="98" t="s">
        <v>388</v>
      </c>
      <c r="B81" s="100" t="s">
        <v>389</v>
      </c>
      <c r="C81" s="9">
        <f t="shared" si="29"/>
        <v>0</v>
      </c>
      <c r="D81" s="9">
        <f>成本明细!E266</f>
        <v>0</v>
      </c>
      <c r="E81" s="9">
        <v>338.54020018</v>
      </c>
      <c r="F81" s="9">
        <f>成本明细!F266/10000</f>
        <v>14.901400000000001</v>
      </c>
      <c r="G81" s="9"/>
      <c r="H81" s="9"/>
      <c r="I81" s="9"/>
      <c r="J81" s="9">
        <f t="shared" si="30"/>
        <v>14.901400000000001</v>
      </c>
      <c r="K81" s="9"/>
      <c r="L81" s="9">
        <f>3.48*93</f>
        <v>323.64</v>
      </c>
      <c r="M81" s="10" t="s">
        <v>390</v>
      </c>
      <c r="N81" s="9">
        <f t="shared" si="35"/>
        <v>338.54140000000001</v>
      </c>
      <c r="O81" s="9">
        <f t="shared" si="36"/>
        <v>338.54140000000001</v>
      </c>
      <c r="P81" s="11"/>
    </row>
    <row r="82" spans="1:16" ht="16.5" customHeight="1" outlineLevel="2" x14ac:dyDescent="0.15">
      <c r="A82" s="98" t="s">
        <v>391</v>
      </c>
      <c r="B82" s="99" t="s">
        <v>392</v>
      </c>
      <c r="C82" s="9">
        <f t="shared" si="29"/>
        <v>42.933345447690783</v>
      </c>
      <c r="D82" s="9">
        <f>成本明细!E270</f>
        <v>411.1046</v>
      </c>
      <c r="E82" s="9">
        <v>421.04436900000002</v>
      </c>
      <c r="F82" s="9">
        <f>成本明细!F270/10000</f>
        <v>421.04739999999998</v>
      </c>
      <c r="G82" s="9"/>
      <c r="H82" s="9"/>
      <c r="I82" s="9"/>
      <c r="J82" s="9">
        <f t="shared" si="30"/>
        <v>421.04739999999998</v>
      </c>
      <c r="K82" s="9"/>
      <c r="L82" s="9">
        <v>0</v>
      </c>
      <c r="M82" s="10"/>
      <c r="N82" s="9">
        <f t="shared" si="35"/>
        <v>421.04739999999998</v>
      </c>
      <c r="O82" s="9">
        <f t="shared" si="36"/>
        <v>9.942799999999977</v>
      </c>
      <c r="P82" s="11" t="s">
        <v>393</v>
      </c>
    </row>
    <row r="83" spans="1:16" ht="16.5" customHeight="1" outlineLevel="2" x14ac:dyDescent="0.15">
      <c r="A83" s="98" t="s">
        <v>394</v>
      </c>
      <c r="B83" s="99" t="s">
        <v>395</v>
      </c>
      <c r="C83" s="9">
        <f t="shared" si="29"/>
        <v>658.83136135613972</v>
      </c>
      <c r="D83" s="9">
        <f>成本明细!E274</f>
        <v>6308.5837000000001</v>
      </c>
      <c r="E83" s="9">
        <v>6308.5836811536001</v>
      </c>
      <c r="F83" s="9">
        <f>成本明细!F274/10000</f>
        <v>3443.8905</v>
      </c>
      <c r="G83" s="9"/>
      <c r="H83" s="9"/>
      <c r="I83" s="9"/>
      <c r="J83" s="9">
        <f t="shared" si="30"/>
        <v>3443.8905</v>
      </c>
      <c r="K83" s="9"/>
      <c r="L83" s="9">
        <f t="shared" ref="L83:L87" si="37">D83-J83</f>
        <v>2864.6932000000002</v>
      </c>
      <c r="M83" s="10"/>
      <c r="N83" s="9">
        <f t="shared" si="35"/>
        <v>6308.5837000000001</v>
      </c>
      <c r="O83" s="9">
        <f t="shared" si="36"/>
        <v>0</v>
      </c>
      <c r="P83" s="11"/>
    </row>
    <row r="84" spans="1:16" ht="16.5" customHeight="1" outlineLevel="2" x14ac:dyDescent="0.15">
      <c r="A84" s="98" t="s">
        <v>396</v>
      </c>
      <c r="B84" s="99" t="s">
        <v>397</v>
      </c>
      <c r="C84" s="9">
        <f t="shared" si="29"/>
        <v>131.95179530077809</v>
      </c>
      <c r="D84" s="9">
        <f>成本明细!E279</f>
        <v>1263.4931999999999</v>
      </c>
      <c r="E84" s="9">
        <v>1263.4932416648001</v>
      </c>
      <c r="F84" s="9">
        <f>成本明细!F279/10000</f>
        <v>680.13869999999997</v>
      </c>
      <c r="G84" s="9"/>
      <c r="H84" s="9"/>
      <c r="I84" s="9"/>
      <c r="J84" s="9">
        <f t="shared" si="30"/>
        <v>680.13869999999997</v>
      </c>
      <c r="K84" s="9"/>
      <c r="L84" s="9">
        <f t="shared" si="37"/>
        <v>583.35449999999992</v>
      </c>
      <c r="M84" s="10"/>
      <c r="N84" s="9">
        <f t="shared" si="35"/>
        <v>1263.4931999999999</v>
      </c>
      <c r="O84" s="9">
        <f t="shared" si="36"/>
        <v>0</v>
      </c>
      <c r="P84" s="11"/>
    </row>
    <row r="85" spans="1:16" ht="16.5" customHeight="1" outlineLevel="2" x14ac:dyDescent="0.15">
      <c r="A85" s="98" t="s">
        <v>398</v>
      </c>
      <c r="B85" s="99" t="s">
        <v>399</v>
      </c>
      <c r="C85" s="9">
        <f t="shared" si="29"/>
        <v>4.8949105600122813</v>
      </c>
      <c r="D85" s="9">
        <f>成本明细!E282</f>
        <v>46.870800000000003</v>
      </c>
      <c r="E85" s="9">
        <v>46.870800000000003</v>
      </c>
      <c r="F85" s="9">
        <f>成本明细!F282/10000</f>
        <v>1.2235</v>
      </c>
      <c r="G85" s="9"/>
      <c r="H85" s="9"/>
      <c r="I85" s="9"/>
      <c r="J85" s="9">
        <f t="shared" si="30"/>
        <v>1.2235</v>
      </c>
      <c r="K85" s="9"/>
      <c r="L85" s="9">
        <f t="shared" si="37"/>
        <v>45.647300000000001</v>
      </c>
      <c r="M85" s="10"/>
      <c r="N85" s="9">
        <f t="shared" si="35"/>
        <v>46.870800000000003</v>
      </c>
      <c r="O85" s="9">
        <f t="shared" si="36"/>
        <v>0</v>
      </c>
      <c r="P85" s="11"/>
    </row>
    <row r="86" spans="1:16" ht="16.5" customHeight="1" outlineLevel="2" x14ac:dyDescent="0.15">
      <c r="A86" s="98" t="s">
        <v>400</v>
      </c>
      <c r="B86" s="99" t="s">
        <v>401</v>
      </c>
      <c r="C86" s="9">
        <f t="shared" si="29"/>
        <v>40.687531558684412</v>
      </c>
      <c r="D86" s="9">
        <f>成本明细!E285</f>
        <v>389.6</v>
      </c>
      <c r="E86" s="9">
        <v>389.6</v>
      </c>
      <c r="F86" s="9">
        <f>成本明细!F285/10000</f>
        <v>204.95820000000001</v>
      </c>
      <c r="G86" s="9"/>
      <c r="H86" s="9"/>
      <c r="I86" s="9"/>
      <c r="J86" s="9">
        <f t="shared" si="30"/>
        <v>204.95820000000001</v>
      </c>
      <c r="K86" s="9"/>
      <c r="L86" s="9">
        <f t="shared" si="37"/>
        <v>184.64180000000002</v>
      </c>
      <c r="M86" s="10"/>
      <c r="N86" s="9">
        <f t="shared" si="35"/>
        <v>389.6</v>
      </c>
      <c r="O86" s="9">
        <f t="shared" si="36"/>
        <v>0</v>
      </c>
      <c r="P86" s="11"/>
    </row>
    <row r="87" spans="1:16" ht="16.5" customHeight="1" outlineLevel="2" x14ac:dyDescent="0.15">
      <c r="A87" s="98" t="s">
        <v>402</v>
      </c>
      <c r="B87" s="99" t="s">
        <v>403</v>
      </c>
      <c r="C87" s="9">
        <f t="shared" si="29"/>
        <v>48.60916210942294</v>
      </c>
      <c r="D87" s="9">
        <f>成本明细!E292</f>
        <v>465.4529</v>
      </c>
      <c r="E87" s="9">
        <v>465.45287999999999</v>
      </c>
      <c r="F87" s="9">
        <f>成本明细!F292/10000</f>
        <v>205</v>
      </c>
      <c r="G87" s="9"/>
      <c r="H87" s="9"/>
      <c r="I87" s="9"/>
      <c r="J87" s="9">
        <f t="shared" si="30"/>
        <v>205</v>
      </c>
      <c r="K87" s="9"/>
      <c r="L87" s="9">
        <f t="shared" si="37"/>
        <v>260.4529</v>
      </c>
      <c r="M87" s="10"/>
      <c r="N87" s="9">
        <f t="shared" si="35"/>
        <v>465.4529</v>
      </c>
      <c r="O87" s="9">
        <f t="shared" si="36"/>
        <v>0</v>
      </c>
      <c r="P87" s="11"/>
    </row>
    <row r="88" spans="1:16" ht="16.5" customHeight="1" outlineLevel="1" x14ac:dyDescent="0.15">
      <c r="A88" s="103">
        <v>3.3</v>
      </c>
      <c r="B88" s="104" t="s">
        <v>420</v>
      </c>
      <c r="C88" s="32">
        <f t="shared" ref="C88:F88" si="38">SUM(C89:C96)</f>
        <v>122.67920502662287</v>
      </c>
      <c r="D88" s="32">
        <f t="shared" si="38"/>
        <v>1174.7043000000001</v>
      </c>
      <c r="E88" s="32">
        <v>1174.7043200000001</v>
      </c>
      <c r="F88" s="32">
        <f t="shared" si="38"/>
        <v>104.31959999999999</v>
      </c>
      <c r="G88" s="32">
        <f t="shared" ref="G88:O88" si="39">SUM(G89:G96)</f>
        <v>0</v>
      </c>
      <c r="H88" s="32">
        <f t="shared" si="39"/>
        <v>0</v>
      </c>
      <c r="I88" s="32">
        <f t="shared" si="39"/>
        <v>0</v>
      </c>
      <c r="J88" s="32">
        <f t="shared" si="39"/>
        <v>104.31959999999999</v>
      </c>
      <c r="K88" s="32"/>
      <c r="L88" s="32">
        <f t="shared" si="39"/>
        <v>1070.2859000000001</v>
      </c>
      <c r="M88" s="33"/>
      <c r="N88" s="32">
        <f t="shared" si="39"/>
        <v>1174.6055000000001</v>
      </c>
      <c r="O88" s="32">
        <f t="shared" si="39"/>
        <v>-9.8800000000004218E-2</v>
      </c>
      <c r="P88" s="34"/>
    </row>
    <row r="89" spans="1:16" ht="16.5" customHeight="1" outlineLevel="2" x14ac:dyDescent="0.15">
      <c r="A89" s="98" t="s">
        <v>421</v>
      </c>
      <c r="B89" s="99" t="s">
        <v>422</v>
      </c>
      <c r="C89" s="9">
        <f t="shared" si="29"/>
        <v>2.8197211295802846</v>
      </c>
      <c r="D89" s="9">
        <f>成本明细!E298</f>
        <v>27</v>
      </c>
      <c r="E89" s="9">
        <v>27</v>
      </c>
      <c r="F89" s="9">
        <f>成本明细!F298/10000</f>
        <v>0</v>
      </c>
      <c r="G89" s="9"/>
      <c r="H89" s="9"/>
      <c r="I89" s="9"/>
      <c r="J89" s="9">
        <f t="shared" si="30"/>
        <v>0</v>
      </c>
      <c r="K89" s="9"/>
      <c r="L89" s="9">
        <f>D89-J89</f>
        <v>27</v>
      </c>
      <c r="M89" s="10"/>
      <c r="N89" s="9">
        <f>J89+L89</f>
        <v>27</v>
      </c>
      <c r="O89" s="9">
        <f>N89-D89</f>
        <v>0</v>
      </c>
      <c r="P89" s="11"/>
    </row>
    <row r="90" spans="1:16" ht="16.5" customHeight="1" outlineLevel="2" x14ac:dyDescent="0.15">
      <c r="A90" s="98" t="s">
        <v>423</v>
      </c>
      <c r="B90" s="99" t="s">
        <v>424</v>
      </c>
      <c r="C90" s="9">
        <f t="shared" si="29"/>
        <v>18.265526872725623</v>
      </c>
      <c r="D90" s="9">
        <f>成本明细!E301</f>
        <v>174.9</v>
      </c>
      <c r="E90" s="9">
        <v>174.9</v>
      </c>
      <c r="F90" s="9">
        <f>成本明细!F301/10000</f>
        <v>51.3</v>
      </c>
      <c r="G90" s="9"/>
      <c r="H90" s="9"/>
      <c r="I90" s="9"/>
      <c r="J90" s="9">
        <f t="shared" si="30"/>
        <v>51.3</v>
      </c>
      <c r="K90" s="9"/>
      <c r="L90" s="9">
        <f t="shared" ref="L90:L96" si="40">D90-J90</f>
        <v>123.60000000000001</v>
      </c>
      <c r="M90" s="10"/>
      <c r="N90" s="9">
        <f t="shared" ref="N90:N96" si="41">J90+L90</f>
        <v>174.9</v>
      </c>
      <c r="O90" s="9">
        <f t="shared" ref="O90:O96" si="42">N90-D90</f>
        <v>0</v>
      </c>
      <c r="P90" s="11"/>
    </row>
    <row r="91" spans="1:16" ht="16.5" customHeight="1" outlineLevel="2" x14ac:dyDescent="0.15">
      <c r="A91" s="98" t="s">
        <v>425</v>
      </c>
      <c r="B91" s="99" t="s">
        <v>426</v>
      </c>
      <c r="C91" s="9">
        <f t="shared" si="29"/>
        <v>26.459490267523655</v>
      </c>
      <c r="D91" s="9">
        <f>成本明细!E304</f>
        <v>253.36060000000001</v>
      </c>
      <c r="E91" s="9">
        <v>253.36063999999999</v>
      </c>
      <c r="F91" s="9">
        <f>成本明细!F304/10000</f>
        <v>0</v>
      </c>
      <c r="G91" s="9"/>
      <c r="H91" s="9"/>
      <c r="I91" s="9"/>
      <c r="J91" s="9">
        <f t="shared" si="30"/>
        <v>0</v>
      </c>
      <c r="K91" s="9"/>
      <c r="L91" s="9">
        <f t="shared" si="40"/>
        <v>253.36060000000001</v>
      </c>
      <c r="M91" s="10"/>
      <c r="N91" s="9">
        <f t="shared" si="41"/>
        <v>253.36060000000001</v>
      </c>
      <c r="O91" s="9">
        <f t="shared" si="42"/>
        <v>0</v>
      </c>
      <c r="P91" s="11"/>
    </row>
    <row r="92" spans="1:16" ht="16.5" customHeight="1" outlineLevel="2" x14ac:dyDescent="0.15">
      <c r="A92" s="98" t="s">
        <v>427</v>
      </c>
      <c r="B92" s="99" t="s">
        <v>428</v>
      </c>
      <c r="C92" s="9">
        <f t="shared" si="29"/>
        <v>22.662203152552657</v>
      </c>
      <c r="D92" s="9">
        <f>成本明细!E307</f>
        <v>217</v>
      </c>
      <c r="E92" s="9">
        <v>217</v>
      </c>
      <c r="F92" s="9">
        <f>成本明细!F307/10000</f>
        <v>0</v>
      </c>
      <c r="G92" s="9"/>
      <c r="H92" s="9"/>
      <c r="I92" s="9"/>
      <c r="J92" s="9">
        <f t="shared" si="30"/>
        <v>0</v>
      </c>
      <c r="K92" s="9"/>
      <c r="L92" s="9">
        <f t="shared" si="40"/>
        <v>217</v>
      </c>
      <c r="M92" s="10"/>
      <c r="N92" s="9">
        <f t="shared" si="41"/>
        <v>217</v>
      </c>
      <c r="O92" s="9">
        <f t="shared" si="42"/>
        <v>0</v>
      </c>
      <c r="P92" s="11"/>
    </row>
    <row r="93" spans="1:16" ht="16.5" customHeight="1" outlineLevel="2" x14ac:dyDescent="0.15">
      <c r="A93" s="98" t="s">
        <v>429</v>
      </c>
      <c r="B93" s="99" t="s">
        <v>430</v>
      </c>
      <c r="C93" s="9">
        <f t="shared" si="29"/>
        <v>5.5473731425739778</v>
      </c>
      <c r="D93" s="9">
        <f>成本明细!E310</f>
        <v>53.118400000000001</v>
      </c>
      <c r="E93" s="9">
        <v>53.118400000000001</v>
      </c>
      <c r="F93" s="9">
        <f>成本明细!F310/10000</f>
        <v>53.019599999999997</v>
      </c>
      <c r="G93" s="9"/>
      <c r="H93" s="9"/>
      <c r="I93" s="9"/>
      <c r="J93" s="9">
        <f t="shared" si="30"/>
        <v>53.019599999999997</v>
      </c>
      <c r="K93" s="9"/>
      <c r="L93" s="9">
        <v>0</v>
      </c>
      <c r="M93" s="10"/>
      <c r="N93" s="9">
        <f t="shared" si="41"/>
        <v>53.019599999999997</v>
      </c>
      <c r="O93" s="9">
        <f t="shared" si="42"/>
        <v>-9.8800000000004218E-2</v>
      </c>
      <c r="P93" s="11"/>
    </row>
    <row r="94" spans="1:16" ht="16.5" customHeight="1" outlineLevel="2" x14ac:dyDescent="0.15">
      <c r="A94" s="98" t="s">
        <v>431</v>
      </c>
      <c r="B94" s="105" t="s">
        <v>432</v>
      </c>
      <c r="C94" s="9">
        <f t="shared" si="29"/>
        <v>0</v>
      </c>
      <c r="D94" s="9">
        <f>成本明细!E313</f>
        <v>0</v>
      </c>
      <c r="E94" s="9">
        <v>0</v>
      </c>
      <c r="F94" s="9">
        <f>成本明细!F313/10000</f>
        <v>0</v>
      </c>
      <c r="G94" s="9"/>
      <c r="H94" s="9"/>
      <c r="I94" s="9"/>
      <c r="J94" s="9">
        <f t="shared" si="30"/>
        <v>0</v>
      </c>
      <c r="K94" s="9"/>
      <c r="L94" s="9">
        <v>0</v>
      </c>
      <c r="M94" s="10"/>
      <c r="N94" s="9">
        <f t="shared" si="41"/>
        <v>0</v>
      </c>
      <c r="O94" s="9">
        <f t="shared" si="42"/>
        <v>0</v>
      </c>
      <c r="P94" s="11" t="s">
        <v>433</v>
      </c>
    </row>
    <row r="95" spans="1:16" ht="16.5" customHeight="1" outlineLevel="2" x14ac:dyDescent="0.15">
      <c r="A95" s="98" t="s">
        <v>434</v>
      </c>
      <c r="B95" s="99" t="s">
        <v>435</v>
      </c>
      <c r="C95" s="9">
        <f t="shared" si="29"/>
        <v>15.67347211582997</v>
      </c>
      <c r="D95" s="9">
        <f>成本明细!E316</f>
        <v>150.08000000000001</v>
      </c>
      <c r="E95" s="9">
        <v>150.08000000000001</v>
      </c>
      <c r="F95" s="9">
        <f>成本明细!F316/10000</f>
        <v>0</v>
      </c>
      <c r="G95" s="9"/>
      <c r="H95" s="9"/>
      <c r="I95" s="9"/>
      <c r="J95" s="9">
        <f t="shared" si="30"/>
        <v>0</v>
      </c>
      <c r="K95" s="9"/>
      <c r="L95" s="9">
        <f t="shared" si="40"/>
        <v>150.08000000000001</v>
      </c>
      <c r="M95" s="10"/>
      <c r="N95" s="9">
        <f t="shared" si="41"/>
        <v>150.08000000000001</v>
      </c>
      <c r="O95" s="9">
        <f t="shared" si="42"/>
        <v>0</v>
      </c>
      <c r="P95" s="11"/>
    </row>
    <row r="96" spans="1:16" ht="16.5" customHeight="1" outlineLevel="2" x14ac:dyDescent="0.15">
      <c r="A96" s="98" t="s">
        <v>436</v>
      </c>
      <c r="B96" s="99" t="s">
        <v>437</v>
      </c>
      <c r="C96" s="9">
        <f t="shared" si="29"/>
        <v>31.251418345836708</v>
      </c>
      <c r="D96" s="9">
        <f>成本明细!E319</f>
        <v>299.24529999999999</v>
      </c>
      <c r="E96" s="9">
        <v>299.24527999999998</v>
      </c>
      <c r="F96" s="9">
        <f>成本明细!F319/10000</f>
        <v>0</v>
      </c>
      <c r="G96" s="9"/>
      <c r="H96" s="9"/>
      <c r="I96" s="9"/>
      <c r="J96" s="9">
        <f t="shared" si="30"/>
        <v>0</v>
      </c>
      <c r="K96" s="9"/>
      <c r="L96" s="9">
        <f t="shared" si="40"/>
        <v>299.24529999999999</v>
      </c>
      <c r="M96" s="10"/>
      <c r="N96" s="9">
        <f t="shared" si="41"/>
        <v>299.24529999999999</v>
      </c>
      <c r="O96" s="9">
        <f t="shared" si="42"/>
        <v>0</v>
      </c>
      <c r="P96" s="11"/>
    </row>
    <row r="97" spans="1:16" ht="16.5" customHeight="1" outlineLevel="1" x14ac:dyDescent="0.15">
      <c r="A97" s="103">
        <v>3.4</v>
      </c>
      <c r="B97" s="104" t="s">
        <v>458</v>
      </c>
      <c r="C97" s="32">
        <f t="shared" ref="C97:O97" si="43">SUM(C98:C100)</f>
        <v>524.38269255170667</v>
      </c>
      <c r="D97" s="32">
        <f t="shared" si="43"/>
        <v>5021.1818999999996</v>
      </c>
      <c r="E97" s="32">
        <v>5410.2420821262003</v>
      </c>
      <c r="F97" s="32">
        <f t="shared" si="43"/>
        <v>3157.0059000000001</v>
      </c>
      <c r="G97" s="32">
        <f t="shared" si="43"/>
        <v>0</v>
      </c>
      <c r="H97" s="32">
        <f t="shared" si="43"/>
        <v>0</v>
      </c>
      <c r="I97" s="32">
        <f t="shared" si="43"/>
        <v>0</v>
      </c>
      <c r="J97" s="32">
        <f t="shared" si="43"/>
        <v>2538.9867000000004</v>
      </c>
      <c r="K97" s="32"/>
      <c r="L97" s="32">
        <f t="shared" si="43"/>
        <v>3341.2521000000002</v>
      </c>
      <c r="M97" s="33"/>
      <c r="N97" s="32">
        <f t="shared" si="43"/>
        <v>5880.2388000000001</v>
      </c>
      <c r="O97" s="32">
        <f t="shared" si="43"/>
        <v>859.0569000000005</v>
      </c>
      <c r="P97" s="34"/>
    </row>
    <row r="98" spans="1:16" ht="16.5" customHeight="1" outlineLevel="2" x14ac:dyDescent="0.15">
      <c r="A98" s="98" t="s">
        <v>459</v>
      </c>
      <c r="B98" s="100" t="s">
        <v>460</v>
      </c>
      <c r="C98" s="9">
        <f t="shared" si="29"/>
        <v>376.7230140939061</v>
      </c>
      <c r="D98" s="9">
        <f>成本明细!E323</f>
        <v>3607.2791999999999</v>
      </c>
      <c r="E98" s="9">
        <v>4120.7898232367997</v>
      </c>
      <c r="F98" s="9">
        <f>成本明细!F323/10000</f>
        <v>1938.8094000000001</v>
      </c>
      <c r="G98" s="9"/>
      <c r="H98" s="9"/>
      <c r="I98" s="9"/>
      <c r="J98" s="9">
        <f>F98+G98+H98+I98-828.0192+210</f>
        <v>1320.7902000000001</v>
      </c>
      <c r="K98" s="9"/>
      <c r="L98" s="9">
        <f>900+300+800+800</f>
        <v>2800</v>
      </c>
      <c r="M98" s="10" t="s">
        <v>461</v>
      </c>
      <c r="N98" s="9">
        <f t="shared" ref="N98:N100" si="44">J98+L98</f>
        <v>4120.7902000000004</v>
      </c>
      <c r="O98" s="9">
        <f t="shared" ref="O98:O100" si="45">N98-D98</f>
        <v>513.51100000000042</v>
      </c>
      <c r="P98" s="11"/>
    </row>
    <row r="99" spans="1:16" ht="16.5" customHeight="1" outlineLevel="2" x14ac:dyDescent="0.15">
      <c r="A99" s="98" t="s">
        <v>462</v>
      </c>
      <c r="B99" s="99" t="s">
        <v>463</v>
      </c>
      <c r="C99" s="9">
        <f t="shared" si="29"/>
        <v>114.10999940994725</v>
      </c>
      <c r="D99" s="9">
        <f>成本明细!E328</f>
        <v>1092.6505999999999</v>
      </c>
      <c r="E99" s="9">
        <v>968.20017200999996</v>
      </c>
      <c r="F99" s="9">
        <f>成本明细!F328/10000</f>
        <v>908.19650000000001</v>
      </c>
      <c r="G99" s="9"/>
      <c r="H99" s="9"/>
      <c r="I99" s="9"/>
      <c r="J99" s="9">
        <f t="shared" si="30"/>
        <v>908.19650000000001</v>
      </c>
      <c r="K99" s="9"/>
      <c r="L99" s="9">
        <f>495+35</f>
        <v>530</v>
      </c>
      <c r="M99" s="10" t="s">
        <v>464</v>
      </c>
      <c r="N99" s="9">
        <f t="shared" si="44"/>
        <v>1438.1965</v>
      </c>
      <c r="O99" s="9">
        <f t="shared" si="45"/>
        <v>345.54590000000007</v>
      </c>
      <c r="P99" s="11"/>
    </row>
    <row r="100" spans="1:16" ht="16.5" customHeight="1" outlineLevel="2" x14ac:dyDescent="0.15">
      <c r="A100" s="98" t="s">
        <v>465</v>
      </c>
      <c r="B100" s="99" t="s">
        <v>466</v>
      </c>
      <c r="C100" s="9">
        <f t="shared" si="29"/>
        <v>33.549679047853274</v>
      </c>
      <c r="D100" s="9">
        <f>成本明细!E333</f>
        <v>321.25209999999998</v>
      </c>
      <c r="E100" s="9">
        <v>321.2520868794</v>
      </c>
      <c r="F100" s="9">
        <f>成本明细!F333/10000</f>
        <v>310</v>
      </c>
      <c r="G100" s="9"/>
      <c r="H100" s="9"/>
      <c r="I100" s="9"/>
      <c r="J100" s="9">
        <f t="shared" si="30"/>
        <v>310</v>
      </c>
      <c r="K100" s="9"/>
      <c r="L100" s="9">
        <f>D100-J100</f>
        <v>11.252099999999984</v>
      </c>
      <c r="M100" s="35" t="s">
        <v>467</v>
      </c>
      <c r="N100" s="9">
        <f t="shared" si="44"/>
        <v>321.25209999999998</v>
      </c>
      <c r="O100" s="9">
        <f t="shared" si="45"/>
        <v>0</v>
      </c>
      <c r="P100" s="11"/>
    </row>
    <row r="101" spans="1:16" ht="16.5" customHeight="1" outlineLevel="1" x14ac:dyDescent="0.15">
      <c r="A101" s="103">
        <v>3.5</v>
      </c>
      <c r="B101" s="104" t="s">
        <v>477</v>
      </c>
      <c r="C101" s="32">
        <f t="shared" ref="C101:F101" si="46">SUM(C102:C103)</f>
        <v>28.832055843010458</v>
      </c>
      <c r="D101" s="32">
        <f t="shared" si="46"/>
        <v>276.07889999999998</v>
      </c>
      <c r="E101" s="32">
        <v>276.07890600000002</v>
      </c>
      <c r="F101" s="32">
        <f t="shared" si="46"/>
        <v>257.12569999999999</v>
      </c>
      <c r="G101" s="32">
        <f>SUM(G103:G103)</f>
        <v>0</v>
      </c>
      <c r="H101" s="32">
        <f t="shared" ref="H101:O101" si="47">SUM(H102:H103)</f>
        <v>0</v>
      </c>
      <c r="I101" s="32">
        <f t="shared" si="47"/>
        <v>0</v>
      </c>
      <c r="J101" s="32" t="e">
        <f t="shared" si="47"/>
        <v>#REF!</v>
      </c>
      <c r="K101" s="32"/>
      <c r="L101" s="32">
        <f t="shared" si="47"/>
        <v>18</v>
      </c>
      <c r="M101" s="33"/>
      <c r="N101" s="32" t="e">
        <f t="shared" si="47"/>
        <v>#REF!</v>
      </c>
      <c r="O101" s="32" t="e">
        <f t="shared" si="47"/>
        <v>#REF!</v>
      </c>
      <c r="P101" s="34"/>
    </row>
    <row r="102" spans="1:16" ht="16.5" customHeight="1" outlineLevel="2" x14ac:dyDescent="0.15">
      <c r="A102" s="98" t="s">
        <v>478</v>
      </c>
      <c r="B102" s="99" t="s">
        <v>479</v>
      </c>
      <c r="C102" s="9">
        <f t="shared" si="29"/>
        <v>26.9522417566236</v>
      </c>
      <c r="D102" s="9">
        <f>成本明细!E338</f>
        <v>258.07889999999998</v>
      </c>
      <c r="E102" s="9">
        <v>258.07890600000002</v>
      </c>
      <c r="F102" s="9">
        <f>成本明细!F338/10000</f>
        <v>257.12569999999999</v>
      </c>
      <c r="H102" s="9"/>
      <c r="I102" s="9"/>
      <c r="J102" s="9">
        <f>F102+G103+H102+I102</f>
        <v>257.12569999999999</v>
      </c>
      <c r="K102" s="9"/>
      <c r="L102" s="9">
        <v>0</v>
      </c>
      <c r="M102" s="10"/>
      <c r="N102" s="9">
        <f t="shared" ref="N102:N104" si="48">J102+L102</f>
        <v>257.12569999999999</v>
      </c>
      <c r="O102" s="9">
        <f t="shared" ref="O102:O104" si="49">N102-D102</f>
        <v>-0.95319999999998117</v>
      </c>
      <c r="P102" s="11"/>
    </row>
    <row r="103" spans="1:16" ht="16.5" customHeight="1" outlineLevel="2" x14ac:dyDescent="0.15">
      <c r="A103" s="98" t="s">
        <v>480</v>
      </c>
      <c r="B103" s="99" t="s">
        <v>481</v>
      </c>
      <c r="C103" s="9">
        <f t="shared" si="29"/>
        <v>1.8798140863868564</v>
      </c>
      <c r="D103" s="9">
        <f>成本明细!E340</f>
        <v>18</v>
      </c>
      <c r="E103" s="9">
        <v>18</v>
      </c>
      <c r="F103" s="9">
        <f>成本明细!F340/10000</f>
        <v>0</v>
      </c>
      <c r="G103" s="9"/>
      <c r="H103" s="9"/>
      <c r="I103" s="9"/>
      <c r="J103" s="9" t="e">
        <f>F103+#REF!+H103+I103</f>
        <v>#REF!</v>
      </c>
      <c r="K103" s="9"/>
      <c r="L103" s="9">
        <v>18</v>
      </c>
      <c r="M103" s="10" t="s">
        <v>482</v>
      </c>
      <c r="N103" s="9" t="e">
        <f t="shared" si="48"/>
        <v>#REF!</v>
      </c>
      <c r="O103" s="9" t="e">
        <f t="shared" si="49"/>
        <v>#REF!</v>
      </c>
      <c r="P103" s="11"/>
    </row>
    <row r="104" spans="1:16" ht="16.5" customHeight="1" outlineLevel="1" x14ac:dyDescent="0.15">
      <c r="A104" s="103">
        <v>3.6</v>
      </c>
      <c r="B104" s="104" t="s">
        <v>489</v>
      </c>
      <c r="C104" s="32">
        <f t="shared" si="29"/>
        <v>11.880560790315617</v>
      </c>
      <c r="D104" s="32">
        <f>成本明细!E344</f>
        <v>113.76130000000001</v>
      </c>
      <c r="E104" s="32">
        <v>248.13657229145599</v>
      </c>
      <c r="F104" s="32">
        <f>成本明细!F344</f>
        <v>0</v>
      </c>
      <c r="G104" s="32"/>
      <c r="H104" s="32"/>
      <c r="I104" s="32"/>
      <c r="J104" s="32">
        <f t="shared" si="30"/>
        <v>0</v>
      </c>
      <c r="K104" s="32"/>
      <c r="L104" s="32">
        <v>300</v>
      </c>
      <c r="M104" s="33" t="s">
        <v>490</v>
      </c>
      <c r="N104" s="32">
        <f t="shared" si="48"/>
        <v>300</v>
      </c>
      <c r="O104" s="32">
        <f t="shared" si="49"/>
        <v>186.23869999999999</v>
      </c>
      <c r="P104" s="34"/>
    </row>
    <row r="105" spans="1:16" ht="16.5" customHeight="1" x14ac:dyDescent="0.15">
      <c r="A105" s="96" t="s">
        <v>502</v>
      </c>
      <c r="B105" s="97" t="s">
        <v>503</v>
      </c>
      <c r="C105" s="3">
        <f t="shared" ref="C105:O105" si="50">C106+C114+C124+C129+C132+C136+C143+C147+C151</f>
        <v>708.05444985935355</v>
      </c>
      <c r="D105" s="3">
        <f t="shared" si="50"/>
        <v>6779.9151999999985</v>
      </c>
      <c r="E105" s="3">
        <v>6905.5237545263999</v>
      </c>
      <c r="F105" s="3">
        <f t="shared" si="50"/>
        <v>4333.7217229999997</v>
      </c>
      <c r="G105" s="3">
        <f t="shared" si="50"/>
        <v>0</v>
      </c>
      <c r="H105" s="3">
        <f t="shared" si="50"/>
        <v>0</v>
      </c>
      <c r="I105" s="3">
        <f t="shared" si="50"/>
        <v>0</v>
      </c>
      <c r="J105" s="3">
        <f t="shared" si="50"/>
        <v>4333.7217229999997</v>
      </c>
      <c r="K105" s="3"/>
      <c r="L105" s="3">
        <f t="shared" si="50"/>
        <v>2471.6201010000004</v>
      </c>
      <c r="M105" s="4"/>
      <c r="N105" s="3">
        <f t="shared" si="50"/>
        <v>6805.3418239999992</v>
      </c>
      <c r="O105" s="3">
        <f t="shared" si="50"/>
        <v>25.426624000000182</v>
      </c>
      <c r="P105" s="5"/>
    </row>
    <row r="106" spans="1:16" ht="16.5" customHeight="1" outlineLevel="1" x14ac:dyDescent="0.15">
      <c r="A106" s="103">
        <v>4.0999999999999996</v>
      </c>
      <c r="B106" s="104" t="s">
        <v>504</v>
      </c>
      <c r="C106" s="32">
        <f t="shared" ref="C106:F106" si="51">SUM(C107:C113)</f>
        <v>167.33098252138421</v>
      </c>
      <c r="D106" s="32">
        <f t="shared" si="51"/>
        <v>1602.2636</v>
      </c>
      <c r="E106" s="32">
        <v>1602.2636107999999</v>
      </c>
      <c r="F106" s="32">
        <f t="shared" si="51"/>
        <v>700.67900000000009</v>
      </c>
      <c r="G106" s="32">
        <f t="shared" ref="G106:O106" si="52">SUM(G107:G113)</f>
        <v>0</v>
      </c>
      <c r="H106" s="32">
        <f t="shared" si="52"/>
        <v>0</v>
      </c>
      <c r="I106" s="32">
        <f t="shared" si="52"/>
        <v>0</v>
      </c>
      <c r="J106" s="32">
        <f t="shared" si="52"/>
        <v>700.67900000000009</v>
      </c>
      <c r="K106" s="32"/>
      <c r="L106" s="32">
        <f t="shared" si="52"/>
        <v>901.58459999999991</v>
      </c>
      <c r="M106" s="33"/>
      <c r="N106" s="32">
        <f t="shared" si="52"/>
        <v>1602.2636</v>
      </c>
      <c r="O106" s="32">
        <f t="shared" si="52"/>
        <v>0</v>
      </c>
      <c r="P106" s="34"/>
    </row>
    <row r="107" spans="1:16" ht="16.5" customHeight="1" outlineLevel="2" x14ac:dyDescent="0.15">
      <c r="A107" s="98" t="s">
        <v>505</v>
      </c>
      <c r="B107" s="99" t="s">
        <v>506</v>
      </c>
      <c r="C107" s="9">
        <f t="shared" ref="C107:C163" si="53">D107/$D$4*10000</f>
        <v>129.56915183310593</v>
      </c>
      <c r="D107" s="9">
        <f>成本明细!E351</f>
        <v>1240.6784</v>
      </c>
      <c r="E107" s="9">
        <v>1240.6784078000001</v>
      </c>
      <c r="F107" s="9">
        <f>成本明细!F351/10000</f>
        <v>666.09900000000005</v>
      </c>
      <c r="G107" s="9"/>
      <c r="H107" s="9"/>
      <c r="I107" s="9"/>
      <c r="J107" s="9">
        <f t="shared" ref="J107:J163" si="54">F107+G107+H107+I107</f>
        <v>666.09900000000005</v>
      </c>
      <c r="K107" s="9"/>
      <c r="L107" s="9">
        <f>D107-J107</f>
        <v>574.57939999999996</v>
      </c>
      <c r="M107" s="10" t="s">
        <v>256</v>
      </c>
      <c r="N107" s="9">
        <f>J107+L107</f>
        <v>1240.6784</v>
      </c>
      <c r="O107" s="9">
        <f>N107-D107</f>
        <v>0</v>
      </c>
      <c r="P107" s="11"/>
    </row>
    <row r="108" spans="1:16" ht="16.5" customHeight="1" outlineLevel="2" x14ac:dyDescent="0.15">
      <c r="A108" s="98" t="s">
        <v>507</v>
      </c>
      <c r="B108" s="99" t="s">
        <v>508</v>
      </c>
      <c r="C108" s="9">
        <f t="shared" si="53"/>
        <v>0</v>
      </c>
      <c r="D108" s="9">
        <f>成本明细!E354</f>
        <v>0</v>
      </c>
      <c r="E108" s="9">
        <v>0</v>
      </c>
      <c r="F108" s="9">
        <f>成本明细!F354/10000</f>
        <v>0</v>
      </c>
      <c r="G108" s="9"/>
      <c r="H108" s="9"/>
      <c r="I108" s="9"/>
      <c r="J108" s="9">
        <f t="shared" si="54"/>
        <v>0</v>
      </c>
      <c r="K108" s="9"/>
      <c r="L108" s="9">
        <f t="shared" ref="L108:L131" si="55">D108-J108</f>
        <v>0</v>
      </c>
      <c r="M108" s="10"/>
      <c r="N108" s="9">
        <f t="shared" ref="N108:N154" si="56">J108+L108</f>
        <v>0</v>
      </c>
      <c r="O108" s="9">
        <f t="shared" ref="O108:O154" si="57">N108-D108</f>
        <v>0</v>
      </c>
      <c r="P108" s="11"/>
    </row>
    <row r="109" spans="1:16" ht="16.5" customHeight="1" outlineLevel="2" x14ac:dyDescent="0.15">
      <c r="A109" s="98" t="s">
        <v>509</v>
      </c>
      <c r="B109" s="99" t="s">
        <v>510</v>
      </c>
      <c r="C109" s="9">
        <f t="shared" si="53"/>
        <v>1.0853628798334067</v>
      </c>
      <c r="D109" s="9">
        <f>成本明细!E357</f>
        <v>10.392799999999999</v>
      </c>
      <c r="E109" s="9">
        <v>10.392825</v>
      </c>
      <c r="F109" s="9">
        <f>成本明细!F357/10000</f>
        <v>0</v>
      </c>
      <c r="G109" s="9"/>
      <c r="H109" s="9"/>
      <c r="I109" s="9"/>
      <c r="J109" s="9">
        <f t="shared" si="54"/>
        <v>0</v>
      </c>
      <c r="K109" s="9"/>
      <c r="L109" s="9">
        <f t="shared" si="55"/>
        <v>10.392799999999999</v>
      </c>
      <c r="M109" s="10" t="s">
        <v>256</v>
      </c>
      <c r="N109" s="9">
        <f t="shared" si="56"/>
        <v>10.392799999999999</v>
      </c>
      <c r="O109" s="9">
        <f t="shared" si="57"/>
        <v>0</v>
      </c>
      <c r="P109" s="11"/>
    </row>
    <row r="110" spans="1:16" ht="16.5" customHeight="1" outlineLevel="2" x14ac:dyDescent="0.15">
      <c r="A110" s="98" t="s">
        <v>511</v>
      </c>
      <c r="B110" s="99" t="s">
        <v>512</v>
      </c>
      <c r="C110" s="9">
        <f t="shared" si="53"/>
        <v>1.4317290686617761</v>
      </c>
      <c r="D110" s="9">
        <f>成本明细!E360</f>
        <v>13.7094</v>
      </c>
      <c r="E110" s="9">
        <v>13.709441999999999</v>
      </c>
      <c r="F110" s="9">
        <f>成本明细!F360/10000</f>
        <v>0</v>
      </c>
      <c r="G110" s="9"/>
      <c r="H110" s="9"/>
      <c r="I110" s="9"/>
      <c r="J110" s="9">
        <f t="shared" si="54"/>
        <v>0</v>
      </c>
      <c r="K110" s="9"/>
      <c r="L110" s="9">
        <f t="shared" si="55"/>
        <v>13.7094</v>
      </c>
      <c r="M110" s="10" t="s">
        <v>256</v>
      </c>
      <c r="N110" s="9">
        <f t="shared" si="56"/>
        <v>13.7094</v>
      </c>
      <c r="O110" s="9">
        <f t="shared" si="57"/>
        <v>0</v>
      </c>
      <c r="P110" s="11"/>
    </row>
    <row r="111" spans="1:16" ht="16.5" customHeight="1" outlineLevel="2" x14ac:dyDescent="0.15">
      <c r="A111" s="98" t="s">
        <v>513</v>
      </c>
      <c r="B111" s="99" t="s">
        <v>514</v>
      </c>
      <c r="C111" s="9">
        <f t="shared" si="53"/>
        <v>9.7218345105669055</v>
      </c>
      <c r="D111" s="9">
        <f>成本明细!E363</f>
        <v>93.090599999999995</v>
      </c>
      <c r="E111" s="9">
        <v>93.090575999999999</v>
      </c>
      <c r="F111" s="9">
        <f>成本明细!F363/10000</f>
        <v>0</v>
      </c>
      <c r="G111" s="9"/>
      <c r="H111" s="9"/>
      <c r="I111" s="9"/>
      <c r="J111" s="9">
        <f t="shared" si="54"/>
        <v>0</v>
      </c>
      <c r="K111" s="9"/>
      <c r="L111" s="9">
        <f t="shared" si="55"/>
        <v>93.090599999999995</v>
      </c>
      <c r="M111" s="10" t="s">
        <v>256</v>
      </c>
      <c r="N111" s="9">
        <f t="shared" si="56"/>
        <v>93.090599999999995</v>
      </c>
      <c r="O111" s="9">
        <f t="shared" si="57"/>
        <v>0</v>
      </c>
      <c r="P111" s="11"/>
    </row>
    <row r="112" spans="1:16" ht="45" customHeight="1" outlineLevel="2" x14ac:dyDescent="0.15">
      <c r="A112" s="98" t="s">
        <v>515</v>
      </c>
      <c r="B112" s="99" t="s">
        <v>516</v>
      </c>
      <c r="C112" s="9">
        <f t="shared" si="53"/>
        <v>4.8609172552834528</v>
      </c>
      <c r="D112" s="9">
        <f>成本明细!E366</f>
        <v>46.545299999999997</v>
      </c>
      <c r="E112" s="9">
        <v>46.545287999999999</v>
      </c>
      <c r="F112" s="9">
        <f>成本明细!F366/10000</f>
        <v>34.58</v>
      </c>
      <c r="G112" s="9"/>
      <c r="H112" s="9"/>
      <c r="I112" s="9"/>
      <c r="J112" s="9">
        <f t="shared" si="54"/>
        <v>34.58</v>
      </c>
      <c r="K112" s="9"/>
      <c r="L112" s="9">
        <f t="shared" si="55"/>
        <v>11.965299999999999</v>
      </c>
      <c r="M112" s="10" t="s">
        <v>517</v>
      </c>
      <c r="N112" s="9">
        <f t="shared" si="56"/>
        <v>46.545299999999997</v>
      </c>
      <c r="O112" s="9">
        <f t="shared" si="57"/>
        <v>0</v>
      </c>
      <c r="P112" s="11"/>
    </row>
    <row r="113" spans="1:16" ht="16.5" customHeight="1" outlineLevel="2" x14ac:dyDescent="0.15">
      <c r="A113" s="98" t="s">
        <v>518</v>
      </c>
      <c r="B113" s="99" t="s">
        <v>519</v>
      </c>
      <c r="C113" s="9">
        <f t="shared" si="53"/>
        <v>20.661986973932724</v>
      </c>
      <c r="D113" s="9">
        <f>成本明细!E370</f>
        <v>197.84710000000001</v>
      </c>
      <c r="E113" s="9">
        <v>197.847072</v>
      </c>
      <c r="F113" s="9">
        <f>成本明细!F370/10000</f>
        <v>0</v>
      </c>
      <c r="G113" s="9"/>
      <c r="H113" s="9"/>
      <c r="I113" s="9"/>
      <c r="J113" s="9">
        <f t="shared" si="54"/>
        <v>0</v>
      </c>
      <c r="K113" s="9"/>
      <c r="L113" s="9">
        <f t="shared" si="55"/>
        <v>197.84710000000001</v>
      </c>
      <c r="M113" s="10" t="s">
        <v>256</v>
      </c>
      <c r="N113" s="9">
        <f t="shared" si="56"/>
        <v>197.84710000000001</v>
      </c>
      <c r="O113" s="9">
        <f t="shared" si="57"/>
        <v>0</v>
      </c>
      <c r="P113" s="11"/>
    </row>
    <row r="114" spans="1:16" ht="16.5" customHeight="1" outlineLevel="1" x14ac:dyDescent="0.15">
      <c r="A114" s="103">
        <v>4.2</v>
      </c>
      <c r="B114" s="104" t="s">
        <v>542</v>
      </c>
      <c r="C114" s="32">
        <f t="shared" ref="C114:O114" si="58">SUM(C115:C123)</f>
        <v>110.32040908931886</v>
      </c>
      <c r="D114" s="32">
        <f t="shared" si="58"/>
        <v>1056.3637000000001</v>
      </c>
      <c r="E114" s="32">
        <v>1056.3636383264</v>
      </c>
      <c r="F114" s="32">
        <f t="shared" si="58"/>
        <v>758.12034599999993</v>
      </c>
      <c r="G114" s="32">
        <f t="shared" si="58"/>
        <v>0</v>
      </c>
      <c r="H114" s="32">
        <f t="shared" si="58"/>
        <v>0</v>
      </c>
      <c r="I114" s="32">
        <f t="shared" si="58"/>
        <v>0</v>
      </c>
      <c r="J114" s="32">
        <f t="shared" si="58"/>
        <v>758.12034599999993</v>
      </c>
      <c r="K114" s="32"/>
      <c r="L114" s="32">
        <f t="shared" si="58"/>
        <v>298.24335400000007</v>
      </c>
      <c r="M114" s="33"/>
      <c r="N114" s="32">
        <f t="shared" si="58"/>
        <v>1056.3637000000001</v>
      </c>
      <c r="O114" s="32">
        <f t="shared" si="58"/>
        <v>0</v>
      </c>
      <c r="P114" s="34"/>
    </row>
    <row r="115" spans="1:16" ht="16.5" customHeight="1" outlineLevel="2" x14ac:dyDescent="0.15">
      <c r="A115" s="98" t="s">
        <v>543</v>
      </c>
      <c r="B115" s="99" t="s">
        <v>544</v>
      </c>
      <c r="C115" s="9">
        <f t="shared" si="53"/>
        <v>38.816907674497664</v>
      </c>
      <c r="D115" s="9">
        <f>成本明细!E374</f>
        <v>371.68799999999999</v>
      </c>
      <c r="E115" s="9">
        <v>371.68800570000002</v>
      </c>
      <c r="F115" s="9">
        <f>成本明细!F374/10000</f>
        <v>188.894046</v>
      </c>
      <c r="G115" s="9"/>
      <c r="H115" s="9"/>
      <c r="I115" s="9"/>
      <c r="J115" s="9">
        <f t="shared" si="54"/>
        <v>188.894046</v>
      </c>
      <c r="K115" s="9"/>
      <c r="L115" s="9">
        <f t="shared" si="55"/>
        <v>182.79395399999999</v>
      </c>
      <c r="M115" s="10" t="s">
        <v>256</v>
      </c>
      <c r="N115" s="9">
        <f t="shared" si="56"/>
        <v>371.68799999999999</v>
      </c>
      <c r="O115" s="9">
        <f t="shared" si="57"/>
        <v>0</v>
      </c>
      <c r="P115" s="11"/>
    </row>
    <row r="116" spans="1:16" ht="16.5" customHeight="1" outlineLevel="2" x14ac:dyDescent="0.15">
      <c r="A116" s="98" t="s">
        <v>545</v>
      </c>
      <c r="B116" s="99" t="s">
        <v>546</v>
      </c>
      <c r="C116" s="9">
        <f t="shared" si="53"/>
        <v>32.560969942294932</v>
      </c>
      <c r="D116" s="9">
        <f>成本明细!E377</f>
        <v>311.78480000000002</v>
      </c>
      <c r="E116" s="9">
        <v>311.78474999999997</v>
      </c>
      <c r="F116" s="9">
        <f>成本明细!F377/10000-F117-F118-F125-F126-F127</f>
        <v>185.74999999999994</v>
      </c>
      <c r="G116" s="9"/>
      <c r="H116" s="9"/>
      <c r="I116" s="9"/>
      <c r="J116" s="9">
        <f t="shared" si="54"/>
        <v>185.74999999999994</v>
      </c>
      <c r="K116" s="9"/>
      <c r="L116" s="9">
        <f t="shared" si="55"/>
        <v>126.03480000000008</v>
      </c>
      <c r="M116" s="10" t="s">
        <v>256</v>
      </c>
      <c r="N116" s="9">
        <f t="shared" si="56"/>
        <v>311.78480000000002</v>
      </c>
      <c r="O116" s="9">
        <f t="shared" si="57"/>
        <v>0</v>
      </c>
      <c r="P116" s="11"/>
    </row>
    <row r="117" spans="1:16" ht="16.5" customHeight="1" outlineLevel="2" x14ac:dyDescent="0.15">
      <c r="A117" s="98" t="s">
        <v>547</v>
      </c>
      <c r="B117" s="99" t="s">
        <v>548</v>
      </c>
      <c r="C117" s="9">
        <f t="shared" si="53"/>
        <v>9.9228075232248418</v>
      </c>
      <c r="D117" s="9">
        <f>成本明细!E380</f>
        <v>95.015000000000001</v>
      </c>
      <c r="E117" s="9">
        <v>95.015000000000001</v>
      </c>
      <c r="F117" s="9">
        <v>56.575000000000003</v>
      </c>
      <c r="G117" s="9"/>
      <c r="H117" s="9"/>
      <c r="I117" s="9"/>
      <c r="J117" s="9">
        <f t="shared" si="54"/>
        <v>56.575000000000003</v>
      </c>
      <c r="K117" s="9"/>
      <c r="L117" s="9">
        <f t="shared" si="55"/>
        <v>38.44</v>
      </c>
      <c r="M117" s="10" t="s">
        <v>256</v>
      </c>
      <c r="N117" s="9">
        <f t="shared" si="56"/>
        <v>95.015000000000001</v>
      </c>
      <c r="O117" s="9">
        <f t="shared" si="57"/>
        <v>0</v>
      </c>
      <c r="P117" s="11"/>
    </row>
    <row r="118" spans="1:16" ht="16.5" customHeight="1" outlineLevel="2" x14ac:dyDescent="0.15">
      <c r="A118" s="98" t="s">
        <v>549</v>
      </c>
      <c r="B118" s="99" t="s">
        <v>550</v>
      </c>
      <c r="C118" s="9">
        <f t="shared" si="53"/>
        <v>5.4268248425786245</v>
      </c>
      <c r="D118" s="9">
        <f>成本明细!E383</f>
        <v>51.964100000000002</v>
      </c>
      <c r="E118" s="9">
        <v>51.964125000000003</v>
      </c>
      <c r="F118" s="9">
        <v>25</v>
      </c>
      <c r="G118" s="9"/>
      <c r="H118" s="9"/>
      <c r="I118" s="9"/>
      <c r="J118" s="9">
        <f t="shared" si="54"/>
        <v>25</v>
      </c>
      <c r="K118" s="9"/>
      <c r="L118" s="9">
        <f t="shared" si="55"/>
        <v>26.964100000000002</v>
      </c>
      <c r="M118" s="10" t="s">
        <v>256</v>
      </c>
      <c r="N118" s="9">
        <f t="shared" si="56"/>
        <v>51.964100000000002</v>
      </c>
      <c r="O118" s="9">
        <f t="shared" si="57"/>
        <v>0</v>
      </c>
      <c r="P118" s="11"/>
    </row>
    <row r="119" spans="1:16" ht="16.5" customHeight="1" outlineLevel="2" x14ac:dyDescent="0.15">
      <c r="A119" s="98" t="s">
        <v>551</v>
      </c>
      <c r="B119" s="99" t="s">
        <v>552</v>
      </c>
      <c r="C119" s="9">
        <f t="shared" si="53"/>
        <v>2.8325769692488527</v>
      </c>
      <c r="D119" s="9">
        <f>成本明细!E386</f>
        <v>27.123100000000001</v>
      </c>
      <c r="E119" s="9">
        <v>27.1231029498</v>
      </c>
      <c r="F119" s="9">
        <f>成本明细!F386/10000</f>
        <v>27.123000000000001</v>
      </c>
      <c r="G119" s="9"/>
      <c r="H119" s="9"/>
      <c r="I119" s="9"/>
      <c r="J119" s="9">
        <f t="shared" si="54"/>
        <v>27.123000000000001</v>
      </c>
      <c r="K119" s="9"/>
      <c r="L119" s="9">
        <f t="shared" si="55"/>
        <v>9.9999999999766942E-5</v>
      </c>
      <c r="M119" s="10"/>
      <c r="N119" s="9">
        <f t="shared" si="56"/>
        <v>27.123100000000001</v>
      </c>
      <c r="O119" s="9">
        <f t="shared" si="57"/>
        <v>0</v>
      </c>
      <c r="P119" s="11"/>
    </row>
    <row r="120" spans="1:16" ht="16.5" customHeight="1" outlineLevel="2" x14ac:dyDescent="0.15">
      <c r="A120" s="98" t="s">
        <v>553</v>
      </c>
      <c r="B120" s="99" t="s">
        <v>554</v>
      </c>
      <c r="C120" s="9">
        <f t="shared" si="53"/>
        <v>5.5326897058769777</v>
      </c>
      <c r="D120" s="9">
        <f>成本明细!E390</f>
        <v>52.977800000000002</v>
      </c>
      <c r="E120" s="9">
        <v>52.977846801600002</v>
      </c>
      <c r="F120" s="9">
        <f>成本明细!F390/10000</f>
        <v>52.978299999999997</v>
      </c>
      <c r="G120" s="9"/>
      <c r="H120" s="9"/>
      <c r="I120" s="9"/>
      <c r="J120" s="9">
        <f t="shared" si="54"/>
        <v>52.978299999999997</v>
      </c>
      <c r="K120" s="9"/>
      <c r="L120" s="9">
        <f t="shared" si="55"/>
        <v>-4.99999999995282E-4</v>
      </c>
      <c r="M120" s="10"/>
      <c r="N120" s="9">
        <f t="shared" si="56"/>
        <v>52.977800000000002</v>
      </c>
      <c r="O120" s="9">
        <f t="shared" si="57"/>
        <v>0</v>
      </c>
      <c r="P120" s="11"/>
    </row>
    <row r="121" spans="1:16" ht="16.5" customHeight="1" outlineLevel="2" x14ac:dyDescent="0.15">
      <c r="A121" s="98" t="s">
        <v>555</v>
      </c>
      <c r="B121" s="99" t="s">
        <v>556</v>
      </c>
      <c r="C121" s="9">
        <f t="shared" si="53"/>
        <v>6.8926620934967318</v>
      </c>
      <c r="D121" s="9">
        <f>成本明细!E393</f>
        <v>66.000100000000003</v>
      </c>
      <c r="E121" s="9">
        <v>66.000054751799993</v>
      </c>
      <c r="F121" s="9">
        <f>成本明细!F393/10000</f>
        <v>66</v>
      </c>
      <c r="G121" s="9"/>
      <c r="H121" s="9"/>
      <c r="I121" s="9"/>
      <c r="J121" s="9">
        <f t="shared" si="54"/>
        <v>66</v>
      </c>
      <c r="K121" s="9"/>
      <c r="L121" s="9">
        <f t="shared" si="55"/>
        <v>1.0000000000331966E-4</v>
      </c>
      <c r="M121" s="10"/>
      <c r="N121" s="9">
        <f t="shared" si="56"/>
        <v>66.000100000000003</v>
      </c>
      <c r="O121" s="9">
        <f t="shared" si="57"/>
        <v>0</v>
      </c>
      <c r="P121" s="11"/>
    </row>
    <row r="122" spans="1:16" ht="16.5" customHeight="1" outlineLevel="2" x14ac:dyDescent="0.15">
      <c r="A122" s="98" t="s">
        <v>557</v>
      </c>
      <c r="B122" s="99" t="s">
        <v>558</v>
      </c>
      <c r="C122" s="9">
        <f t="shared" si="53"/>
        <v>3.968454630948111</v>
      </c>
      <c r="D122" s="9">
        <f>成本明细!E396</f>
        <v>37.999600000000001</v>
      </c>
      <c r="E122" s="9">
        <v>37.999573123200001</v>
      </c>
      <c r="F122" s="9">
        <f>成本明细!F396/10000</f>
        <v>38</v>
      </c>
      <c r="G122" s="9"/>
      <c r="H122" s="9"/>
      <c r="I122" s="9"/>
      <c r="J122" s="9">
        <f t="shared" si="54"/>
        <v>38</v>
      </c>
      <c r="K122" s="9"/>
      <c r="L122" s="9">
        <f t="shared" si="55"/>
        <v>-3.9999999999906777E-4</v>
      </c>
      <c r="M122" s="10"/>
      <c r="N122" s="9">
        <f t="shared" si="56"/>
        <v>37.999600000000001</v>
      </c>
      <c r="O122" s="9">
        <f t="shared" si="57"/>
        <v>0</v>
      </c>
      <c r="P122" s="11"/>
    </row>
    <row r="123" spans="1:16" ht="16.5" customHeight="1" outlineLevel="2" x14ac:dyDescent="0.15">
      <c r="A123" s="98" t="s">
        <v>559</v>
      </c>
      <c r="B123" s="99" t="s">
        <v>560</v>
      </c>
      <c r="C123" s="9">
        <f t="shared" si="53"/>
        <v>4.3665157071521179</v>
      </c>
      <c r="D123" s="9">
        <f>成本明细!E399</f>
        <v>41.811199999999999</v>
      </c>
      <c r="E123" s="9">
        <v>41.81118</v>
      </c>
      <c r="F123" s="9">
        <f>成本明细!F399/10000</f>
        <v>117.8</v>
      </c>
      <c r="G123" s="9"/>
      <c r="H123" s="9"/>
      <c r="I123" s="9"/>
      <c r="J123" s="9">
        <f t="shared" si="54"/>
        <v>117.8</v>
      </c>
      <c r="K123" s="9"/>
      <c r="L123" s="9">
        <f t="shared" si="55"/>
        <v>-75.988799999999998</v>
      </c>
      <c r="M123" s="10" t="s">
        <v>561</v>
      </c>
      <c r="N123" s="9">
        <f t="shared" si="56"/>
        <v>41.811199999999999</v>
      </c>
      <c r="O123" s="9">
        <f t="shared" si="57"/>
        <v>0</v>
      </c>
      <c r="P123" s="11"/>
    </row>
    <row r="124" spans="1:16" ht="16.5" customHeight="1" outlineLevel="1" x14ac:dyDescent="0.15">
      <c r="A124" s="103">
        <v>4.3</v>
      </c>
      <c r="B124" s="104" t="s">
        <v>644</v>
      </c>
      <c r="C124" s="32">
        <f t="shared" ref="C124:O124" si="59">SUM(C125:C128)</f>
        <v>63.050844271501553</v>
      </c>
      <c r="D124" s="32">
        <f t="shared" si="59"/>
        <v>603.73799999999994</v>
      </c>
      <c r="E124" s="32">
        <v>603.73795670000004</v>
      </c>
      <c r="F124" s="32">
        <f t="shared" si="59"/>
        <v>302.67500000000001</v>
      </c>
      <c r="G124" s="32">
        <f t="shared" si="59"/>
        <v>0</v>
      </c>
      <c r="H124" s="32">
        <f t="shared" si="59"/>
        <v>0</v>
      </c>
      <c r="I124" s="32">
        <f t="shared" si="59"/>
        <v>0</v>
      </c>
      <c r="J124" s="32">
        <f t="shared" si="59"/>
        <v>302.67500000000001</v>
      </c>
      <c r="K124" s="32"/>
      <c r="L124" s="32">
        <f t="shared" si="59"/>
        <v>301.06299999999999</v>
      </c>
      <c r="M124" s="33"/>
      <c r="N124" s="32">
        <f t="shared" si="59"/>
        <v>603.73799999999994</v>
      </c>
      <c r="O124" s="32">
        <f t="shared" si="59"/>
        <v>0</v>
      </c>
      <c r="P124" s="34"/>
    </row>
    <row r="125" spans="1:16" ht="16.5" customHeight="1" outlineLevel="2" x14ac:dyDescent="0.15">
      <c r="A125" s="98" t="s">
        <v>645</v>
      </c>
      <c r="B125" s="99" t="s">
        <v>646</v>
      </c>
      <c r="C125" s="9">
        <f t="shared" si="53"/>
        <v>27.0542112273985</v>
      </c>
      <c r="D125" s="9">
        <f>成本明细!E404</f>
        <v>259.05529999999999</v>
      </c>
      <c r="E125" s="9">
        <v>259.05527669999998</v>
      </c>
      <c r="F125" s="9">
        <v>131.6</v>
      </c>
      <c r="G125" s="9"/>
      <c r="H125" s="9"/>
      <c r="I125" s="9"/>
      <c r="J125" s="9">
        <f t="shared" si="54"/>
        <v>131.6</v>
      </c>
      <c r="K125" s="9"/>
      <c r="L125" s="9">
        <f t="shared" si="55"/>
        <v>127.45529999999999</v>
      </c>
      <c r="M125" s="10" t="s">
        <v>256</v>
      </c>
      <c r="N125" s="9">
        <f t="shared" si="56"/>
        <v>259.05529999999999</v>
      </c>
      <c r="O125" s="9">
        <f t="shared" si="57"/>
        <v>0</v>
      </c>
      <c r="P125" s="11"/>
    </row>
    <row r="126" spans="1:16" ht="16.5" customHeight="1" outlineLevel="2" x14ac:dyDescent="0.15">
      <c r="A126" s="98" t="s">
        <v>647</v>
      </c>
      <c r="B126" s="99" t="s">
        <v>648</v>
      </c>
      <c r="C126" s="9">
        <f t="shared" si="53"/>
        <v>21.707309813726091</v>
      </c>
      <c r="D126" s="9">
        <f>成本明细!E407</f>
        <v>207.85650000000001</v>
      </c>
      <c r="E126" s="9">
        <v>207.85650000000001</v>
      </c>
      <c r="F126" s="9">
        <v>114.5</v>
      </c>
      <c r="G126" s="9"/>
      <c r="H126" s="9"/>
      <c r="I126" s="9"/>
      <c r="J126" s="9">
        <f t="shared" si="54"/>
        <v>114.5</v>
      </c>
      <c r="K126" s="9"/>
      <c r="L126" s="9">
        <f t="shared" si="55"/>
        <v>93.356500000000011</v>
      </c>
      <c r="M126" s="10" t="s">
        <v>256</v>
      </c>
      <c r="N126" s="9">
        <f t="shared" si="56"/>
        <v>207.85650000000001</v>
      </c>
      <c r="O126" s="9">
        <f t="shared" si="57"/>
        <v>0</v>
      </c>
      <c r="P126" s="11"/>
    </row>
    <row r="127" spans="1:16" ht="16.5" customHeight="1" outlineLevel="2" x14ac:dyDescent="0.15">
      <c r="A127" s="98" t="s">
        <v>649</v>
      </c>
      <c r="B127" s="99" t="s">
        <v>548</v>
      </c>
      <c r="C127" s="9">
        <f t="shared" si="53"/>
        <v>9.9228075232248418</v>
      </c>
      <c r="D127" s="9">
        <f>成本明细!E410</f>
        <v>95.015000000000001</v>
      </c>
      <c r="E127" s="9">
        <v>95.015000000000001</v>
      </c>
      <c r="F127" s="9">
        <v>56.575000000000003</v>
      </c>
      <c r="G127" s="9"/>
      <c r="H127" s="9"/>
      <c r="I127" s="9"/>
      <c r="J127" s="9">
        <f t="shared" si="54"/>
        <v>56.575000000000003</v>
      </c>
      <c r="K127" s="9"/>
      <c r="L127" s="9">
        <f t="shared" si="55"/>
        <v>38.44</v>
      </c>
      <c r="M127" s="10" t="s">
        <v>256</v>
      </c>
      <c r="N127" s="9">
        <f t="shared" si="56"/>
        <v>95.015000000000001</v>
      </c>
      <c r="O127" s="9">
        <f t="shared" si="57"/>
        <v>0</v>
      </c>
      <c r="P127" s="11"/>
    </row>
    <row r="128" spans="1:16" ht="16.5" customHeight="1" outlineLevel="2" x14ac:dyDescent="0.15">
      <c r="A128" s="98" t="s">
        <v>650</v>
      </c>
      <c r="B128" s="99" t="s">
        <v>560</v>
      </c>
      <c r="C128" s="9">
        <f t="shared" si="53"/>
        <v>4.3665157071521179</v>
      </c>
      <c r="D128" s="9">
        <f>成本明细!E413</f>
        <v>41.811199999999999</v>
      </c>
      <c r="E128" s="9">
        <v>41.81118</v>
      </c>
      <c r="F128" s="9">
        <f>成本明细!F413/10000</f>
        <v>0</v>
      </c>
      <c r="G128" s="9"/>
      <c r="H128" s="9"/>
      <c r="I128" s="9"/>
      <c r="J128" s="9">
        <f t="shared" si="54"/>
        <v>0</v>
      </c>
      <c r="K128" s="9"/>
      <c r="L128" s="9">
        <f t="shared" si="55"/>
        <v>41.811199999999999</v>
      </c>
      <c r="M128" s="10" t="s">
        <v>561</v>
      </c>
      <c r="N128" s="9">
        <f t="shared" si="56"/>
        <v>41.811199999999999</v>
      </c>
      <c r="O128" s="9">
        <f t="shared" si="57"/>
        <v>0</v>
      </c>
      <c r="P128" s="11"/>
    </row>
    <row r="129" spans="1:16" ht="16.5" customHeight="1" outlineLevel="1" x14ac:dyDescent="0.15">
      <c r="A129" s="103">
        <v>4.4000000000000004</v>
      </c>
      <c r="B129" s="104" t="s">
        <v>665</v>
      </c>
      <c r="C129" s="32">
        <f t="shared" ref="C129:O129" si="60">SUM(C130:C131)</f>
        <v>65.121929441178267</v>
      </c>
      <c r="D129" s="32">
        <f t="shared" si="60"/>
        <v>623.56949999999995</v>
      </c>
      <c r="E129" s="32">
        <v>623.56949999999995</v>
      </c>
      <c r="F129" s="32">
        <f t="shared" si="60"/>
        <v>335.88299999999998</v>
      </c>
      <c r="G129" s="32">
        <f t="shared" si="60"/>
        <v>0</v>
      </c>
      <c r="H129" s="32">
        <f t="shared" si="60"/>
        <v>0</v>
      </c>
      <c r="I129" s="32">
        <f t="shared" si="60"/>
        <v>0</v>
      </c>
      <c r="J129" s="32">
        <f t="shared" si="60"/>
        <v>335.88299999999998</v>
      </c>
      <c r="K129" s="32"/>
      <c r="L129" s="32">
        <f t="shared" si="60"/>
        <v>287.68649999999997</v>
      </c>
      <c r="M129" s="33"/>
      <c r="N129" s="32">
        <f t="shared" si="60"/>
        <v>623.56949999999995</v>
      </c>
      <c r="O129" s="32">
        <f t="shared" si="60"/>
        <v>0</v>
      </c>
      <c r="P129" s="34"/>
    </row>
    <row r="130" spans="1:16" ht="16.5" customHeight="1" outlineLevel="2" x14ac:dyDescent="0.15">
      <c r="A130" s="98" t="s">
        <v>666</v>
      </c>
      <c r="B130" s="99" t="s">
        <v>667</v>
      </c>
      <c r="C130" s="9">
        <f t="shared" si="53"/>
        <v>65.121929441178267</v>
      </c>
      <c r="D130" s="9">
        <f>成本明细!E417</f>
        <v>623.56949999999995</v>
      </c>
      <c r="E130" s="9">
        <v>623.56949999999995</v>
      </c>
      <c r="F130" s="9">
        <f>成本明细!F417/10000</f>
        <v>335.88299999999998</v>
      </c>
      <c r="G130" s="9"/>
      <c r="H130" s="9"/>
      <c r="I130" s="9"/>
      <c r="J130" s="9">
        <f t="shared" si="54"/>
        <v>335.88299999999998</v>
      </c>
      <c r="K130" s="9"/>
      <c r="L130" s="9">
        <f t="shared" si="55"/>
        <v>287.68649999999997</v>
      </c>
      <c r="M130" s="10" t="s">
        <v>256</v>
      </c>
      <c r="N130" s="9">
        <f t="shared" si="56"/>
        <v>623.56949999999995</v>
      </c>
      <c r="O130" s="9">
        <f t="shared" si="57"/>
        <v>0</v>
      </c>
      <c r="P130" s="11"/>
    </row>
    <row r="131" spans="1:16" ht="16.5" customHeight="1" outlineLevel="2" x14ac:dyDescent="0.15">
      <c r="A131" s="98" t="s">
        <v>668</v>
      </c>
      <c r="B131" s="99" t="s">
        <v>669</v>
      </c>
      <c r="C131" s="9">
        <f t="shared" si="53"/>
        <v>0</v>
      </c>
      <c r="D131" s="9">
        <f>成本明细!E422</f>
        <v>0</v>
      </c>
      <c r="E131" s="9">
        <v>0</v>
      </c>
      <c r="F131" s="9">
        <f>成本明细!F422/10000</f>
        <v>0</v>
      </c>
      <c r="G131" s="9"/>
      <c r="H131" s="9"/>
      <c r="I131" s="9"/>
      <c r="J131" s="9">
        <f t="shared" si="54"/>
        <v>0</v>
      </c>
      <c r="K131" s="9"/>
      <c r="L131" s="9">
        <f t="shared" si="55"/>
        <v>0</v>
      </c>
      <c r="M131" s="10"/>
      <c r="N131" s="9">
        <f t="shared" si="56"/>
        <v>0</v>
      </c>
      <c r="O131" s="9">
        <f t="shared" si="57"/>
        <v>0</v>
      </c>
      <c r="P131" s="11"/>
    </row>
    <row r="132" spans="1:16" ht="16.5" customHeight="1" outlineLevel="1" x14ac:dyDescent="0.15">
      <c r="A132" s="103">
        <v>4.5</v>
      </c>
      <c r="B132" s="104" t="s">
        <v>684</v>
      </c>
      <c r="C132" s="32">
        <f t="shared" ref="C132:O132" si="61">SUM(C133:C135)</f>
        <v>183.89048412000943</v>
      </c>
      <c r="D132" s="32">
        <f t="shared" si="61"/>
        <v>1760.8277</v>
      </c>
      <c r="E132" s="32">
        <v>1760.827648</v>
      </c>
      <c r="F132" s="32">
        <f t="shared" si="61"/>
        <v>1727.5215970000002</v>
      </c>
      <c r="G132" s="32">
        <f t="shared" si="61"/>
        <v>0</v>
      </c>
      <c r="H132" s="32">
        <f t="shared" si="61"/>
        <v>0</v>
      </c>
      <c r="I132" s="32">
        <f t="shared" si="61"/>
        <v>0</v>
      </c>
      <c r="J132" s="32">
        <f t="shared" si="61"/>
        <v>1727.5215970000002</v>
      </c>
      <c r="K132" s="32"/>
      <c r="L132" s="32">
        <f t="shared" si="61"/>
        <v>32.087827000000004</v>
      </c>
      <c r="M132" s="33"/>
      <c r="N132" s="32">
        <f t="shared" si="61"/>
        <v>1759.6094240000002</v>
      </c>
      <c r="O132" s="32">
        <f t="shared" si="61"/>
        <v>-1.2182759999998325</v>
      </c>
      <c r="P132" s="34"/>
    </row>
    <row r="133" spans="1:16" ht="16.5" customHeight="1" outlineLevel="2" x14ac:dyDescent="0.15">
      <c r="A133" s="98" t="s">
        <v>685</v>
      </c>
      <c r="B133" s="99" t="s">
        <v>686</v>
      </c>
      <c r="C133" s="9">
        <f t="shared" si="53"/>
        <v>138.5311132728973</v>
      </c>
      <c r="D133" s="9">
        <f>成本明细!E426</f>
        <v>1326.4929</v>
      </c>
      <c r="E133" s="9">
        <v>1326.492898</v>
      </c>
      <c r="F133" s="9">
        <f>成本明细!F426/10000</f>
        <v>1325.2746240000001</v>
      </c>
      <c r="G133" s="9"/>
      <c r="H133" s="9"/>
      <c r="I133" s="9"/>
      <c r="J133" s="9">
        <f t="shared" si="54"/>
        <v>1325.2746240000001</v>
      </c>
      <c r="K133" s="9"/>
      <c r="L133" s="9">
        <v>0</v>
      </c>
      <c r="M133" s="10"/>
      <c r="N133" s="9">
        <f t="shared" si="56"/>
        <v>1325.2746240000001</v>
      </c>
      <c r="O133" s="9">
        <f t="shared" si="57"/>
        <v>-1.2182759999998325</v>
      </c>
      <c r="P133" s="11"/>
    </row>
    <row r="134" spans="1:16" ht="16.5" customHeight="1" outlineLevel="2" x14ac:dyDescent="0.15">
      <c r="A134" s="98" t="s">
        <v>687</v>
      </c>
      <c r="B134" s="99" t="s">
        <v>688</v>
      </c>
      <c r="C134" s="9">
        <f t="shared" si="53"/>
        <v>33.355713564372927</v>
      </c>
      <c r="D134" s="9">
        <f>成本明细!E429</f>
        <v>319.39479999999998</v>
      </c>
      <c r="E134" s="9">
        <v>319.39474999999999</v>
      </c>
      <c r="F134" s="9">
        <f>成本明细!F429/10000</f>
        <v>287.30697299999997</v>
      </c>
      <c r="G134" s="9"/>
      <c r="H134" s="9"/>
      <c r="I134" s="9"/>
      <c r="J134" s="9">
        <f t="shared" si="54"/>
        <v>287.30697299999997</v>
      </c>
      <c r="K134" s="9"/>
      <c r="L134" s="9">
        <f t="shared" ref="L134:L142" si="62">D134-J134</f>
        <v>32.087827000000004</v>
      </c>
      <c r="M134" s="10" t="s">
        <v>689</v>
      </c>
      <c r="N134" s="9">
        <f t="shared" si="56"/>
        <v>319.39479999999998</v>
      </c>
      <c r="O134" s="9">
        <f t="shared" si="57"/>
        <v>0</v>
      </c>
      <c r="P134" s="11"/>
    </row>
    <row r="135" spans="1:16" ht="16.5" customHeight="1" outlineLevel="2" x14ac:dyDescent="0.15">
      <c r="A135" s="98" t="s">
        <v>690</v>
      </c>
      <c r="B135" s="99" t="s">
        <v>691</v>
      </c>
      <c r="C135" s="9">
        <f t="shared" si="53"/>
        <v>12.003657282739184</v>
      </c>
      <c r="D135" s="9">
        <f>成本明细!E432</f>
        <v>114.94</v>
      </c>
      <c r="E135" s="9">
        <v>114.94</v>
      </c>
      <c r="F135" s="9">
        <f>成本明细!F432/10000</f>
        <v>114.94</v>
      </c>
      <c r="G135" s="9"/>
      <c r="H135" s="9"/>
      <c r="I135" s="9"/>
      <c r="J135" s="9">
        <f t="shared" si="54"/>
        <v>114.94</v>
      </c>
      <c r="K135" s="9"/>
      <c r="L135" s="9">
        <f t="shared" si="62"/>
        <v>0</v>
      </c>
      <c r="M135" s="10"/>
      <c r="N135" s="9">
        <f t="shared" si="56"/>
        <v>114.94</v>
      </c>
      <c r="O135" s="9">
        <f t="shared" si="57"/>
        <v>0</v>
      </c>
      <c r="P135" s="11"/>
    </row>
    <row r="136" spans="1:16" ht="16.5" customHeight="1" outlineLevel="1" x14ac:dyDescent="0.15">
      <c r="A136" s="103">
        <v>4.5999999999999996</v>
      </c>
      <c r="B136" s="104" t="s">
        <v>709</v>
      </c>
      <c r="C136" s="32">
        <f t="shared" ref="C136:O136" si="63">SUM(C137:C142)</f>
        <v>82.537916111207721</v>
      </c>
      <c r="D136" s="32">
        <f t="shared" si="63"/>
        <v>790.33480000000009</v>
      </c>
      <c r="E136" s="32">
        <v>771.89919269999996</v>
      </c>
      <c r="F136" s="32">
        <f t="shared" si="63"/>
        <v>448.35277999999994</v>
      </c>
      <c r="G136" s="32">
        <f t="shared" si="63"/>
        <v>0</v>
      </c>
      <c r="H136" s="32">
        <f t="shared" si="63"/>
        <v>0</v>
      </c>
      <c r="I136" s="32">
        <f t="shared" si="63"/>
        <v>0</v>
      </c>
      <c r="J136" s="32">
        <f t="shared" si="63"/>
        <v>448.35277999999994</v>
      </c>
      <c r="K136" s="32"/>
      <c r="L136" s="32">
        <f t="shared" si="63"/>
        <v>323.54642000000007</v>
      </c>
      <c r="M136" s="33"/>
      <c r="N136" s="32">
        <f t="shared" si="63"/>
        <v>771.89920000000006</v>
      </c>
      <c r="O136" s="32">
        <f t="shared" si="63"/>
        <v>-18.435600000000001</v>
      </c>
      <c r="P136" s="34"/>
    </row>
    <row r="137" spans="1:16" ht="16.5" customHeight="1" outlineLevel="2" x14ac:dyDescent="0.15">
      <c r="A137" s="98" t="s">
        <v>710</v>
      </c>
      <c r="B137" s="99" t="s">
        <v>711</v>
      </c>
      <c r="C137" s="9">
        <f t="shared" si="53"/>
        <v>23.840794367659264</v>
      </c>
      <c r="D137" s="9">
        <f>成本明细!E436</f>
        <v>228.28550000000001</v>
      </c>
      <c r="E137" s="9">
        <v>228.28545800000001</v>
      </c>
      <c r="F137" s="9">
        <f>成本明细!F436/10000</f>
        <v>187.06357999999997</v>
      </c>
      <c r="G137" s="9"/>
      <c r="H137" s="9"/>
      <c r="I137" s="9"/>
      <c r="J137" s="9">
        <f t="shared" si="54"/>
        <v>187.06357999999997</v>
      </c>
      <c r="K137" s="9"/>
      <c r="L137" s="9">
        <f t="shared" si="62"/>
        <v>41.22192000000004</v>
      </c>
      <c r="M137" s="10" t="s">
        <v>256</v>
      </c>
      <c r="N137" s="9">
        <f t="shared" si="56"/>
        <v>228.28550000000001</v>
      </c>
      <c r="O137" s="9">
        <f t="shared" si="57"/>
        <v>0</v>
      </c>
      <c r="P137" s="11"/>
    </row>
    <row r="138" spans="1:16" ht="16.5" customHeight="1" outlineLevel="2" x14ac:dyDescent="0.15">
      <c r="A138" s="98" t="s">
        <v>712</v>
      </c>
      <c r="B138" s="99" t="s">
        <v>713</v>
      </c>
      <c r="C138" s="9">
        <f t="shared" si="53"/>
        <v>50.35695058647589</v>
      </c>
      <c r="D138" s="9">
        <f>成本明细!E440</f>
        <v>482.18869999999998</v>
      </c>
      <c r="E138" s="9">
        <v>482.1887347</v>
      </c>
      <c r="F138" s="9">
        <f>成本明细!F440/10000</f>
        <v>243.03919999999999</v>
      </c>
      <c r="G138" s="9"/>
      <c r="H138" s="9"/>
      <c r="I138" s="9"/>
      <c r="J138" s="9">
        <f t="shared" si="54"/>
        <v>243.03919999999999</v>
      </c>
      <c r="K138" s="9"/>
      <c r="L138" s="9">
        <f t="shared" si="62"/>
        <v>239.14949999999999</v>
      </c>
      <c r="M138" s="10" t="s">
        <v>256</v>
      </c>
      <c r="N138" s="9">
        <f t="shared" si="56"/>
        <v>482.18869999999998</v>
      </c>
      <c r="O138" s="9">
        <f t="shared" si="57"/>
        <v>0</v>
      </c>
      <c r="P138" s="11"/>
    </row>
    <row r="139" spans="1:16" ht="16.5" customHeight="1" outlineLevel="2" x14ac:dyDescent="0.15">
      <c r="A139" s="98" t="s">
        <v>714</v>
      </c>
      <c r="B139" s="99" t="s">
        <v>715</v>
      </c>
      <c r="C139" s="9">
        <f t="shared" si="53"/>
        <v>1.9253055872774183</v>
      </c>
      <c r="D139" s="9">
        <f>成本明细!E443</f>
        <v>18.435600000000001</v>
      </c>
      <c r="E139" s="9">
        <v>0</v>
      </c>
      <c r="F139" s="9">
        <f>成本明细!F443/10000</f>
        <v>0</v>
      </c>
      <c r="G139" s="9"/>
      <c r="H139" s="9"/>
      <c r="I139" s="9"/>
      <c r="J139" s="9">
        <f t="shared" si="54"/>
        <v>0</v>
      </c>
      <c r="K139" s="9"/>
      <c r="L139" s="9">
        <v>0</v>
      </c>
      <c r="M139" s="10" t="s">
        <v>716</v>
      </c>
      <c r="N139" s="9">
        <f t="shared" si="56"/>
        <v>0</v>
      </c>
      <c r="O139" s="9">
        <f t="shared" si="57"/>
        <v>-18.435600000000001</v>
      </c>
      <c r="P139" s="11"/>
    </row>
    <row r="140" spans="1:16" ht="16.5" customHeight="1" outlineLevel="2" x14ac:dyDescent="0.15">
      <c r="A140" s="98" t="s">
        <v>717</v>
      </c>
      <c r="B140" s="99" t="s">
        <v>718</v>
      </c>
      <c r="C140" s="9">
        <f t="shared" si="53"/>
        <v>3.0546978903786419</v>
      </c>
      <c r="D140" s="9">
        <f>成本明细!E446</f>
        <v>29.25</v>
      </c>
      <c r="E140" s="9">
        <v>29.25</v>
      </c>
      <c r="F140" s="9">
        <f>成本明细!F446/10000</f>
        <v>18.25</v>
      </c>
      <c r="G140" s="9"/>
      <c r="H140" s="9"/>
      <c r="I140" s="9"/>
      <c r="J140" s="9">
        <f t="shared" si="54"/>
        <v>18.25</v>
      </c>
      <c r="K140" s="9"/>
      <c r="L140" s="9">
        <f t="shared" si="62"/>
        <v>11</v>
      </c>
      <c r="M140" s="10" t="s">
        <v>517</v>
      </c>
      <c r="N140" s="9">
        <f t="shared" si="56"/>
        <v>29.25</v>
      </c>
      <c r="O140" s="9">
        <f t="shared" si="57"/>
        <v>0</v>
      </c>
      <c r="P140" s="11"/>
    </row>
    <row r="141" spans="1:16" ht="16.5" customHeight="1" outlineLevel="2" x14ac:dyDescent="0.15">
      <c r="A141" s="98" t="s">
        <v>719</v>
      </c>
      <c r="B141" s="99" t="s">
        <v>720</v>
      </c>
      <c r="C141" s="9">
        <f t="shared" si="53"/>
        <v>2.7492281013407776</v>
      </c>
      <c r="D141" s="9">
        <f>成本明细!E449</f>
        <v>26.324999999999999</v>
      </c>
      <c r="E141" s="9">
        <v>26.324999999999999</v>
      </c>
      <c r="F141" s="9">
        <f>成本明细!F449/10000</f>
        <v>0</v>
      </c>
      <c r="G141" s="9"/>
      <c r="H141" s="9"/>
      <c r="I141" s="9"/>
      <c r="J141" s="9">
        <f t="shared" si="54"/>
        <v>0</v>
      </c>
      <c r="K141" s="9"/>
      <c r="L141" s="9">
        <f t="shared" si="62"/>
        <v>26.324999999999999</v>
      </c>
      <c r="M141" s="10" t="s">
        <v>517</v>
      </c>
      <c r="N141" s="9">
        <f t="shared" si="56"/>
        <v>26.324999999999999</v>
      </c>
      <c r="O141" s="9">
        <f t="shared" si="57"/>
        <v>0</v>
      </c>
      <c r="P141" s="11"/>
    </row>
    <row r="142" spans="1:16" ht="16.5" customHeight="1" outlineLevel="2" x14ac:dyDescent="0.15">
      <c r="A142" s="98" t="s">
        <v>721</v>
      </c>
      <c r="B142" s="99" t="s">
        <v>722</v>
      </c>
      <c r="C142" s="9">
        <f t="shared" si="53"/>
        <v>0.6109395780757283</v>
      </c>
      <c r="D142" s="9">
        <f>成本明细!E452</f>
        <v>5.85</v>
      </c>
      <c r="E142" s="9">
        <v>5.85</v>
      </c>
      <c r="F142" s="9">
        <f>成本明细!F452/10000</f>
        <v>0</v>
      </c>
      <c r="G142" s="9"/>
      <c r="H142" s="9"/>
      <c r="I142" s="9"/>
      <c r="J142" s="9">
        <f t="shared" si="54"/>
        <v>0</v>
      </c>
      <c r="K142" s="9"/>
      <c r="L142" s="9">
        <f t="shared" si="62"/>
        <v>5.85</v>
      </c>
      <c r="M142" s="10" t="s">
        <v>723</v>
      </c>
      <c r="N142" s="9">
        <f t="shared" si="56"/>
        <v>5.85</v>
      </c>
      <c r="O142" s="9">
        <f t="shared" si="57"/>
        <v>0</v>
      </c>
      <c r="P142" s="11"/>
    </row>
    <row r="143" spans="1:16" ht="16.5" customHeight="1" outlineLevel="1" x14ac:dyDescent="0.15">
      <c r="A143" s="103">
        <v>4.7</v>
      </c>
      <c r="B143" s="104" t="s">
        <v>753</v>
      </c>
      <c r="C143" s="32">
        <f t="shared" ref="C143:O143" si="64">SUM(C144:C146)</f>
        <v>6.8309833046400605</v>
      </c>
      <c r="D143" s="32">
        <f t="shared" si="64"/>
        <v>65.409499999999994</v>
      </c>
      <c r="E143" s="32">
        <v>174.54482999999999</v>
      </c>
      <c r="F143" s="32">
        <f t="shared" si="64"/>
        <v>60.49</v>
      </c>
      <c r="G143" s="32">
        <f t="shared" si="64"/>
        <v>0</v>
      </c>
      <c r="H143" s="32">
        <f t="shared" si="64"/>
        <v>0</v>
      </c>
      <c r="I143" s="32">
        <f t="shared" si="64"/>
        <v>0</v>
      </c>
      <c r="J143" s="32">
        <f t="shared" si="64"/>
        <v>60.49</v>
      </c>
      <c r="K143" s="32"/>
      <c r="L143" s="32">
        <f t="shared" si="64"/>
        <v>50</v>
      </c>
      <c r="M143" s="33"/>
      <c r="N143" s="32">
        <f t="shared" si="64"/>
        <v>110.49000000000001</v>
      </c>
      <c r="O143" s="32">
        <f t="shared" si="64"/>
        <v>45.080500000000015</v>
      </c>
      <c r="P143" s="34"/>
    </row>
    <row r="144" spans="1:16" ht="16.5" customHeight="1" outlineLevel="2" x14ac:dyDescent="0.15">
      <c r="A144" s="98" t="s">
        <v>754</v>
      </c>
      <c r="B144" s="99" t="s">
        <v>755</v>
      </c>
      <c r="C144" s="9">
        <f t="shared" si="53"/>
        <v>3.6450639476200251</v>
      </c>
      <c r="D144" s="9">
        <f>成本明细!E456</f>
        <v>34.902999999999999</v>
      </c>
      <c r="E144" s="9">
        <v>0</v>
      </c>
      <c r="F144" s="9">
        <f>成本明细!F456/10000</f>
        <v>0</v>
      </c>
      <c r="G144" s="9"/>
      <c r="H144" s="9"/>
      <c r="I144" s="9"/>
      <c r="J144" s="9">
        <f t="shared" si="54"/>
        <v>0</v>
      </c>
      <c r="K144" s="9"/>
      <c r="L144" s="9">
        <v>0</v>
      </c>
      <c r="M144" s="10"/>
      <c r="N144" s="9">
        <f t="shared" si="56"/>
        <v>0</v>
      </c>
      <c r="O144" s="9">
        <f t="shared" si="57"/>
        <v>-34.902999999999999</v>
      </c>
      <c r="P144" s="11"/>
    </row>
    <row r="145" spans="1:16" ht="16.5" customHeight="1" outlineLevel="2" x14ac:dyDescent="0.15">
      <c r="A145" s="98" t="s">
        <v>756</v>
      </c>
      <c r="B145" s="99" t="s">
        <v>757</v>
      </c>
      <c r="C145" s="9">
        <f t="shared" si="53"/>
        <v>3.185919357020035</v>
      </c>
      <c r="D145" s="9">
        <f>成本明细!E459</f>
        <v>30.506499999999999</v>
      </c>
      <c r="E145" s="9">
        <v>0</v>
      </c>
      <c r="F145" s="9">
        <f>成本明细!F459/10000</f>
        <v>0</v>
      </c>
      <c r="G145" s="9"/>
      <c r="H145" s="9"/>
      <c r="I145" s="9"/>
      <c r="J145" s="9">
        <f t="shared" si="54"/>
        <v>0</v>
      </c>
      <c r="K145" s="9"/>
      <c r="L145" s="9">
        <v>0</v>
      </c>
      <c r="M145" s="10"/>
      <c r="N145" s="9">
        <f t="shared" si="56"/>
        <v>0</v>
      </c>
      <c r="O145" s="9">
        <f t="shared" si="57"/>
        <v>-30.506499999999999</v>
      </c>
      <c r="P145" s="11"/>
    </row>
    <row r="146" spans="1:16" ht="16.5" customHeight="1" outlineLevel="2" x14ac:dyDescent="0.15">
      <c r="A146" s="98" t="s">
        <v>758</v>
      </c>
      <c r="B146" s="99" t="s">
        <v>759</v>
      </c>
      <c r="C146" s="9">
        <f t="shared" si="53"/>
        <v>0</v>
      </c>
      <c r="D146" s="9">
        <f>成本明细!E462</f>
        <v>0</v>
      </c>
      <c r="E146" s="9">
        <v>174.54482999999999</v>
      </c>
      <c r="F146" s="9">
        <f>成本明细!F462/10000</f>
        <v>60.49</v>
      </c>
      <c r="G146" s="9"/>
      <c r="H146" s="9"/>
      <c r="I146" s="9"/>
      <c r="J146" s="9">
        <f t="shared" si="54"/>
        <v>60.49</v>
      </c>
      <c r="K146" s="9"/>
      <c r="L146" s="9">
        <v>50</v>
      </c>
      <c r="M146" s="10" t="s">
        <v>760</v>
      </c>
      <c r="N146" s="9">
        <f t="shared" si="56"/>
        <v>110.49000000000001</v>
      </c>
      <c r="O146" s="9">
        <f t="shared" si="57"/>
        <v>110.49000000000001</v>
      </c>
      <c r="P146" s="11"/>
    </row>
    <row r="147" spans="1:16" ht="16.5" customHeight="1" outlineLevel="1" x14ac:dyDescent="0.15">
      <c r="A147" s="103">
        <v>4.8</v>
      </c>
      <c r="B147" s="104" t="s">
        <v>776</v>
      </c>
      <c r="C147" s="32">
        <f t="shared" ref="C147:O147" si="65">SUM(C148:C150)</f>
        <v>25.519802535973639</v>
      </c>
      <c r="D147" s="32">
        <f t="shared" si="65"/>
        <v>244.36270000000002</v>
      </c>
      <c r="E147" s="32">
        <v>244.362762</v>
      </c>
      <c r="F147" s="32">
        <f t="shared" si="65"/>
        <v>0</v>
      </c>
      <c r="G147" s="32">
        <f t="shared" si="65"/>
        <v>0</v>
      </c>
      <c r="H147" s="32">
        <f t="shared" si="65"/>
        <v>0</v>
      </c>
      <c r="I147" s="32">
        <f t="shared" si="65"/>
        <v>0</v>
      </c>
      <c r="J147" s="32">
        <f t="shared" si="65"/>
        <v>0</v>
      </c>
      <c r="K147" s="32"/>
      <c r="L147" s="32">
        <f t="shared" si="65"/>
        <v>244.36270000000002</v>
      </c>
      <c r="M147" s="33"/>
      <c r="N147" s="32">
        <f t="shared" si="65"/>
        <v>244.36270000000002</v>
      </c>
      <c r="O147" s="32">
        <f t="shared" si="65"/>
        <v>0</v>
      </c>
      <c r="P147" s="34"/>
    </row>
    <row r="148" spans="1:16" ht="16.5" customHeight="1" outlineLevel="2" x14ac:dyDescent="0.15">
      <c r="A148" s="98" t="s">
        <v>777</v>
      </c>
      <c r="B148" s="99" t="s">
        <v>778</v>
      </c>
      <c r="C148" s="9">
        <f t="shared" si="53"/>
        <v>6.0761439582514187</v>
      </c>
      <c r="D148" s="9">
        <f>成本明细!E467</f>
        <v>58.181600000000003</v>
      </c>
      <c r="E148" s="9">
        <v>58.181609999999999</v>
      </c>
      <c r="F148" s="9">
        <f>成本明细!F467/10000</f>
        <v>0</v>
      </c>
      <c r="G148" s="9"/>
      <c r="H148" s="9"/>
      <c r="I148" s="9"/>
      <c r="J148" s="9">
        <f t="shared" si="54"/>
        <v>0</v>
      </c>
      <c r="K148" s="9"/>
      <c r="L148" s="9">
        <f>D148-J148</f>
        <v>58.181600000000003</v>
      </c>
      <c r="M148" s="10"/>
      <c r="N148" s="9">
        <f t="shared" si="56"/>
        <v>58.181600000000003</v>
      </c>
      <c r="O148" s="9">
        <f t="shared" si="57"/>
        <v>0</v>
      </c>
      <c r="P148" s="11"/>
    </row>
    <row r="149" spans="1:16" ht="16.5" customHeight="1" outlineLevel="2" x14ac:dyDescent="0.15">
      <c r="A149" s="98" t="s">
        <v>779</v>
      </c>
      <c r="B149" s="99" t="s">
        <v>780</v>
      </c>
      <c r="C149" s="9">
        <f t="shared" si="53"/>
        <v>18.228431874754257</v>
      </c>
      <c r="D149" s="9">
        <f>成本明细!E470</f>
        <v>174.54480000000001</v>
      </c>
      <c r="E149" s="9">
        <v>174.54482999999999</v>
      </c>
      <c r="F149" s="9">
        <f>成本明细!F470/10000</f>
        <v>0</v>
      </c>
      <c r="G149" s="9"/>
      <c r="H149" s="9"/>
      <c r="I149" s="9"/>
      <c r="J149" s="9">
        <f t="shared" si="54"/>
        <v>0</v>
      </c>
      <c r="K149" s="9"/>
      <c r="L149" s="9">
        <f t="shared" ref="L149:L150" si="66">D149-J149</f>
        <v>174.54480000000001</v>
      </c>
      <c r="M149" s="10"/>
      <c r="N149" s="9">
        <f t="shared" si="56"/>
        <v>174.54480000000001</v>
      </c>
      <c r="O149" s="9">
        <f t="shared" si="57"/>
        <v>0</v>
      </c>
      <c r="P149" s="11"/>
    </row>
    <row r="150" spans="1:16" ht="16.5" customHeight="1" outlineLevel="2" x14ac:dyDescent="0.15">
      <c r="A150" s="98" t="s">
        <v>781</v>
      </c>
      <c r="B150" s="99" t="s">
        <v>782</v>
      </c>
      <c r="C150" s="9">
        <f t="shared" si="53"/>
        <v>1.2152267029679655</v>
      </c>
      <c r="D150" s="9">
        <f>成本明细!E473</f>
        <v>11.6363</v>
      </c>
      <c r="E150" s="9">
        <v>11.636322</v>
      </c>
      <c r="F150" s="9">
        <f>成本明细!F473/10000</f>
        <v>0</v>
      </c>
      <c r="G150" s="9"/>
      <c r="H150" s="9"/>
      <c r="I150" s="9"/>
      <c r="J150" s="9">
        <f t="shared" si="54"/>
        <v>0</v>
      </c>
      <c r="K150" s="9"/>
      <c r="L150" s="9">
        <f t="shared" si="66"/>
        <v>11.6363</v>
      </c>
      <c r="M150" s="10"/>
      <c r="N150" s="9">
        <f t="shared" si="56"/>
        <v>11.6363</v>
      </c>
      <c r="O150" s="9">
        <f t="shared" si="57"/>
        <v>0</v>
      </c>
      <c r="P150" s="11"/>
    </row>
    <row r="151" spans="1:16" ht="16.5" customHeight="1" outlineLevel="1" x14ac:dyDescent="0.15">
      <c r="A151" s="103">
        <v>4.9000000000000004</v>
      </c>
      <c r="B151" s="104" t="s">
        <v>799</v>
      </c>
      <c r="C151" s="32">
        <f t="shared" ref="C151:O151" si="67">SUM(C152:C154)</f>
        <v>3.4510984641396742</v>
      </c>
      <c r="D151" s="32">
        <f t="shared" si="67"/>
        <v>33.045699999999997</v>
      </c>
      <c r="E151" s="32">
        <v>67.954616000000001</v>
      </c>
      <c r="F151" s="32">
        <f t="shared" si="67"/>
        <v>0</v>
      </c>
      <c r="G151" s="32">
        <f t="shared" si="67"/>
        <v>0</v>
      </c>
      <c r="H151" s="32">
        <f t="shared" si="67"/>
        <v>0</v>
      </c>
      <c r="I151" s="32">
        <f t="shared" si="67"/>
        <v>0</v>
      </c>
      <c r="J151" s="32">
        <f t="shared" si="67"/>
        <v>0</v>
      </c>
      <c r="K151" s="32"/>
      <c r="L151" s="32">
        <f t="shared" si="67"/>
        <v>33.045699999999997</v>
      </c>
      <c r="M151" s="33"/>
      <c r="N151" s="32">
        <f t="shared" si="67"/>
        <v>33.045699999999997</v>
      </c>
      <c r="O151" s="32">
        <f t="shared" si="67"/>
        <v>0</v>
      </c>
      <c r="P151" s="34"/>
    </row>
    <row r="152" spans="1:16" ht="16.5" customHeight="1" outlineLevel="2" x14ac:dyDescent="0.15">
      <c r="A152" s="98" t="s">
        <v>800</v>
      </c>
      <c r="B152" s="99" t="s">
        <v>801</v>
      </c>
      <c r="C152" s="9">
        <f t="shared" si="53"/>
        <v>1.2803622610612699</v>
      </c>
      <c r="D152" s="9">
        <f>成本明细!E477</f>
        <v>12.26</v>
      </c>
      <c r="E152" s="9">
        <v>12.26</v>
      </c>
      <c r="F152" s="9">
        <f>成本明细!F477/10000</f>
        <v>0</v>
      </c>
      <c r="G152" s="9"/>
      <c r="H152" s="9"/>
      <c r="I152" s="9"/>
      <c r="J152" s="9">
        <f t="shared" si="54"/>
        <v>0</v>
      </c>
      <c r="K152" s="9"/>
      <c r="L152" s="9">
        <f>D152-J152</f>
        <v>12.26</v>
      </c>
      <c r="M152" s="10"/>
      <c r="N152" s="9">
        <f t="shared" si="56"/>
        <v>12.26</v>
      </c>
      <c r="O152" s="9">
        <f t="shared" si="57"/>
        <v>0</v>
      </c>
      <c r="P152" s="11"/>
    </row>
    <row r="153" spans="1:16" ht="16.5" customHeight="1" outlineLevel="2" x14ac:dyDescent="0.15">
      <c r="A153" s="98" t="s">
        <v>802</v>
      </c>
      <c r="B153" s="99" t="s">
        <v>803</v>
      </c>
      <c r="C153" s="9">
        <f t="shared" si="53"/>
        <v>2.1707362030784045</v>
      </c>
      <c r="D153" s="9">
        <f>成本明细!E480</f>
        <v>20.785699999999999</v>
      </c>
      <c r="E153" s="9">
        <v>20.78565</v>
      </c>
      <c r="F153" s="9">
        <f>成本明细!F480/10000</f>
        <v>0</v>
      </c>
      <c r="G153" s="9"/>
      <c r="H153" s="9"/>
      <c r="I153" s="9"/>
      <c r="J153" s="9">
        <f t="shared" si="54"/>
        <v>0</v>
      </c>
      <c r="K153" s="9"/>
      <c r="L153" s="9">
        <f t="shared" ref="L153:L154" si="68">D153-J153</f>
        <v>20.785699999999999</v>
      </c>
      <c r="M153" s="10"/>
      <c r="N153" s="9">
        <f t="shared" si="56"/>
        <v>20.785699999999999</v>
      </c>
      <c r="O153" s="9">
        <f t="shared" si="57"/>
        <v>0</v>
      </c>
      <c r="P153" s="11"/>
    </row>
    <row r="154" spans="1:16" ht="16.5" customHeight="1" outlineLevel="2" x14ac:dyDescent="0.15">
      <c r="A154" s="98" t="s">
        <v>804</v>
      </c>
      <c r="B154" s="99" t="s">
        <v>805</v>
      </c>
      <c r="C154" s="9">
        <f t="shared" si="53"/>
        <v>0</v>
      </c>
      <c r="D154" s="9">
        <f>成本明细!E483</f>
        <v>0</v>
      </c>
      <c r="E154" s="9">
        <v>34.908965999999999</v>
      </c>
      <c r="F154" s="9">
        <f>成本明细!F483/10000</f>
        <v>0</v>
      </c>
      <c r="G154" s="9"/>
      <c r="H154" s="9"/>
      <c r="I154" s="9"/>
      <c r="J154" s="9">
        <f t="shared" si="54"/>
        <v>0</v>
      </c>
      <c r="K154" s="9"/>
      <c r="L154" s="9">
        <f t="shared" si="68"/>
        <v>0</v>
      </c>
      <c r="M154" s="10"/>
      <c r="N154" s="9">
        <f t="shared" si="56"/>
        <v>0</v>
      </c>
      <c r="O154" s="9">
        <f t="shared" si="57"/>
        <v>0</v>
      </c>
      <c r="P154" s="11"/>
    </row>
    <row r="155" spans="1:16" ht="16.5" customHeight="1" x14ac:dyDescent="0.15">
      <c r="A155" s="101" t="s">
        <v>822</v>
      </c>
      <c r="B155" s="102" t="s">
        <v>823</v>
      </c>
      <c r="C155" s="3">
        <f>C156+C157+C162</f>
        <v>82.873974652795738</v>
      </c>
      <c r="D155" s="3">
        <f>D156+D157+D162</f>
        <v>793.55269999999996</v>
      </c>
      <c r="E155" s="3">
        <v>859.55211492900003</v>
      </c>
      <c r="F155" s="3">
        <f t="shared" ref="F155:O155" si="69">F156+F157+F162</f>
        <v>648.17530500000009</v>
      </c>
      <c r="G155" s="3">
        <f t="shared" si="69"/>
        <v>0</v>
      </c>
      <c r="H155" s="3">
        <f t="shared" si="69"/>
        <v>0</v>
      </c>
      <c r="I155" s="3">
        <f t="shared" si="69"/>
        <v>0</v>
      </c>
      <c r="J155" s="3">
        <f t="shared" si="69"/>
        <v>648.17530500000009</v>
      </c>
      <c r="K155" s="3"/>
      <c r="L155" s="3">
        <f t="shared" si="69"/>
        <v>145.37739499999986</v>
      </c>
      <c r="M155" s="3"/>
      <c r="N155" s="3">
        <f t="shared" si="69"/>
        <v>793.55269999999996</v>
      </c>
      <c r="O155" s="3">
        <f t="shared" si="69"/>
        <v>0</v>
      </c>
      <c r="P155" s="5"/>
    </row>
    <row r="156" spans="1:16" ht="16.5" hidden="1" customHeight="1" outlineLevel="1" x14ac:dyDescent="0.15">
      <c r="A156" s="103">
        <v>5.0999999999999996</v>
      </c>
      <c r="B156" s="104" t="s">
        <v>824</v>
      </c>
      <c r="C156" s="32">
        <f t="shared" si="53"/>
        <v>67.678852561481676</v>
      </c>
      <c r="D156" s="32">
        <f>成本明细!E486</f>
        <v>648.05309999999997</v>
      </c>
      <c r="E156" s="32">
        <v>648.05305950000002</v>
      </c>
      <c r="F156" s="32">
        <f>成本明细!F486/10000</f>
        <v>648.17530500000009</v>
      </c>
      <c r="G156" s="32"/>
      <c r="H156" s="32"/>
      <c r="I156" s="32"/>
      <c r="J156" s="32">
        <f t="shared" si="54"/>
        <v>648.17530500000009</v>
      </c>
      <c r="K156" s="32"/>
      <c r="L156" s="32">
        <f>D156-J156</f>
        <v>-0.1222050000001218</v>
      </c>
      <c r="M156" s="33"/>
      <c r="N156" s="32">
        <f>J156+L156</f>
        <v>648.05309999999997</v>
      </c>
      <c r="O156" s="32">
        <f>N156-D156</f>
        <v>0</v>
      </c>
      <c r="P156" s="34"/>
    </row>
    <row r="157" spans="1:16" ht="16.5" hidden="1" customHeight="1" outlineLevel="1" x14ac:dyDescent="0.15">
      <c r="A157" s="103">
        <v>5.2</v>
      </c>
      <c r="B157" s="104" t="s">
        <v>825</v>
      </c>
      <c r="C157" s="32">
        <f t="shared" ref="C157:F157" si="70">SUM(C158:C161)</f>
        <v>15.195122091314056</v>
      </c>
      <c r="D157" s="32">
        <f t="shared" si="70"/>
        <v>145.49959999999999</v>
      </c>
      <c r="E157" s="32">
        <v>145.49955</v>
      </c>
      <c r="F157" s="32">
        <f t="shared" si="70"/>
        <v>0</v>
      </c>
      <c r="G157" s="32">
        <f t="shared" ref="G157:O157" si="71">SUM(G158:G161)</f>
        <v>0</v>
      </c>
      <c r="H157" s="32">
        <f t="shared" si="71"/>
        <v>0</v>
      </c>
      <c r="I157" s="32">
        <f t="shared" si="71"/>
        <v>0</v>
      </c>
      <c r="J157" s="32">
        <f t="shared" si="71"/>
        <v>0</v>
      </c>
      <c r="K157" s="32"/>
      <c r="L157" s="32">
        <f t="shared" si="71"/>
        <v>145.49959999999999</v>
      </c>
      <c r="M157" s="33"/>
      <c r="N157" s="32">
        <f t="shared" si="71"/>
        <v>145.49959999999999</v>
      </c>
      <c r="O157" s="32">
        <f t="shared" si="71"/>
        <v>0</v>
      </c>
      <c r="P157" s="34"/>
    </row>
    <row r="158" spans="1:16" ht="16.5" hidden="1" customHeight="1" outlineLevel="2" x14ac:dyDescent="0.15">
      <c r="A158" s="98" t="s">
        <v>826</v>
      </c>
      <c r="B158" s="99" t="s">
        <v>827</v>
      </c>
      <c r="C158" s="9">
        <f t="shared" si="53"/>
        <v>6.5121981658236221</v>
      </c>
      <c r="D158" s="9">
        <f>成本明细!E491</f>
        <v>62.356999999999999</v>
      </c>
      <c r="E158" s="9">
        <v>62.356949999999998</v>
      </c>
      <c r="F158" s="9">
        <f>成本明细!F491/10000</f>
        <v>0</v>
      </c>
      <c r="G158" s="9"/>
      <c r="H158" s="9"/>
      <c r="I158" s="9"/>
      <c r="J158" s="9">
        <f t="shared" si="54"/>
        <v>0</v>
      </c>
      <c r="K158" s="9"/>
      <c r="L158" s="9">
        <f t="shared" ref="L158:L161" si="72">D158-J158</f>
        <v>62.356999999999999</v>
      </c>
      <c r="M158" s="10"/>
      <c r="N158" s="9">
        <f t="shared" ref="N158:N161" si="73">J158+L158</f>
        <v>62.356999999999999</v>
      </c>
      <c r="O158" s="9">
        <f t="shared" ref="O158:O163" si="74">N158-D158</f>
        <v>0</v>
      </c>
      <c r="P158" s="11"/>
    </row>
    <row r="159" spans="1:16" ht="16.5" hidden="1" customHeight="1" outlineLevel="2" x14ac:dyDescent="0.15">
      <c r="A159" s="98" t="s">
        <v>828</v>
      </c>
      <c r="B159" s="99" t="s">
        <v>829</v>
      </c>
      <c r="C159" s="9">
        <f t="shared" si="53"/>
        <v>6.5121981658236221</v>
      </c>
      <c r="D159" s="9">
        <f>成本明细!E494</f>
        <v>62.356999999999999</v>
      </c>
      <c r="E159" s="9">
        <v>62.356949999999998</v>
      </c>
      <c r="F159" s="9">
        <f>成本明细!F494/10000</f>
        <v>0</v>
      </c>
      <c r="G159" s="9"/>
      <c r="H159" s="9"/>
      <c r="I159" s="9"/>
      <c r="J159" s="9">
        <f t="shared" si="54"/>
        <v>0</v>
      </c>
      <c r="K159" s="9"/>
      <c r="L159" s="9">
        <f t="shared" si="72"/>
        <v>62.356999999999999</v>
      </c>
      <c r="M159" s="10"/>
      <c r="N159" s="9">
        <f t="shared" si="73"/>
        <v>62.356999999999999</v>
      </c>
      <c r="O159" s="9">
        <f t="shared" si="74"/>
        <v>0</v>
      </c>
      <c r="P159" s="11"/>
    </row>
    <row r="160" spans="1:16" ht="16.5" hidden="1" customHeight="1" outlineLevel="2" x14ac:dyDescent="0.15">
      <c r="A160" s="98" t="s">
        <v>830</v>
      </c>
      <c r="B160" s="99" t="s">
        <v>831</v>
      </c>
      <c r="C160" s="9">
        <f t="shared" si="53"/>
        <v>1.0853628798334067</v>
      </c>
      <c r="D160" s="9">
        <f>成本明细!E497</f>
        <v>10.392799999999999</v>
      </c>
      <c r="E160" s="9">
        <v>10.392825</v>
      </c>
      <c r="F160" s="9">
        <f>成本明细!F497/10000</f>
        <v>0</v>
      </c>
      <c r="G160" s="9"/>
      <c r="H160" s="9"/>
      <c r="I160" s="9"/>
      <c r="J160" s="9">
        <f t="shared" si="54"/>
        <v>0</v>
      </c>
      <c r="K160" s="9"/>
      <c r="L160" s="9">
        <f t="shared" si="72"/>
        <v>10.392799999999999</v>
      </c>
      <c r="M160" s="10"/>
      <c r="N160" s="9">
        <f t="shared" si="73"/>
        <v>10.392799999999999</v>
      </c>
      <c r="O160" s="9">
        <f t="shared" si="74"/>
        <v>0</v>
      </c>
      <c r="P160" s="11"/>
    </row>
    <row r="161" spans="1:17" ht="16.5" hidden="1" customHeight="1" outlineLevel="2" x14ac:dyDescent="0.15">
      <c r="A161" s="98" t="s">
        <v>832</v>
      </c>
      <c r="B161" s="99" t="s">
        <v>833</v>
      </c>
      <c r="C161" s="9">
        <f t="shared" si="53"/>
        <v>1.0853628798334067</v>
      </c>
      <c r="D161" s="9">
        <f>成本明细!E500</f>
        <v>10.392799999999999</v>
      </c>
      <c r="E161" s="9">
        <v>10.392825</v>
      </c>
      <c r="F161" s="9">
        <f>成本明细!F500/10000</f>
        <v>0</v>
      </c>
      <c r="G161" s="9"/>
      <c r="H161" s="9"/>
      <c r="I161" s="9"/>
      <c r="J161" s="9">
        <f t="shared" si="54"/>
        <v>0</v>
      </c>
      <c r="K161" s="9"/>
      <c r="L161" s="9">
        <f t="shared" si="72"/>
        <v>10.392799999999999</v>
      </c>
      <c r="M161" s="10"/>
      <c r="N161" s="9">
        <f t="shared" si="73"/>
        <v>10.392799999999999</v>
      </c>
      <c r="O161" s="9">
        <f t="shared" si="74"/>
        <v>0</v>
      </c>
      <c r="P161" s="11"/>
    </row>
    <row r="162" spans="1:17" ht="16.5" hidden="1" customHeight="1" outlineLevel="1" collapsed="1" x14ac:dyDescent="0.15">
      <c r="A162" s="103">
        <v>5.3</v>
      </c>
      <c r="B162" s="104" t="s">
        <v>834</v>
      </c>
      <c r="C162" s="32">
        <f t="shared" si="53"/>
        <v>0</v>
      </c>
      <c r="D162" s="32">
        <f>成本明细!E503</f>
        <v>0</v>
      </c>
      <c r="E162" s="32">
        <v>65.999505428999996</v>
      </c>
      <c r="F162" s="32">
        <v>0</v>
      </c>
      <c r="G162" s="32"/>
      <c r="H162" s="32"/>
      <c r="I162" s="32"/>
      <c r="J162" s="32">
        <f t="shared" si="54"/>
        <v>0</v>
      </c>
      <c r="K162" s="32"/>
      <c r="L162" s="32">
        <v>0</v>
      </c>
      <c r="M162" s="33"/>
      <c r="N162" s="32">
        <v>0</v>
      </c>
      <c r="O162" s="32">
        <f t="shared" si="74"/>
        <v>0</v>
      </c>
      <c r="P162" s="34"/>
    </row>
    <row r="163" spans="1:17" ht="16.5" customHeight="1" collapsed="1" x14ac:dyDescent="0.15">
      <c r="A163" s="96" t="s">
        <v>835</v>
      </c>
      <c r="B163" s="97" t="s">
        <v>836</v>
      </c>
      <c r="C163" s="3">
        <f t="shared" si="53"/>
        <v>20.345405394961993</v>
      </c>
      <c r="D163" s="3">
        <f>成本明细!E510</f>
        <v>194.81569999999999</v>
      </c>
      <c r="E163" s="3">
        <v>209.40155430100401</v>
      </c>
      <c r="F163" s="3">
        <f>成本明细!F510/10000</f>
        <v>31.764900000000001</v>
      </c>
      <c r="G163" s="3"/>
      <c r="H163" s="3"/>
      <c r="I163" s="3"/>
      <c r="J163" s="3">
        <f t="shared" si="54"/>
        <v>31.764900000000001</v>
      </c>
      <c r="K163" s="3"/>
      <c r="L163" s="3">
        <f>D163-J163</f>
        <v>163.05079999999998</v>
      </c>
      <c r="M163" s="4"/>
      <c r="N163" s="3">
        <f>J163+L163</f>
        <v>194.81569999999999</v>
      </c>
      <c r="O163" s="3">
        <f t="shared" si="74"/>
        <v>0</v>
      </c>
      <c r="P163" s="5"/>
    </row>
    <row r="164" spans="1:17" ht="16.5" customHeight="1" x14ac:dyDescent="0.15">
      <c r="A164" s="106" t="s">
        <v>858</v>
      </c>
      <c r="B164" s="107" t="s">
        <v>859</v>
      </c>
      <c r="C164" s="44">
        <f t="shared" ref="C164:J164" si="75">C8+C16+C70+C105+C155+C163</f>
        <v>9535.0778634659709</v>
      </c>
      <c r="D164" s="44">
        <f t="shared" si="75"/>
        <v>91302.327600000004</v>
      </c>
      <c r="E164" s="44">
        <v>94716.237669510199</v>
      </c>
      <c r="F164" s="44">
        <f t="shared" si="75"/>
        <v>82797.318612999981</v>
      </c>
      <c r="G164" s="44">
        <f t="shared" si="75"/>
        <v>6.3845000000000001</v>
      </c>
      <c r="H164" s="44">
        <f t="shared" si="75"/>
        <v>0</v>
      </c>
      <c r="I164" s="44">
        <f t="shared" si="75"/>
        <v>0</v>
      </c>
      <c r="J164" s="44" t="e">
        <f t="shared" si="75"/>
        <v>#REF!</v>
      </c>
      <c r="K164" s="44"/>
      <c r="L164" s="44">
        <f t="shared" ref="L164:O164" si="76">L8+L16+L70+L105+L155+L163</f>
        <v>37360.855388000004</v>
      </c>
      <c r="M164" s="44">
        <f t="shared" si="76"/>
        <v>0</v>
      </c>
      <c r="N164" s="44" t="e">
        <f t="shared" si="76"/>
        <v>#REF!</v>
      </c>
      <c r="O164" s="44" t="e">
        <f t="shared" si="76"/>
        <v>#REF!</v>
      </c>
      <c r="P164" s="45"/>
    </row>
    <row r="165" spans="1:17" x14ac:dyDescent="0.15">
      <c r="A165" s="46" t="s">
        <v>860</v>
      </c>
      <c r="B165" s="47" t="s">
        <v>861</v>
      </c>
      <c r="C165" s="48"/>
      <c r="D165" s="48"/>
      <c r="E165" s="48"/>
      <c r="F165" s="48"/>
      <c r="G165" s="48"/>
      <c r="H165" s="48"/>
      <c r="I165" s="48"/>
      <c r="J165" s="49">
        <v>26159.107599999999</v>
      </c>
      <c r="K165" s="50"/>
      <c r="L165" s="49">
        <f>N165-J165</f>
        <v>97576.067400000014</v>
      </c>
      <c r="M165" s="50"/>
      <c r="N165" s="49">
        <f>销售价格测算!BP55</f>
        <v>123735.17500000002</v>
      </c>
      <c r="O165" s="50"/>
      <c r="P165" s="50"/>
      <c r="Q165" s="108"/>
    </row>
    <row r="166" spans="1:17" x14ac:dyDescent="0.15">
      <c r="A166" s="52" t="s">
        <v>862</v>
      </c>
      <c r="B166" s="53" t="s">
        <v>863</v>
      </c>
      <c r="C166" s="54"/>
      <c r="D166" s="54"/>
      <c r="E166" s="54"/>
      <c r="F166" s="54"/>
      <c r="G166" s="54"/>
      <c r="H166" s="54"/>
      <c r="I166" s="54"/>
      <c r="J166" s="55"/>
      <c r="K166" s="55"/>
      <c r="L166" s="55"/>
      <c r="M166" s="55"/>
      <c r="N166" s="55"/>
      <c r="O166" s="55"/>
      <c r="P166" s="55"/>
      <c r="Q166" s="108"/>
    </row>
    <row r="167" spans="1:17" x14ac:dyDescent="0.15">
      <c r="A167" s="56" t="s">
        <v>864</v>
      </c>
      <c r="B167" s="57" t="s">
        <v>865</v>
      </c>
      <c r="C167" s="58"/>
      <c r="D167" s="58"/>
      <c r="E167" s="58"/>
      <c r="F167" s="58"/>
      <c r="G167" s="58"/>
      <c r="H167" s="58"/>
      <c r="I167" s="58"/>
      <c r="J167" s="59">
        <v>1020</v>
      </c>
      <c r="K167" s="60"/>
      <c r="L167" s="59">
        <v>1950</v>
      </c>
      <c r="M167" s="60"/>
      <c r="N167" s="59">
        <f t="shared" ref="N167:N172" si="77">J167+L167</f>
        <v>2970</v>
      </c>
      <c r="O167" s="109">
        <f>N167/N165</f>
        <v>2.400287549599376E-2</v>
      </c>
      <c r="P167" s="60"/>
      <c r="Q167" s="108"/>
    </row>
    <row r="168" spans="1:17" x14ac:dyDescent="0.15">
      <c r="A168" s="56" t="s">
        <v>866</v>
      </c>
      <c r="B168" s="57" t="s">
        <v>867</v>
      </c>
      <c r="C168" s="58"/>
      <c r="D168" s="58"/>
      <c r="E168" s="58"/>
      <c r="F168" s="58"/>
      <c r="G168" s="58"/>
      <c r="H168" s="58"/>
      <c r="I168" s="58"/>
      <c r="J168" s="59">
        <v>1434.0075999999999</v>
      </c>
      <c r="K168" s="60"/>
      <c r="L168" s="62">
        <f>J168/29*25</f>
        <v>1236.213448275862</v>
      </c>
      <c r="M168" s="60"/>
      <c r="N168" s="59">
        <f t="shared" si="77"/>
        <v>2670.2210482758619</v>
      </c>
      <c r="O168" s="109">
        <f>N168/N165</f>
        <v>2.1580129080319008E-2</v>
      </c>
      <c r="P168" s="60"/>
      <c r="Q168" s="108"/>
    </row>
    <row r="169" spans="1:17" x14ac:dyDescent="0.15">
      <c r="A169" s="56" t="s">
        <v>868</v>
      </c>
      <c r="B169" s="63" t="s">
        <v>869</v>
      </c>
      <c r="C169" s="58"/>
      <c r="D169" s="58"/>
      <c r="E169" s="58"/>
      <c r="F169" s="58"/>
      <c r="G169" s="58"/>
      <c r="H169" s="58"/>
      <c r="I169" s="58"/>
      <c r="J169" s="59">
        <f>J165*0.01</f>
        <v>261.59107599999999</v>
      </c>
      <c r="K169" s="60"/>
      <c r="L169" s="62">
        <f>100700*0.01+5600*0.015</f>
        <v>1091</v>
      </c>
      <c r="M169" s="60"/>
      <c r="N169" s="59">
        <f t="shared" si="77"/>
        <v>1352.5910759999999</v>
      </c>
      <c r="O169" s="60"/>
      <c r="P169" s="60"/>
      <c r="Q169" s="108"/>
    </row>
    <row r="170" spans="1:17" ht="14.25" customHeight="1" x14ac:dyDescent="0.15">
      <c r="A170" s="56" t="s">
        <v>870</v>
      </c>
      <c r="B170" s="57" t="s">
        <v>871</v>
      </c>
      <c r="C170" s="58"/>
      <c r="D170" s="58"/>
      <c r="E170" s="58"/>
      <c r="F170" s="58"/>
      <c r="G170" s="58"/>
      <c r="H170" s="58"/>
      <c r="I170" s="58"/>
      <c r="J170" s="59">
        <f>1745.2338+2000</f>
        <v>3745.2338</v>
      </c>
      <c r="K170" s="60" t="s">
        <v>872</v>
      </c>
      <c r="L170" s="62">
        <f>5400-J170</f>
        <v>1654.7662</v>
      </c>
      <c r="M170" s="60"/>
      <c r="N170" s="59">
        <f t="shared" si="77"/>
        <v>5400</v>
      </c>
      <c r="O170" s="60"/>
      <c r="P170" s="60"/>
      <c r="Q170" s="108"/>
    </row>
    <row r="171" spans="1:17" x14ac:dyDescent="0.15">
      <c r="A171" s="56" t="s">
        <v>873</v>
      </c>
      <c r="B171" s="57" t="s">
        <v>874</v>
      </c>
      <c r="C171" s="58"/>
      <c r="D171" s="58"/>
      <c r="E171" s="58"/>
      <c r="F171" s="58"/>
      <c r="G171" s="58"/>
      <c r="H171" s="58"/>
      <c r="I171" s="58"/>
      <c r="J171" s="60">
        <v>10800</v>
      </c>
      <c r="K171" s="60"/>
      <c r="L171" s="62">
        <v>0</v>
      </c>
      <c r="M171" s="60"/>
      <c r="N171" s="59">
        <f t="shared" si="77"/>
        <v>10800</v>
      </c>
      <c r="O171" s="60"/>
      <c r="P171" s="60"/>
      <c r="Q171" s="108"/>
    </row>
    <row r="172" spans="1:17" x14ac:dyDescent="0.15">
      <c r="A172" s="56" t="s">
        <v>875</v>
      </c>
      <c r="B172" s="57" t="s">
        <v>876</v>
      </c>
      <c r="C172" s="110"/>
      <c r="D172" s="110"/>
      <c r="E172" s="110"/>
      <c r="F172" s="110"/>
      <c r="G172" s="110"/>
      <c r="H172" s="110"/>
      <c r="I172" s="110"/>
      <c r="J172" s="65">
        <f>J165*0.0565</f>
        <v>1477.9895793999999</v>
      </c>
      <c r="K172" s="109"/>
      <c r="L172" s="111">
        <f>L165*0.0565</f>
        <v>5513.047808100001</v>
      </c>
      <c r="M172" s="109"/>
      <c r="N172" s="111">
        <f t="shared" si="77"/>
        <v>6991.0373875000005</v>
      </c>
      <c r="O172" s="109"/>
      <c r="P172" s="109"/>
      <c r="Q172" s="108"/>
    </row>
    <row r="173" spans="1:17" x14ac:dyDescent="0.15">
      <c r="A173" s="56" t="s">
        <v>877</v>
      </c>
      <c r="B173" s="57" t="s">
        <v>878</v>
      </c>
      <c r="C173" s="110"/>
      <c r="D173" s="110"/>
      <c r="E173" s="110"/>
      <c r="F173" s="110"/>
      <c r="G173" s="110"/>
      <c r="H173" s="110"/>
      <c r="I173" s="110"/>
      <c r="J173" s="109"/>
      <c r="K173" s="109"/>
      <c r="L173" s="109"/>
      <c r="M173" s="109"/>
      <c r="N173" s="111">
        <f>N165*0.02</f>
        <v>2474.7035000000005</v>
      </c>
      <c r="O173" s="109"/>
      <c r="P173" s="109"/>
      <c r="Q173" s="108"/>
    </row>
    <row r="174" spans="1:17" x14ac:dyDescent="0.15">
      <c r="A174" s="67" t="s">
        <v>879</v>
      </c>
      <c r="B174" s="68" t="s">
        <v>880</v>
      </c>
      <c r="C174" s="69"/>
      <c r="D174" s="69"/>
      <c r="E174" s="69"/>
      <c r="F174" s="69"/>
      <c r="G174" s="69"/>
      <c r="H174" s="69"/>
      <c r="I174" s="69"/>
      <c r="J174" s="70"/>
      <c r="K174" s="70"/>
      <c r="L174" s="70"/>
      <c r="M174" s="70"/>
      <c r="N174" s="70" t="e">
        <f>N164+N167+N168+N169+N170+N171+N172+N173</f>
        <v>#REF!</v>
      </c>
      <c r="O174" s="70"/>
      <c r="P174" s="70"/>
      <c r="Q174" s="108"/>
    </row>
    <row r="175" spans="1:17" x14ac:dyDescent="0.15">
      <c r="A175" s="56" t="s">
        <v>881</v>
      </c>
      <c r="B175" s="57" t="s">
        <v>882</v>
      </c>
      <c r="C175" s="71"/>
      <c r="D175" s="71"/>
      <c r="E175" s="71"/>
      <c r="F175" s="71"/>
      <c r="G175" s="71"/>
      <c r="H175" s="71"/>
      <c r="I175" s="71"/>
      <c r="J175" s="72"/>
      <c r="K175" s="72"/>
      <c r="L175" s="72"/>
      <c r="M175" s="72"/>
      <c r="N175" s="72" t="e">
        <f>N165-N174</f>
        <v>#REF!</v>
      </c>
      <c r="O175" s="72"/>
      <c r="P175" s="72"/>
      <c r="Q175" s="108"/>
    </row>
    <row r="176" spans="1:17" x14ac:dyDescent="0.15">
      <c r="A176" s="52" t="s">
        <v>883</v>
      </c>
      <c r="B176" s="53" t="s">
        <v>884</v>
      </c>
      <c r="C176" s="73"/>
      <c r="D176" s="73"/>
      <c r="E176" s="73"/>
      <c r="F176" s="73"/>
      <c r="G176" s="73"/>
      <c r="H176" s="73"/>
      <c r="I176" s="73"/>
      <c r="J176" s="74"/>
      <c r="K176" s="74"/>
      <c r="L176" s="74"/>
      <c r="M176" s="74"/>
      <c r="N176" s="112" t="e">
        <f>N175/N165</f>
        <v>#REF!</v>
      </c>
      <c r="O176" s="74"/>
      <c r="P176" s="74"/>
      <c r="Q176" s="108"/>
    </row>
    <row r="177" spans="1:17" x14ac:dyDescent="0.15">
      <c r="A177" s="56" t="s">
        <v>885</v>
      </c>
      <c r="B177" s="57" t="s">
        <v>886</v>
      </c>
      <c r="C177" s="110"/>
      <c r="D177" s="110"/>
      <c r="E177" s="110"/>
      <c r="F177" s="110"/>
      <c r="G177" s="110"/>
      <c r="H177" s="110"/>
      <c r="I177" s="110"/>
      <c r="J177" s="109"/>
      <c r="K177" s="109"/>
      <c r="L177" s="109"/>
      <c r="M177" s="109"/>
      <c r="N177" s="111" t="e">
        <f>N175*0.25</f>
        <v>#REF!</v>
      </c>
      <c r="O177" s="109"/>
      <c r="P177" s="109"/>
      <c r="Q177" s="108"/>
    </row>
    <row r="178" spans="1:17" x14ac:dyDescent="0.15">
      <c r="A178" s="67" t="s">
        <v>887</v>
      </c>
      <c r="B178" s="68" t="s">
        <v>888</v>
      </c>
      <c r="C178" s="69"/>
      <c r="D178" s="69"/>
      <c r="E178" s="69"/>
      <c r="F178" s="69"/>
      <c r="G178" s="69"/>
      <c r="H178" s="69"/>
      <c r="I178" s="69"/>
      <c r="J178" s="70"/>
      <c r="K178" s="70"/>
      <c r="L178" s="70"/>
      <c r="M178" s="70"/>
      <c r="N178" s="70" t="e">
        <f>N174+N177</f>
        <v>#REF!</v>
      </c>
      <c r="O178" s="70"/>
      <c r="P178" s="70"/>
      <c r="Q178" s="108"/>
    </row>
    <row r="179" spans="1:17" x14ac:dyDescent="0.15">
      <c r="A179" s="56" t="s">
        <v>889</v>
      </c>
      <c r="B179" s="57" t="s">
        <v>890</v>
      </c>
      <c r="C179" s="76"/>
      <c r="D179" s="76"/>
      <c r="E179" s="76"/>
      <c r="F179" s="76"/>
      <c r="G179" s="76"/>
      <c r="H179" s="76"/>
      <c r="I179" s="76"/>
      <c r="J179" s="72"/>
      <c r="K179" s="72"/>
      <c r="L179" s="72"/>
      <c r="M179" s="72"/>
      <c r="N179" s="72" t="e">
        <f>N165-N178</f>
        <v>#REF!</v>
      </c>
      <c r="O179" s="72"/>
      <c r="P179" s="72"/>
      <c r="Q179" s="108"/>
    </row>
    <row r="180" spans="1:17" x14ac:dyDescent="0.15">
      <c r="A180" s="52" t="s">
        <v>891</v>
      </c>
      <c r="B180" s="53" t="s">
        <v>892</v>
      </c>
      <c r="C180" s="77"/>
      <c r="D180" s="77"/>
      <c r="E180" s="77"/>
      <c r="F180" s="77"/>
      <c r="G180" s="77"/>
      <c r="H180" s="77"/>
      <c r="I180" s="77"/>
      <c r="J180" s="74"/>
      <c r="K180" s="74"/>
      <c r="L180" s="74"/>
      <c r="M180" s="74"/>
      <c r="N180" s="113" t="e">
        <f>N179/N165</f>
        <v>#REF!</v>
      </c>
      <c r="O180" s="74"/>
      <c r="P180" s="74"/>
      <c r="Q180" s="108"/>
    </row>
    <row r="181" spans="1:17" x14ac:dyDescent="0.15">
      <c r="N181" s="114"/>
    </row>
  </sheetData>
  <mergeCells count="14">
    <mergeCell ref="J4:J5"/>
    <mergeCell ref="K4:K5"/>
    <mergeCell ref="L4:L5"/>
    <mergeCell ref="M4:M5"/>
    <mergeCell ref="A1:Q1"/>
    <mergeCell ref="A3:B5"/>
    <mergeCell ref="C3:D3"/>
    <mergeCell ref="F3:K3"/>
    <mergeCell ref="L3:M3"/>
    <mergeCell ref="N3:N5"/>
    <mergeCell ref="O3:O5"/>
    <mergeCell ref="P3:P5"/>
    <mergeCell ref="F4:G4"/>
    <mergeCell ref="H4:I4"/>
  </mergeCells>
  <phoneticPr fontId="3" type="noConversion"/>
  <pageMargins left="0.51180555555555596" right="0.51180555555555596" top="0.74791666666666701" bottom="0.74791666666666701" header="0.31458333333333299" footer="0.31458333333333299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0"/>
  <sheetViews>
    <sheetView zoomScaleSheetLayoutView="100" workbookViewId="0">
      <pane ySplit="7" topLeftCell="A82" activePane="bottomLeft" state="frozen"/>
      <selection activeCell="L9" sqref="L9"/>
      <selection pane="bottomLeft" activeCell="C156" sqref="C156"/>
    </sheetView>
  </sheetViews>
  <sheetFormatPr defaultColWidth="9" defaultRowHeight="14.25" outlineLevelRow="2" x14ac:dyDescent="0.15"/>
  <cols>
    <col min="1" max="1" width="6" customWidth="1"/>
    <col min="2" max="2" width="33.125" customWidth="1"/>
    <col min="3" max="3" width="26.25" customWidth="1"/>
    <col min="4" max="4" width="36.625" bestFit="1" customWidth="1"/>
    <col min="5" max="5" width="16.375" customWidth="1"/>
    <col min="6" max="6" width="46.125" customWidth="1"/>
    <col min="7" max="7" width="20" bestFit="1" customWidth="1"/>
    <col min="8" max="8" width="13.625" customWidth="1"/>
    <col min="9" max="9" width="16.125" customWidth="1"/>
    <col min="10" max="10" width="21.875" bestFit="1" customWidth="1"/>
    <col min="12" max="12" width="21.875" bestFit="1" customWidth="1"/>
    <col min="14" max="15" width="23.875" bestFit="1" customWidth="1"/>
    <col min="16" max="16" width="14.75" customWidth="1"/>
  </cols>
  <sheetData>
    <row r="1" spans="1:17" s="12" customFormat="1" ht="22.5" x14ac:dyDescent="0.25">
      <c r="A1" s="433" t="s">
        <v>4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</row>
    <row r="2" spans="1:17" s="6" customFormat="1" ht="15" thickBot="1" x14ac:dyDescent="0.2">
      <c r="M2" s="12"/>
      <c r="P2" s="13"/>
    </row>
    <row r="3" spans="1:17" s="16" customFormat="1" ht="28.5" customHeight="1" x14ac:dyDescent="0.15">
      <c r="A3" s="434" t="s">
        <v>5</v>
      </c>
      <c r="B3" s="435"/>
      <c r="C3" s="440" t="s">
        <v>6</v>
      </c>
      <c r="D3" s="435"/>
      <c r="E3" s="14" t="s">
        <v>7</v>
      </c>
      <c r="F3" s="441" t="s">
        <v>8</v>
      </c>
      <c r="G3" s="442"/>
      <c r="H3" s="442"/>
      <c r="I3" s="442"/>
      <c r="J3" s="442"/>
      <c r="K3" s="443"/>
      <c r="L3" s="441" t="s">
        <v>9</v>
      </c>
      <c r="M3" s="443"/>
      <c r="N3" s="444" t="s">
        <v>67</v>
      </c>
      <c r="O3" s="444" t="s">
        <v>10</v>
      </c>
      <c r="P3" s="446" t="s">
        <v>11</v>
      </c>
      <c r="Q3" s="15"/>
    </row>
    <row r="4" spans="1:17" s="16" customFormat="1" ht="28.5" customHeight="1" x14ac:dyDescent="0.15">
      <c r="A4" s="436"/>
      <c r="B4" s="437"/>
      <c r="C4" s="17" t="s">
        <v>12</v>
      </c>
      <c r="D4" s="17">
        <v>95754.15</v>
      </c>
      <c r="E4" s="18"/>
      <c r="F4" s="449" t="s">
        <v>13</v>
      </c>
      <c r="G4" s="450"/>
      <c r="H4" s="449" t="s">
        <v>14</v>
      </c>
      <c r="I4" s="450"/>
      <c r="J4" s="430" t="s">
        <v>61</v>
      </c>
      <c r="K4" s="431" t="s">
        <v>16</v>
      </c>
      <c r="L4" s="431" t="s">
        <v>65</v>
      </c>
      <c r="M4" s="431" t="s">
        <v>16</v>
      </c>
      <c r="N4" s="445"/>
      <c r="O4" s="445"/>
      <c r="P4" s="447"/>
      <c r="Q4" s="15"/>
    </row>
    <row r="5" spans="1:17" s="16" customFormat="1" ht="28.5" customHeight="1" x14ac:dyDescent="0.15">
      <c r="A5" s="438"/>
      <c r="B5" s="439"/>
      <c r="C5" s="19" t="s">
        <v>30</v>
      </c>
      <c r="D5" s="19" t="s">
        <v>18</v>
      </c>
      <c r="E5" s="19"/>
      <c r="F5" s="20" t="s">
        <v>19</v>
      </c>
      <c r="G5" s="21" t="s">
        <v>20</v>
      </c>
      <c r="H5" s="20" t="s">
        <v>56</v>
      </c>
      <c r="I5" s="21" t="s">
        <v>58</v>
      </c>
      <c r="J5" s="430"/>
      <c r="K5" s="432"/>
      <c r="L5" s="432"/>
      <c r="M5" s="432"/>
      <c r="N5" s="432"/>
      <c r="O5" s="432"/>
      <c r="P5" s="448"/>
      <c r="Q5" s="15"/>
    </row>
    <row r="6" spans="1:17" s="16" customFormat="1" ht="28.5" customHeight="1" x14ac:dyDescent="0.15">
      <c r="A6" s="23"/>
      <c r="B6" s="24"/>
      <c r="C6" s="19"/>
      <c r="D6" s="20" t="s">
        <v>21</v>
      </c>
      <c r="E6" s="21"/>
      <c r="F6" s="21" t="s">
        <v>22</v>
      </c>
      <c r="G6" s="20" t="s">
        <v>23</v>
      </c>
      <c r="H6" s="21" t="s">
        <v>24</v>
      </c>
      <c r="I6" s="21" t="s">
        <v>25</v>
      </c>
      <c r="J6" s="25" t="s">
        <v>62</v>
      </c>
      <c r="K6" s="20"/>
      <c r="L6" s="20" t="s">
        <v>27</v>
      </c>
      <c r="M6" s="26"/>
      <c r="N6" s="20" t="s">
        <v>28</v>
      </c>
      <c r="O6" s="20" t="s">
        <v>29</v>
      </c>
      <c r="P6" s="27"/>
      <c r="Q6" s="15"/>
    </row>
    <row r="7" spans="1:17" s="16" customFormat="1" ht="28.5" customHeight="1" x14ac:dyDescent="0.15">
      <c r="A7" s="23"/>
      <c r="B7" s="24"/>
      <c r="C7" s="19"/>
      <c r="D7" s="20"/>
      <c r="E7" s="21"/>
      <c r="F7" s="21"/>
      <c r="G7" s="20"/>
      <c r="H7" s="21"/>
      <c r="I7" s="21"/>
      <c r="J7" s="25"/>
      <c r="K7" s="20"/>
      <c r="L7" s="20"/>
      <c r="M7" s="26"/>
      <c r="N7" s="20"/>
      <c r="O7" s="20"/>
      <c r="P7" s="27"/>
      <c r="Q7" s="15"/>
    </row>
    <row r="8" spans="1:17" s="6" customFormat="1" ht="16.5" customHeight="1" x14ac:dyDescent="0.15">
      <c r="A8" s="1" t="s">
        <v>0</v>
      </c>
      <c r="B8" s="2" t="s">
        <v>1</v>
      </c>
      <c r="C8" s="3" t="s">
        <v>31</v>
      </c>
      <c r="D8" s="3" t="s">
        <v>41</v>
      </c>
      <c r="E8" s="3" t="s">
        <v>42</v>
      </c>
      <c r="F8" s="3" t="s">
        <v>45</v>
      </c>
      <c r="G8" s="3" t="s">
        <v>54</v>
      </c>
      <c r="H8" s="3" t="s">
        <v>57</v>
      </c>
      <c r="I8" s="3" t="s">
        <v>60</v>
      </c>
      <c r="J8" s="3" t="s">
        <v>64</v>
      </c>
      <c r="K8" s="5" t="s">
        <v>74</v>
      </c>
      <c r="L8" s="3" t="s">
        <v>66</v>
      </c>
      <c r="M8" s="5" t="s">
        <v>74</v>
      </c>
      <c r="N8" s="3" t="s">
        <v>70</v>
      </c>
      <c r="O8" s="3" t="s">
        <v>71</v>
      </c>
      <c r="P8" s="5" t="s">
        <v>74</v>
      </c>
    </row>
    <row r="9" spans="1:17" s="6" customFormat="1" ht="16.5" customHeight="1" outlineLevel="1" x14ac:dyDescent="0.15">
      <c r="A9" s="7">
        <v>1.1000000000000001</v>
      </c>
      <c r="B9" s="8" t="s">
        <v>2</v>
      </c>
      <c r="C9" s="9" t="s">
        <v>98</v>
      </c>
      <c r="D9" s="9" t="s">
        <v>46</v>
      </c>
      <c r="E9" s="9" t="s">
        <v>44</v>
      </c>
      <c r="F9" s="9" t="s">
        <v>177</v>
      </c>
      <c r="G9" s="9" t="s">
        <v>55</v>
      </c>
      <c r="H9" s="9" t="s">
        <v>55</v>
      </c>
      <c r="I9" s="9" t="s">
        <v>44</v>
      </c>
      <c r="J9" s="9" t="s">
        <v>59</v>
      </c>
      <c r="K9" s="11" t="s">
        <v>74</v>
      </c>
      <c r="L9" s="9" t="s">
        <v>55</v>
      </c>
      <c r="M9" s="11" t="s">
        <v>74</v>
      </c>
      <c r="N9" s="9" t="s">
        <v>68</v>
      </c>
      <c r="O9" s="9" t="s">
        <v>72</v>
      </c>
      <c r="P9" s="11" t="s">
        <v>74</v>
      </c>
    </row>
    <row r="10" spans="1:17" s="6" customFormat="1" ht="16.5" customHeight="1" outlineLevel="1" x14ac:dyDescent="0.15">
      <c r="A10" s="7">
        <v>1.2</v>
      </c>
      <c r="B10" s="8" t="s">
        <v>3</v>
      </c>
      <c r="C10" s="9" t="s">
        <v>38</v>
      </c>
      <c r="D10" s="9" t="s">
        <v>47</v>
      </c>
      <c r="E10" s="9" t="s">
        <v>44</v>
      </c>
      <c r="F10" s="9" t="s">
        <v>48</v>
      </c>
      <c r="G10" s="9" t="s">
        <v>55</v>
      </c>
      <c r="H10" s="9" t="s">
        <v>55</v>
      </c>
      <c r="I10" s="9" t="s">
        <v>55</v>
      </c>
      <c r="J10" s="9" t="s">
        <v>40</v>
      </c>
      <c r="K10" s="11" t="s">
        <v>75</v>
      </c>
      <c r="L10" s="9" t="s">
        <v>300</v>
      </c>
      <c r="M10" s="11" t="s">
        <v>75</v>
      </c>
      <c r="N10" s="9" t="s">
        <v>69</v>
      </c>
      <c r="O10" s="9" t="s">
        <v>73</v>
      </c>
      <c r="P10" s="11" t="s">
        <v>75</v>
      </c>
    </row>
    <row r="11" spans="1:17" s="6" customFormat="1" ht="16.5" customHeight="1" outlineLevel="1" x14ac:dyDescent="0.15">
      <c r="A11" s="7">
        <v>1.3</v>
      </c>
      <c r="B11" s="8" t="s">
        <v>32</v>
      </c>
      <c r="C11" s="9" t="s">
        <v>39</v>
      </c>
      <c r="D11" s="9" t="s">
        <v>110</v>
      </c>
      <c r="E11" s="9" t="s">
        <v>44</v>
      </c>
      <c r="F11" s="9" t="s">
        <v>49</v>
      </c>
      <c r="G11" s="9" t="s">
        <v>55</v>
      </c>
      <c r="H11" s="9" t="s">
        <v>55</v>
      </c>
      <c r="I11" s="9" t="s">
        <v>55</v>
      </c>
      <c r="J11" s="9" t="s">
        <v>40</v>
      </c>
      <c r="K11" s="11" t="s">
        <v>75</v>
      </c>
      <c r="L11" s="9" t="s">
        <v>301</v>
      </c>
      <c r="M11" s="11" t="s">
        <v>75</v>
      </c>
      <c r="N11" s="9" t="s">
        <v>40</v>
      </c>
      <c r="O11" s="9" t="s">
        <v>40</v>
      </c>
      <c r="P11" s="11" t="s">
        <v>75</v>
      </c>
    </row>
    <row r="12" spans="1:17" s="6" customFormat="1" ht="16.5" customHeight="1" outlineLevel="1" x14ac:dyDescent="0.15">
      <c r="A12" s="7">
        <v>1.4</v>
      </c>
      <c r="B12" s="8" t="s">
        <v>34</v>
      </c>
      <c r="C12" s="9" t="s">
        <v>40</v>
      </c>
      <c r="D12" s="9" t="s">
        <v>111</v>
      </c>
      <c r="E12" s="9" t="s">
        <v>44</v>
      </c>
      <c r="F12" s="9" t="s">
        <v>50</v>
      </c>
      <c r="G12" s="9" t="s">
        <v>55</v>
      </c>
      <c r="H12" s="9" t="s">
        <v>55</v>
      </c>
      <c r="I12" s="9" t="s">
        <v>55</v>
      </c>
      <c r="J12" s="9" t="s">
        <v>40</v>
      </c>
      <c r="K12" s="11" t="s">
        <v>75</v>
      </c>
      <c r="L12" s="9" t="s">
        <v>55</v>
      </c>
      <c r="M12" s="11" t="s">
        <v>75</v>
      </c>
      <c r="N12" s="9" t="s">
        <v>40</v>
      </c>
      <c r="O12" s="9" t="s">
        <v>40</v>
      </c>
      <c r="P12" s="11" t="s">
        <v>75</v>
      </c>
    </row>
    <row r="13" spans="1:17" s="6" customFormat="1" ht="16.5" customHeight="1" outlineLevel="1" x14ac:dyDescent="0.15">
      <c r="A13" s="7">
        <v>1.5</v>
      </c>
      <c r="B13" s="39" t="s">
        <v>35</v>
      </c>
      <c r="C13" s="9" t="s">
        <v>40</v>
      </c>
      <c r="D13" s="9" t="s">
        <v>112</v>
      </c>
      <c r="E13" s="9" t="s">
        <v>44</v>
      </c>
      <c r="F13" s="9" t="s">
        <v>51</v>
      </c>
      <c r="G13" s="9" t="s">
        <v>55</v>
      </c>
      <c r="H13" s="9" t="s">
        <v>55</v>
      </c>
      <c r="I13" s="9" t="s">
        <v>55</v>
      </c>
      <c r="J13" s="9" t="s">
        <v>40</v>
      </c>
      <c r="K13" s="11" t="s">
        <v>75</v>
      </c>
      <c r="L13" s="9" t="s">
        <v>116</v>
      </c>
      <c r="M13" s="11" t="s">
        <v>75</v>
      </c>
      <c r="N13" s="9" t="s">
        <v>40</v>
      </c>
      <c r="O13" s="9" t="s">
        <v>40</v>
      </c>
      <c r="P13" s="11" t="s">
        <v>75</v>
      </c>
    </row>
    <row r="14" spans="1:17" s="6" customFormat="1" ht="16.5" customHeight="1" outlineLevel="1" x14ac:dyDescent="0.15">
      <c r="A14" s="7">
        <v>1.6</v>
      </c>
      <c r="B14" s="8" t="s">
        <v>36</v>
      </c>
      <c r="C14" s="9" t="s">
        <v>40</v>
      </c>
      <c r="D14" s="9" t="s">
        <v>113</v>
      </c>
      <c r="E14" s="9" t="s">
        <v>44</v>
      </c>
      <c r="F14" s="9" t="s">
        <v>52</v>
      </c>
      <c r="G14" s="9" t="s">
        <v>55</v>
      </c>
      <c r="H14" s="9" t="s">
        <v>55</v>
      </c>
      <c r="I14" s="9" t="s">
        <v>55</v>
      </c>
      <c r="J14" s="9" t="s">
        <v>40</v>
      </c>
      <c r="K14" s="11" t="s">
        <v>75</v>
      </c>
      <c r="L14" s="9" t="s">
        <v>55</v>
      </c>
      <c r="M14" s="11" t="s">
        <v>75</v>
      </c>
      <c r="N14" s="9" t="s">
        <v>40</v>
      </c>
      <c r="O14" s="9" t="s">
        <v>40</v>
      </c>
      <c r="P14" s="11" t="s">
        <v>75</v>
      </c>
    </row>
    <row r="15" spans="1:17" s="6" customFormat="1" ht="16.5" customHeight="1" outlineLevel="1" x14ac:dyDescent="0.15">
      <c r="A15" s="7">
        <v>1.7</v>
      </c>
      <c r="B15" s="8" t="s">
        <v>37</v>
      </c>
      <c r="C15" s="9" t="s">
        <v>40</v>
      </c>
      <c r="D15" s="9" t="s">
        <v>114</v>
      </c>
      <c r="E15" s="9" t="s">
        <v>44</v>
      </c>
      <c r="F15" s="9" t="s">
        <v>53</v>
      </c>
      <c r="G15" s="9" t="s">
        <v>55</v>
      </c>
      <c r="H15" s="9" t="s">
        <v>55</v>
      </c>
      <c r="I15" s="9" t="s">
        <v>55</v>
      </c>
      <c r="J15" s="9" t="s">
        <v>40</v>
      </c>
      <c r="K15" s="11" t="s">
        <v>75</v>
      </c>
      <c r="L15" s="9" t="s">
        <v>55</v>
      </c>
      <c r="M15" s="11" t="s">
        <v>75</v>
      </c>
      <c r="N15" s="9" t="s">
        <v>40</v>
      </c>
      <c r="O15" s="9" t="s">
        <v>40</v>
      </c>
      <c r="P15" s="11" t="s">
        <v>75</v>
      </c>
    </row>
    <row r="16" spans="1:17" s="6" customFormat="1" ht="16.5" customHeight="1" x14ac:dyDescent="0.15">
      <c r="A16" s="28" t="s">
        <v>76</v>
      </c>
      <c r="B16" s="29" t="s">
        <v>77</v>
      </c>
      <c r="C16" s="3" t="s">
        <v>96</v>
      </c>
      <c r="D16" s="3" t="s">
        <v>86</v>
      </c>
      <c r="E16" s="3" t="s">
        <v>87</v>
      </c>
      <c r="F16" s="3" t="s">
        <v>88</v>
      </c>
      <c r="G16" s="3" t="s">
        <v>89</v>
      </c>
      <c r="H16" s="3" t="s">
        <v>88</v>
      </c>
      <c r="I16" s="3" t="s">
        <v>89</v>
      </c>
      <c r="J16" s="3" t="s">
        <v>90</v>
      </c>
      <c r="K16" s="5" t="s">
        <v>74</v>
      </c>
      <c r="L16" s="3" t="s">
        <v>91</v>
      </c>
      <c r="M16" s="5" t="s">
        <v>74</v>
      </c>
      <c r="N16" s="3" t="s">
        <v>92</v>
      </c>
      <c r="O16" s="3" t="s">
        <v>93</v>
      </c>
      <c r="P16" s="5" t="s">
        <v>74</v>
      </c>
    </row>
    <row r="17" spans="1:16" s="6" customFormat="1" ht="16.5" customHeight="1" outlineLevel="1" x14ac:dyDescent="0.15">
      <c r="A17" s="30">
        <v>2.1</v>
      </c>
      <c r="B17" s="31" t="s">
        <v>95</v>
      </c>
      <c r="C17" s="3" t="s">
        <v>97</v>
      </c>
      <c r="D17" s="3" t="s">
        <v>100</v>
      </c>
      <c r="E17" s="3" t="s">
        <v>101</v>
      </c>
      <c r="F17" s="3" t="s">
        <v>102</v>
      </c>
      <c r="G17" s="3" t="s">
        <v>103</v>
      </c>
      <c r="H17" s="3" t="s">
        <v>102</v>
      </c>
      <c r="I17" s="3" t="s">
        <v>103</v>
      </c>
      <c r="J17" s="3" t="s">
        <v>104</v>
      </c>
      <c r="K17" s="5" t="s">
        <v>74</v>
      </c>
      <c r="L17" s="3" t="s">
        <v>105</v>
      </c>
      <c r="M17" s="5" t="s">
        <v>74</v>
      </c>
      <c r="N17" s="3" t="s">
        <v>106</v>
      </c>
      <c r="O17" s="3" t="s">
        <v>107</v>
      </c>
      <c r="P17" s="5" t="s">
        <v>74</v>
      </c>
    </row>
    <row r="18" spans="1:16" s="6" customFormat="1" ht="16.5" customHeight="1" outlineLevel="2" x14ac:dyDescent="0.15">
      <c r="A18" s="7" t="s">
        <v>94</v>
      </c>
      <c r="B18" s="8" t="s">
        <v>80</v>
      </c>
      <c r="C18" s="9" t="s">
        <v>99</v>
      </c>
      <c r="D18" s="9" t="s">
        <v>108</v>
      </c>
      <c r="E18" s="9" t="s">
        <v>44</v>
      </c>
      <c r="F18" s="9" t="s">
        <v>178</v>
      </c>
      <c r="G18" s="9" t="s">
        <v>55</v>
      </c>
      <c r="H18" s="9" t="s">
        <v>55</v>
      </c>
      <c r="I18" s="9" t="s">
        <v>55</v>
      </c>
      <c r="J18" s="9" t="s">
        <v>59</v>
      </c>
      <c r="K18" s="11" t="s">
        <v>74</v>
      </c>
      <c r="L18" s="9" t="s">
        <v>302</v>
      </c>
      <c r="M18" s="11" t="s">
        <v>75</v>
      </c>
      <c r="N18" s="9" t="s">
        <v>117</v>
      </c>
      <c r="O18" s="9" t="s">
        <v>119</v>
      </c>
      <c r="P18" s="11" t="s">
        <v>75</v>
      </c>
    </row>
    <row r="19" spans="1:16" s="6" customFormat="1" ht="16.5" customHeight="1" outlineLevel="2" x14ac:dyDescent="0.15">
      <c r="A19" s="7" t="s">
        <v>82</v>
      </c>
      <c r="B19" s="8" t="s">
        <v>83</v>
      </c>
      <c r="C19" s="9" t="s">
        <v>40</v>
      </c>
      <c r="D19" s="9" t="s">
        <v>109</v>
      </c>
      <c r="E19" s="9" t="s">
        <v>44</v>
      </c>
      <c r="F19" s="9" t="s">
        <v>179</v>
      </c>
      <c r="G19" s="9" t="s">
        <v>55</v>
      </c>
      <c r="H19" s="9" t="s">
        <v>55</v>
      </c>
      <c r="I19" s="9" t="s">
        <v>55</v>
      </c>
      <c r="J19" s="9" t="s">
        <v>40</v>
      </c>
      <c r="K19" s="11" t="s">
        <v>75</v>
      </c>
      <c r="L19" s="9" t="s">
        <v>55</v>
      </c>
      <c r="M19" s="11" t="s">
        <v>75</v>
      </c>
      <c r="N19" s="9" t="s">
        <v>118</v>
      </c>
      <c r="O19" s="9" t="s">
        <v>120</v>
      </c>
      <c r="P19" s="11" t="s">
        <v>75</v>
      </c>
    </row>
    <row r="20" spans="1:16" s="6" customFormat="1" ht="16.5" customHeight="1" outlineLevel="2" x14ac:dyDescent="0.15">
      <c r="A20" s="7" t="s">
        <v>84</v>
      </c>
      <c r="B20" s="8" t="s">
        <v>85</v>
      </c>
      <c r="C20" s="9" t="s">
        <v>40</v>
      </c>
      <c r="D20" s="9" t="s">
        <v>115</v>
      </c>
      <c r="E20" s="9" t="s">
        <v>44</v>
      </c>
      <c r="F20" s="9" t="s">
        <v>180</v>
      </c>
      <c r="G20" s="9" t="s">
        <v>55</v>
      </c>
      <c r="H20" s="9" t="s">
        <v>55</v>
      </c>
      <c r="I20" s="9" t="s">
        <v>55</v>
      </c>
      <c r="J20" s="9" t="s">
        <v>40</v>
      </c>
      <c r="K20" s="11" t="s">
        <v>75</v>
      </c>
      <c r="L20" s="9" t="s">
        <v>55</v>
      </c>
      <c r="M20" s="11" t="s">
        <v>75</v>
      </c>
      <c r="N20" s="9" t="s">
        <v>40</v>
      </c>
      <c r="O20" s="9" t="s">
        <v>40</v>
      </c>
      <c r="P20" s="11" t="s">
        <v>75</v>
      </c>
    </row>
    <row r="21" spans="1:16" s="6" customFormat="1" ht="16.5" customHeight="1" outlineLevel="1" x14ac:dyDescent="0.15">
      <c r="A21" s="30">
        <v>2.2000000000000002</v>
      </c>
      <c r="B21" s="31" t="s">
        <v>121</v>
      </c>
      <c r="C21" s="3" t="s">
        <v>97</v>
      </c>
      <c r="D21" s="3" t="s">
        <v>100</v>
      </c>
      <c r="E21" s="3" t="s">
        <v>101</v>
      </c>
      <c r="F21" s="3" t="s">
        <v>102</v>
      </c>
      <c r="G21" s="3" t="s">
        <v>103</v>
      </c>
      <c r="H21" s="3" t="s">
        <v>102</v>
      </c>
      <c r="I21" s="3" t="s">
        <v>103</v>
      </c>
      <c r="J21" s="3" t="s">
        <v>104</v>
      </c>
      <c r="K21" s="5" t="s">
        <v>74</v>
      </c>
      <c r="L21" s="3" t="s">
        <v>105</v>
      </c>
      <c r="M21" s="5" t="s">
        <v>74</v>
      </c>
      <c r="N21" s="3" t="s">
        <v>106</v>
      </c>
      <c r="O21" s="3" t="s">
        <v>107</v>
      </c>
      <c r="P21" s="5" t="s">
        <v>74</v>
      </c>
    </row>
    <row r="22" spans="1:16" s="6" customFormat="1" ht="16.5" customHeight="1" outlineLevel="2" x14ac:dyDescent="0.15">
      <c r="A22" s="7" t="s">
        <v>122</v>
      </c>
      <c r="B22" s="8" t="s">
        <v>123</v>
      </c>
      <c r="C22" s="9" t="s">
        <v>138</v>
      </c>
      <c r="D22" s="9" t="s">
        <v>140</v>
      </c>
      <c r="E22" s="9" t="s">
        <v>44</v>
      </c>
      <c r="F22" s="9" t="s">
        <v>181</v>
      </c>
      <c r="G22" s="9" t="s">
        <v>55</v>
      </c>
      <c r="H22" s="9" t="s">
        <v>55</v>
      </c>
      <c r="I22" s="9" t="s">
        <v>55</v>
      </c>
      <c r="J22" s="9" t="s">
        <v>59</v>
      </c>
      <c r="K22" s="11" t="s">
        <v>74</v>
      </c>
      <c r="L22" s="9" t="s">
        <v>55</v>
      </c>
      <c r="M22" s="11" t="s">
        <v>75</v>
      </c>
      <c r="N22" s="9" t="s">
        <v>147</v>
      </c>
      <c r="O22" s="9" t="s">
        <v>195</v>
      </c>
      <c r="P22" s="11" t="s">
        <v>75</v>
      </c>
    </row>
    <row r="23" spans="1:16" s="6" customFormat="1" ht="16.5" customHeight="1" outlineLevel="2" x14ac:dyDescent="0.15">
      <c r="A23" s="7" t="s">
        <v>125</v>
      </c>
      <c r="B23" s="8" t="s">
        <v>126</v>
      </c>
      <c r="C23" s="9" t="s">
        <v>139</v>
      </c>
      <c r="D23" s="9" t="s">
        <v>141</v>
      </c>
      <c r="E23" s="9" t="s">
        <v>44</v>
      </c>
      <c r="F23" s="9" t="s">
        <v>182</v>
      </c>
      <c r="G23" s="9" t="s">
        <v>55</v>
      </c>
      <c r="H23" s="9" t="s">
        <v>55</v>
      </c>
      <c r="I23" s="9" t="s">
        <v>55</v>
      </c>
      <c r="J23" s="9" t="s">
        <v>40</v>
      </c>
      <c r="K23" s="11" t="s">
        <v>75</v>
      </c>
      <c r="L23" s="9" t="s">
        <v>55</v>
      </c>
      <c r="M23" s="11" t="s">
        <v>75</v>
      </c>
      <c r="N23" s="9" t="s">
        <v>148</v>
      </c>
      <c r="O23" s="9" t="s">
        <v>196</v>
      </c>
      <c r="P23" s="11" t="s">
        <v>75</v>
      </c>
    </row>
    <row r="24" spans="1:16" s="6" customFormat="1" ht="16.5" customHeight="1" outlineLevel="2" x14ac:dyDescent="0.15">
      <c r="A24" s="7" t="s">
        <v>128</v>
      </c>
      <c r="B24" s="8" t="s">
        <v>129</v>
      </c>
      <c r="C24" s="9" t="s">
        <v>40</v>
      </c>
      <c r="D24" s="9" t="s">
        <v>142</v>
      </c>
      <c r="E24" s="9" t="s">
        <v>44</v>
      </c>
      <c r="F24" s="9" t="s">
        <v>183</v>
      </c>
      <c r="G24" s="9" t="s">
        <v>55</v>
      </c>
      <c r="H24" s="9" t="s">
        <v>55</v>
      </c>
      <c r="I24" s="9" t="s">
        <v>55</v>
      </c>
      <c r="J24" s="9" t="s">
        <v>40</v>
      </c>
      <c r="K24" s="11" t="s">
        <v>74</v>
      </c>
      <c r="L24" s="9" t="s">
        <v>55</v>
      </c>
      <c r="M24" s="11" t="s">
        <v>75</v>
      </c>
      <c r="N24" s="9" t="s">
        <v>40</v>
      </c>
      <c r="O24" s="9" t="s">
        <v>40</v>
      </c>
      <c r="P24" s="11" t="s">
        <v>75</v>
      </c>
    </row>
    <row r="25" spans="1:16" s="6" customFormat="1" ht="16.5" customHeight="1" outlineLevel="2" x14ac:dyDescent="0.15">
      <c r="A25" s="7" t="s">
        <v>130</v>
      </c>
      <c r="B25" s="8" t="s">
        <v>131</v>
      </c>
      <c r="C25" s="9" t="s">
        <v>40</v>
      </c>
      <c r="D25" s="9" t="s">
        <v>143</v>
      </c>
      <c r="E25" s="9" t="s">
        <v>44</v>
      </c>
      <c r="F25" s="9" t="s">
        <v>184</v>
      </c>
      <c r="G25" s="9" t="s">
        <v>55</v>
      </c>
      <c r="H25" s="9" t="s">
        <v>55</v>
      </c>
      <c r="I25" s="9" t="s">
        <v>55</v>
      </c>
      <c r="J25" s="9" t="s">
        <v>40</v>
      </c>
      <c r="K25" s="11" t="s">
        <v>75</v>
      </c>
      <c r="L25" s="9" t="s">
        <v>55</v>
      </c>
      <c r="M25" s="11" t="s">
        <v>75</v>
      </c>
      <c r="N25" s="9" t="s">
        <v>40</v>
      </c>
      <c r="O25" s="9" t="s">
        <v>40</v>
      </c>
      <c r="P25" s="11" t="s">
        <v>75</v>
      </c>
    </row>
    <row r="26" spans="1:16" s="6" customFormat="1" ht="16.5" customHeight="1" outlineLevel="2" x14ac:dyDescent="0.15">
      <c r="A26" s="7" t="s">
        <v>132</v>
      </c>
      <c r="B26" s="8" t="s">
        <v>133</v>
      </c>
      <c r="C26" s="9" t="s">
        <v>40</v>
      </c>
      <c r="D26" s="9" t="s">
        <v>144</v>
      </c>
      <c r="E26" s="9" t="s">
        <v>44</v>
      </c>
      <c r="F26" s="9" t="s">
        <v>185</v>
      </c>
      <c r="G26" s="9" t="s">
        <v>55</v>
      </c>
      <c r="H26" s="9" t="s">
        <v>55</v>
      </c>
      <c r="I26" s="9" t="s">
        <v>55</v>
      </c>
      <c r="J26" s="9" t="s">
        <v>40</v>
      </c>
      <c r="K26" s="11" t="s">
        <v>74</v>
      </c>
      <c r="L26" s="9" t="s">
        <v>55</v>
      </c>
      <c r="M26" s="11" t="s">
        <v>75</v>
      </c>
      <c r="N26" s="9" t="s">
        <v>40</v>
      </c>
      <c r="O26" s="9" t="s">
        <v>40</v>
      </c>
      <c r="P26" s="11" t="s">
        <v>75</v>
      </c>
    </row>
    <row r="27" spans="1:16" s="6" customFormat="1" ht="16.5" customHeight="1" outlineLevel="2" x14ac:dyDescent="0.15">
      <c r="A27" s="7" t="s">
        <v>135</v>
      </c>
      <c r="B27" s="8" t="s">
        <v>136</v>
      </c>
      <c r="C27" s="9" t="s">
        <v>40</v>
      </c>
      <c r="D27" s="9" t="s">
        <v>145</v>
      </c>
      <c r="E27" s="9" t="s">
        <v>44</v>
      </c>
      <c r="F27" s="9" t="s">
        <v>186</v>
      </c>
      <c r="G27" s="9" t="s">
        <v>55</v>
      </c>
      <c r="H27" s="9" t="s">
        <v>55</v>
      </c>
      <c r="I27" s="9" t="s">
        <v>55</v>
      </c>
      <c r="J27" s="9" t="s">
        <v>40</v>
      </c>
      <c r="K27" s="11" t="s">
        <v>75</v>
      </c>
      <c r="L27" s="9" t="s">
        <v>146</v>
      </c>
      <c r="M27" s="11" t="s">
        <v>75</v>
      </c>
      <c r="N27" s="9" t="s">
        <v>40</v>
      </c>
      <c r="O27" s="9" t="s">
        <v>40</v>
      </c>
      <c r="P27" s="11" t="s">
        <v>75</v>
      </c>
    </row>
    <row r="28" spans="1:16" s="6" customFormat="1" ht="16.5" customHeight="1" outlineLevel="1" x14ac:dyDescent="0.15">
      <c r="A28" s="30">
        <v>2.2999999999999998</v>
      </c>
      <c r="B28" s="31" t="s">
        <v>149</v>
      </c>
      <c r="C28" s="3" t="s">
        <v>97</v>
      </c>
      <c r="D28" s="3" t="s">
        <v>100</v>
      </c>
      <c r="E28" s="3" t="s">
        <v>101</v>
      </c>
      <c r="F28" s="3" t="s">
        <v>102</v>
      </c>
      <c r="G28" s="3" t="s">
        <v>103</v>
      </c>
      <c r="H28" s="3" t="s">
        <v>102</v>
      </c>
      <c r="I28" s="3" t="s">
        <v>103</v>
      </c>
      <c r="J28" s="3" t="s">
        <v>104</v>
      </c>
      <c r="K28" s="5" t="s">
        <v>74</v>
      </c>
      <c r="L28" s="3" t="s">
        <v>105</v>
      </c>
      <c r="M28" s="5" t="s">
        <v>74</v>
      </c>
      <c r="N28" s="3" t="s">
        <v>106</v>
      </c>
      <c r="O28" s="3" t="s">
        <v>107</v>
      </c>
      <c r="P28" s="5" t="s">
        <v>74</v>
      </c>
    </row>
    <row r="29" spans="1:16" s="6" customFormat="1" ht="16.5" customHeight="1" outlineLevel="2" x14ac:dyDescent="0.15">
      <c r="A29" s="7" t="s">
        <v>150</v>
      </c>
      <c r="B29" s="8" t="s">
        <v>151</v>
      </c>
      <c r="C29" s="9" t="s">
        <v>168</v>
      </c>
      <c r="D29" s="9" t="s">
        <v>170</v>
      </c>
      <c r="E29" s="9" t="s">
        <v>44</v>
      </c>
      <c r="F29" s="9" t="s">
        <v>187</v>
      </c>
      <c r="G29" s="9" t="s">
        <v>55</v>
      </c>
      <c r="H29" s="9" t="s">
        <v>55</v>
      </c>
      <c r="I29" s="9" t="s">
        <v>55</v>
      </c>
      <c r="J29" s="9" t="s">
        <v>59</v>
      </c>
      <c r="K29" s="11" t="s">
        <v>74</v>
      </c>
      <c r="L29" s="9" t="s">
        <v>55</v>
      </c>
      <c r="M29" s="11" t="s">
        <v>75</v>
      </c>
      <c r="N29" s="9" t="s">
        <v>197</v>
      </c>
      <c r="O29" s="9" t="s">
        <v>199</v>
      </c>
      <c r="P29" s="11" t="s">
        <v>75</v>
      </c>
    </row>
    <row r="30" spans="1:16" s="6" customFormat="1" ht="16.5" customHeight="1" outlineLevel="2" x14ac:dyDescent="0.15">
      <c r="A30" s="7" t="s">
        <v>154</v>
      </c>
      <c r="B30" s="8" t="s">
        <v>155</v>
      </c>
      <c r="C30" s="9" t="s">
        <v>169</v>
      </c>
      <c r="D30" s="9" t="s">
        <v>171</v>
      </c>
      <c r="E30" s="9" t="s">
        <v>44</v>
      </c>
      <c r="F30" s="9" t="s">
        <v>188</v>
      </c>
      <c r="G30" s="9" t="s">
        <v>55</v>
      </c>
      <c r="H30" s="9" t="s">
        <v>55</v>
      </c>
      <c r="I30" s="9" t="s">
        <v>55</v>
      </c>
      <c r="J30" s="9" t="s">
        <v>40</v>
      </c>
      <c r="K30" s="11" t="s">
        <v>75</v>
      </c>
      <c r="L30" s="9" t="s">
        <v>55</v>
      </c>
      <c r="M30" s="11" t="s">
        <v>75</v>
      </c>
      <c r="N30" s="9" t="s">
        <v>198</v>
      </c>
      <c r="O30" s="9" t="s">
        <v>200</v>
      </c>
      <c r="P30" s="11" t="s">
        <v>75</v>
      </c>
    </row>
    <row r="31" spans="1:16" s="6" customFormat="1" ht="16.5" customHeight="1" outlineLevel="2" x14ac:dyDescent="0.15">
      <c r="A31" s="7" t="s">
        <v>156</v>
      </c>
      <c r="B31" s="8" t="s">
        <v>157</v>
      </c>
      <c r="C31" s="9" t="s">
        <v>40</v>
      </c>
      <c r="D31" s="9" t="s">
        <v>172</v>
      </c>
      <c r="E31" s="9" t="s">
        <v>44</v>
      </c>
      <c r="F31" s="9" t="s">
        <v>189</v>
      </c>
      <c r="G31" s="9" t="s">
        <v>55</v>
      </c>
      <c r="H31" s="9" t="s">
        <v>55</v>
      </c>
      <c r="I31" s="9" t="s">
        <v>55</v>
      </c>
      <c r="J31" s="9" t="s">
        <v>40</v>
      </c>
      <c r="K31" s="11" t="s">
        <v>74</v>
      </c>
      <c r="L31" s="9" t="s">
        <v>55</v>
      </c>
      <c r="M31" s="11" t="s">
        <v>75</v>
      </c>
      <c r="N31" s="9" t="s">
        <v>40</v>
      </c>
      <c r="O31" s="9" t="s">
        <v>40</v>
      </c>
      <c r="P31" s="11" t="s">
        <v>75</v>
      </c>
    </row>
    <row r="32" spans="1:16" s="6" customFormat="1" ht="16.5" customHeight="1" outlineLevel="2" x14ac:dyDescent="0.15">
      <c r="A32" s="7" t="s">
        <v>158</v>
      </c>
      <c r="B32" s="8" t="s">
        <v>159</v>
      </c>
      <c r="C32" s="9" t="s">
        <v>40</v>
      </c>
      <c r="D32" s="9" t="s">
        <v>173</v>
      </c>
      <c r="E32" s="9" t="s">
        <v>44</v>
      </c>
      <c r="F32" s="9" t="s">
        <v>190</v>
      </c>
      <c r="G32" s="9" t="s">
        <v>55</v>
      </c>
      <c r="H32" s="9" t="s">
        <v>55</v>
      </c>
      <c r="I32" s="9" t="s">
        <v>55</v>
      </c>
      <c r="J32" s="9" t="s">
        <v>40</v>
      </c>
      <c r="K32" s="11" t="s">
        <v>75</v>
      </c>
      <c r="L32" s="9" t="s">
        <v>55</v>
      </c>
      <c r="M32" s="11" t="s">
        <v>75</v>
      </c>
      <c r="N32" s="9" t="s">
        <v>40</v>
      </c>
      <c r="O32" s="9" t="s">
        <v>40</v>
      </c>
      <c r="P32" s="11" t="s">
        <v>75</v>
      </c>
    </row>
    <row r="33" spans="1:16" s="6" customFormat="1" ht="16.5" customHeight="1" outlineLevel="2" x14ac:dyDescent="0.15">
      <c r="A33" s="7" t="s">
        <v>160</v>
      </c>
      <c r="B33" s="8" t="s">
        <v>161</v>
      </c>
      <c r="C33" s="9" t="s">
        <v>40</v>
      </c>
      <c r="D33" s="9" t="s">
        <v>174</v>
      </c>
      <c r="E33" s="9" t="s">
        <v>44</v>
      </c>
      <c r="F33" s="9" t="s">
        <v>191</v>
      </c>
      <c r="G33" s="9" t="s">
        <v>55</v>
      </c>
      <c r="H33" s="9" t="s">
        <v>55</v>
      </c>
      <c r="I33" s="9" t="s">
        <v>55</v>
      </c>
      <c r="J33" s="9" t="s">
        <v>40</v>
      </c>
      <c r="K33" s="11" t="s">
        <v>74</v>
      </c>
      <c r="L33" s="9" t="s">
        <v>194</v>
      </c>
      <c r="M33" s="11" t="s">
        <v>75</v>
      </c>
      <c r="N33" s="9" t="s">
        <v>40</v>
      </c>
      <c r="O33" s="9" t="s">
        <v>40</v>
      </c>
      <c r="P33" s="11" t="s">
        <v>75</v>
      </c>
    </row>
    <row r="34" spans="1:16" s="6" customFormat="1" ht="16.5" customHeight="1" outlineLevel="2" x14ac:dyDescent="0.15">
      <c r="A34" s="7" t="s">
        <v>163</v>
      </c>
      <c r="B34" s="8" t="s">
        <v>164</v>
      </c>
      <c r="C34" s="9" t="s">
        <v>40</v>
      </c>
      <c r="D34" s="9" t="s">
        <v>175</v>
      </c>
      <c r="E34" s="9" t="s">
        <v>44</v>
      </c>
      <c r="F34" s="9" t="s">
        <v>192</v>
      </c>
      <c r="G34" s="9" t="s">
        <v>55</v>
      </c>
      <c r="H34" s="9" t="s">
        <v>55</v>
      </c>
      <c r="I34" s="9" t="s">
        <v>55</v>
      </c>
      <c r="J34" s="9" t="s">
        <v>40</v>
      </c>
      <c r="K34" s="11" t="s">
        <v>74</v>
      </c>
      <c r="L34" s="9" t="s">
        <v>43</v>
      </c>
      <c r="M34" s="11" t="s">
        <v>75</v>
      </c>
      <c r="N34" s="9" t="s">
        <v>40</v>
      </c>
      <c r="O34" s="9" t="s">
        <v>40</v>
      </c>
      <c r="P34" s="11" t="s">
        <v>75</v>
      </c>
    </row>
    <row r="35" spans="1:16" s="6" customFormat="1" ht="16.5" customHeight="1" outlineLevel="2" x14ac:dyDescent="0.15">
      <c r="A35" s="7" t="s">
        <v>166</v>
      </c>
      <c r="B35" s="8" t="s">
        <v>167</v>
      </c>
      <c r="C35" s="9" t="s">
        <v>40</v>
      </c>
      <c r="D35" s="9" t="s">
        <v>176</v>
      </c>
      <c r="E35" s="9" t="s">
        <v>44</v>
      </c>
      <c r="F35" s="9" t="s">
        <v>193</v>
      </c>
      <c r="G35" s="9" t="s">
        <v>55</v>
      </c>
      <c r="H35" s="9" t="s">
        <v>55</v>
      </c>
      <c r="I35" s="9" t="s">
        <v>55</v>
      </c>
      <c r="J35" s="9" t="s">
        <v>40</v>
      </c>
      <c r="K35" s="11" t="s">
        <v>75</v>
      </c>
      <c r="L35" s="9" t="s">
        <v>43</v>
      </c>
      <c r="M35" s="11" t="s">
        <v>75</v>
      </c>
      <c r="N35" s="9" t="s">
        <v>40</v>
      </c>
      <c r="O35" s="9" t="s">
        <v>40</v>
      </c>
      <c r="P35" s="11" t="s">
        <v>75</v>
      </c>
    </row>
    <row r="36" spans="1:16" s="6" customFormat="1" ht="16.5" customHeight="1" outlineLevel="1" x14ac:dyDescent="0.15">
      <c r="A36" s="30">
        <v>2.4</v>
      </c>
      <c r="B36" s="31" t="s">
        <v>201</v>
      </c>
      <c r="C36" s="3" t="s">
        <v>97</v>
      </c>
      <c r="D36" s="3" t="s">
        <v>100</v>
      </c>
      <c r="E36" s="3" t="s">
        <v>101</v>
      </c>
      <c r="F36" s="3" t="s">
        <v>102</v>
      </c>
      <c r="G36" s="3" t="s">
        <v>103</v>
      </c>
      <c r="H36" s="3" t="s">
        <v>102</v>
      </c>
      <c r="I36" s="3" t="s">
        <v>103</v>
      </c>
      <c r="J36" s="3" t="s">
        <v>104</v>
      </c>
      <c r="K36" s="5" t="s">
        <v>74</v>
      </c>
      <c r="L36" s="3" t="s">
        <v>105</v>
      </c>
      <c r="M36" s="5" t="s">
        <v>74</v>
      </c>
      <c r="N36" s="3" t="s">
        <v>106</v>
      </c>
      <c r="O36" s="3" t="s">
        <v>107</v>
      </c>
      <c r="P36" s="5" t="s">
        <v>74</v>
      </c>
    </row>
    <row r="37" spans="1:16" s="6" customFormat="1" ht="16.5" customHeight="1" outlineLevel="2" x14ac:dyDescent="0.15">
      <c r="A37" s="7" t="s">
        <v>202</v>
      </c>
      <c r="B37" s="8" t="s">
        <v>203</v>
      </c>
      <c r="C37" s="9" t="s">
        <v>213</v>
      </c>
      <c r="D37" s="9" t="s">
        <v>242</v>
      </c>
      <c r="E37" s="9" t="s">
        <v>44</v>
      </c>
      <c r="F37" s="9" t="s">
        <v>218</v>
      </c>
      <c r="G37" s="9" t="s">
        <v>55</v>
      </c>
      <c r="H37" s="9" t="s">
        <v>55</v>
      </c>
      <c r="I37" s="9" t="s">
        <v>55</v>
      </c>
      <c r="J37" s="9" t="s">
        <v>59</v>
      </c>
      <c r="K37" s="11" t="s">
        <v>74</v>
      </c>
      <c r="L37" s="9" t="s">
        <v>55</v>
      </c>
      <c r="M37" s="11" t="s">
        <v>75</v>
      </c>
      <c r="N37" s="9" t="s">
        <v>222</v>
      </c>
      <c r="O37" s="9" t="s">
        <v>224</v>
      </c>
      <c r="P37" s="11" t="s">
        <v>75</v>
      </c>
    </row>
    <row r="38" spans="1:16" s="6" customFormat="1" ht="16.5" customHeight="1" outlineLevel="2" x14ac:dyDescent="0.15">
      <c r="A38" s="7" t="s">
        <v>204</v>
      </c>
      <c r="B38" s="8" t="s">
        <v>205</v>
      </c>
      <c r="C38" s="9" t="s">
        <v>214</v>
      </c>
      <c r="D38" s="9" t="s">
        <v>215</v>
      </c>
      <c r="E38" s="9" t="s">
        <v>44</v>
      </c>
      <c r="F38" s="9" t="s">
        <v>219</v>
      </c>
      <c r="G38" s="9" t="s">
        <v>55</v>
      </c>
      <c r="H38" s="9" t="s">
        <v>55</v>
      </c>
      <c r="I38" s="9" t="s">
        <v>55</v>
      </c>
      <c r="J38" s="9" t="s">
        <v>40</v>
      </c>
      <c r="K38" s="11" t="s">
        <v>74</v>
      </c>
      <c r="L38" s="9" t="s">
        <v>55</v>
      </c>
      <c r="M38" s="11" t="s">
        <v>75</v>
      </c>
      <c r="N38" s="9" t="s">
        <v>223</v>
      </c>
      <c r="O38" s="9" t="s">
        <v>225</v>
      </c>
      <c r="P38" s="11" t="s">
        <v>75</v>
      </c>
    </row>
    <row r="39" spans="1:16" s="6" customFormat="1" ht="16.5" customHeight="1" outlineLevel="2" x14ac:dyDescent="0.15">
      <c r="A39" s="7" t="s">
        <v>207</v>
      </c>
      <c r="B39" s="8" t="s">
        <v>208</v>
      </c>
      <c r="C39" s="9" t="s">
        <v>40</v>
      </c>
      <c r="D39" s="9" t="s">
        <v>216</v>
      </c>
      <c r="E39" s="9" t="s">
        <v>44</v>
      </c>
      <c r="F39" s="9" t="s">
        <v>220</v>
      </c>
      <c r="G39" s="9" t="s">
        <v>55</v>
      </c>
      <c r="H39" s="9" t="s">
        <v>55</v>
      </c>
      <c r="I39" s="9" t="s">
        <v>55</v>
      </c>
      <c r="J39" s="9" t="s">
        <v>40</v>
      </c>
      <c r="K39" s="11" t="s">
        <v>75</v>
      </c>
      <c r="L39" s="9" t="s">
        <v>303</v>
      </c>
      <c r="M39" s="11" t="s">
        <v>75</v>
      </c>
      <c r="N39" s="9" t="s">
        <v>40</v>
      </c>
      <c r="O39" s="9" t="s">
        <v>40</v>
      </c>
      <c r="P39" s="11" t="s">
        <v>75</v>
      </c>
    </row>
    <row r="40" spans="1:16" s="6" customFormat="1" ht="16.5" customHeight="1" outlineLevel="2" x14ac:dyDescent="0.15">
      <c r="A40" s="7" t="s">
        <v>210</v>
      </c>
      <c r="B40" s="8" t="s">
        <v>211</v>
      </c>
      <c r="C40" s="9" t="s">
        <v>40</v>
      </c>
      <c r="D40" s="9" t="s">
        <v>217</v>
      </c>
      <c r="E40" s="9" t="s">
        <v>44</v>
      </c>
      <c r="F40" s="9" t="s">
        <v>221</v>
      </c>
      <c r="G40" s="9" t="s">
        <v>55</v>
      </c>
      <c r="H40" s="9" t="s">
        <v>55</v>
      </c>
      <c r="I40" s="9" t="s">
        <v>55</v>
      </c>
      <c r="J40" s="9" t="s">
        <v>40</v>
      </c>
      <c r="K40" s="11" t="s">
        <v>75</v>
      </c>
      <c r="L40" s="9" t="s">
        <v>304</v>
      </c>
      <c r="M40" s="11" t="s">
        <v>75</v>
      </c>
      <c r="N40" s="9" t="s">
        <v>40</v>
      </c>
      <c r="O40" s="9" t="s">
        <v>40</v>
      </c>
      <c r="P40" s="11" t="s">
        <v>75</v>
      </c>
    </row>
    <row r="41" spans="1:16" s="6" customFormat="1" ht="16.5" customHeight="1" outlineLevel="1" x14ac:dyDescent="0.15">
      <c r="A41" s="30">
        <v>2.5</v>
      </c>
      <c r="B41" s="31" t="s">
        <v>226</v>
      </c>
      <c r="C41" s="3" t="s">
        <v>97</v>
      </c>
      <c r="D41" s="3" t="s">
        <v>100</v>
      </c>
      <c r="E41" s="3" t="s">
        <v>101</v>
      </c>
      <c r="F41" s="3" t="s">
        <v>102</v>
      </c>
      <c r="G41" s="3" t="s">
        <v>103</v>
      </c>
      <c r="H41" s="3" t="s">
        <v>102</v>
      </c>
      <c r="I41" s="3" t="s">
        <v>103</v>
      </c>
      <c r="J41" s="3" t="s">
        <v>104</v>
      </c>
      <c r="K41" s="5" t="s">
        <v>74</v>
      </c>
      <c r="L41" s="3" t="s">
        <v>105</v>
      </c>
      <c r="M41" s="5" t="s">
        <v>74</v>
      </c>
      <c r="N41" s="3" t="s">
        <v>106</v>
      </c>
      <c r="O41" s="3" t="s">
        <v>107</v>
      </c>
      <c r="P41" s="5" t="s">
        <v>74</v>
      </c>
    </row>
    <row r="42" spans="1:16" s="6" customFormat="1" ht="16.5" customHeight="1" outlineLevel="2" x14ac:dyDescent="0.15">
      <c r="A42" s="7" t="s">
        <v>227</v>
      </c>
      <c r="B42" s="8" t="s">
        <v>243</v>
      </c>
      <c r="C42" s="9" t="s">
        <v>240</v>
      </c>
      <c r="D42" s="9" t="s">
        <v>244</v>
      </c>
      <c r="E42" s="9" t="s">
        <v>44</v>
      </c>
      <c r="F42" s="9" t="s">
        <v>580</v>
      </c>
      <c r="G42" s="9" t="s">
        <v>55</v>
      </c>
      <c r="H42" s="9" t="s">
        <v>55</v>
      </c>
      <c r="I42" s="9" t="s">
        <v>55</v>
      </c>
      <c r="J42" s="9" t="s">
        <v>59</v>
      </c>
      <c r="K42" s="11" t="s">
        <v>74</v>
      </c>
      <c r="L42" s="9" t="s">
        <v>55</v>
      </c>
      <c r="M42" s="11" t="s">
        <v>75</v>
      </c>
      <c r="N42" s="9" t="s">
        <v>247</v>
      </c>
      <c r="O42" s="9" t="s">
        <v>248</v>
      </c>
      <c r="P42" s="11" t="s">
        <v>75</v>
      </c>
    </row>
    <row r="43" spans="1:16" s="6" customFormat="1" ht="16.5" customHeight="1" outlineLevel="2" x14ac:dyDescent="0.15">
      <c r="A43" s="7" t="s">
        <v>229</v>
      </c>
      <c r="B43" s="8" t="s">
        <v>230</v>
      </c>
      <c r="C43" s="9" t="s">
        <v>241</v>
      </c>
      <c r="D43" s="9" t="s">
        <v>245</v>
      </c>
      <c r="E43" s="9" t="s">
        <v>44</v>
      </c>
      <c r="F43" s="9" t="s">
        <v>581</v>
      </c>
      <c r="G43" s="9" t="s">
        <v>55</v>
      </c>
      <c r="H43" s="9" t="s">
        <v>55</v>
      </c>
      <c r="I43" s="9" t="s">
        <v>55</v>
      </c>
      <c r="J43" s="9" t="s">
        <v>40</v>
      </c>
      <c r="K43" s="11" t="s">
        <v>74</v>
      </c>
      <c r="L43" s="9" t="s">
        <v>305</v>
      </c>
      <c r="M43" s="11" t="s">
        <v>75</v>
      </c>
      <c r="N43" s="9" t="s">
        <v>249</v>
      </c>
      <c r="O43" s="9" t="s">
        <v>250</v>
      </c>
      <c r="P43" s="11" t="s">
        <v>75</v>
      </c>
    </row>
    <row r="44" spans="1:16" s="6" customFormat="1" ht="16.5" customHeight="1" outlineLevel="2" x14ac:dyDescent="0.15">
      <c r="A44" s="7" t="s">
        <v>231</v>
      </c>
      <c r="B44" s="8" t="s">
        <v>232</v>
      </c>
      <c r="C44" s="9" t="s">
        <v>40</v>
      </c>
      <c r="D44" s="9" t="s">
        <v>246</v>
      </c>
      <c r="E44" s="9" t="s">
        <v>44</v>
      </c>
      <c r="F44" s="9" t="s">
        <v>582</v>
      </c>
      <c r="G44" s="9" t="s">
        <v>55</v>
      </c>
      <c r="H44" s="9" t="s">
        <v>55</v>
      </c>
      <c r="I44" s="9" t="s">
        <v>55</v>
      </c>
      <c r="J44" s="9" t="s">
        <v>40</v>
      </c>
      <c r="K44" s="11" t="s">
        <v>75</v>
      </c>
      <c r="L44" s="9" t="s">
        <v>55</v>
      </c>
      <c r="M44" s="11" t="s">
        <v>75</v>
      </c>
      <c r="N44" s="9" t="s">
        <v>40</v>
      </c>
      <c r="O44" s="9" t="s">
        <v>40</v>
      </c>
      <c r="P44" s="11" t="s">
        <v>75</v>
      </c>
    </row>
    <row r="45" spans="1:16" s="6" customFormat="1" ht="16.5" customHeight="1" outlineLevel="2" x14ac:dyDescent="0.15">
      <c r="A45" s="7" t="s">
        <v>234</v>
      </c>
      <c r="B45" s="8" t="s">
        <v>235</v>
      </c>
      <c r="C45" s="9" t="s">
        <v>40</v>
      </c>
      <c r="D45" s="9" t="s">
        <v>267</v>
      </c>
      <c r="E45" s="9" t="s">
        <v>44</v>
      </c>
      <c r="F45" s="9" t="s">
        <v>583</v>
      </c>
      <c r="G45" s="9" t="s">
        <v>55</v>
      </c>
      <c r="H45" s="9" t="s">
        <v>55</v>
      </c>
      <c r="I45" s="9" t="s">
        <v>55</v>
      </c>
      <c r="J45" s="9" t="s">
        <v>40</v>
      </c>
      <c r="K45" s="11" t="s">
        <v>74</v>
      </c>
      <c r="L45" s="9" t="s">
        <v>55</v>
      </c>
      <c r="M45" s="11" t="s">
        <v>75</v>
      </c>
      <c r="N45" s="9" t="s">
        <v>40</v>
      </c>
      <c r="O45" s="9" t="s">
        <v>40</v>
      </c>
      <c r="P45" s="11" t="s">
        <v>75</v>
      </c>
    </row>
    <row r="46" spans="1:16" s="6" customFormat="1" ht="16.5" customHeight="1" outlineLevel="2" x14ac:dyDescent="0.15">
      <c r="A46" s="7" t="s">
        <v>236</v>
      </c>
      <c r="B46" s="36" t="s">
        <v>237</v>
      </c>
      <c r="C46" s="9" t="s">
        <v>40</v>
      </c>
      <c r="D46" s="9" t="s">
        <v>44</v>
      </c>
      <c r="E46" s="9" t="s">
        <v>44</v>
      </c>
      <c r="F46" s="9" t="s">
        <v>44</v>
      </c>
      <c r="G46" s="9" t="s">
        <v>55</v>
      </c>
      <c r="H46" s="9" t="s">
        <v>55</v>
      </c>
      <c r="I46" s="9" t="s">
        <v>55</v>
      </c>
      <c r="J46" s="9" t="s">
        <v>40</v>
      </c>
      <c r="K46" s="11" t="s">
        <v>74</v>
      </c>
      <c r="L46" s="9" t="s">
        <v>55</v>
      </c>
      <c r="M46" s="11" t="s">
        <v>75</v>
      </c>
      <c r="N46" s="9" t="s">
        <v>40</v>
      </c>
      <c r="O46" s="9" t="s">
        <v>40</v>
      </c>
      <c r="P46" s="11" t="s">
        <v>75</v>
      </c>
    </row>
    <row r="47" spans="1:16" s="6" customFormat="1" ht="16.5" customHeight="1" outlineLevel="2" x14ac:dyDescent="0.15">
      <c r="A47" s="7" t="s">
        <v>238</v>
      </c>
      <c r="B47" s="36" t="s">
        <v>239</v>
      </c>
      <c r="C47" s="9" t="s">
        <v>40</v>
      </c>
      <c r="D47" s="9" t="s">
        <v>44</v>
      </c>
      <c r="E47" s="9" t="s">
        <v>44</v>
      </c>
      <c r="F47" s="9" t="s">
        <v>44</v>
      </c>
      <c r="G47" s="9" t="s">
        <v>55</v>
      </c>
      <c r="H47" s="9" t="s">
        <v>55</v>
      </c>
      <c r="I47" s="9" t="s">
        <v>55</v>
      </c>
      <c r="J47" s="9" t="s">
        <v>40</v>
      </c>
      <c r="K47" s="11" t="s">
        <v>75</v>
      </c>
      <c r="L47" s="9" t="s">
        <v>55</v>
      </c>
      <c r="M47" s="11" t="s">
        <v>75</v>
      </c>
      <c r="N47" s="9" t="s">
        <v>40</v>
      </c>
      <c r="O47" s="9" t="s">
        <v>40</v>
      </c>
      <c r="P47" s="11" t="s">
        <v>75</v>
      </c>
    </row>
    <row r="48" spans="1:16" s="6" customFormat="1" ht="16.5" customHeight="1" outlineLevel="1" x14ac:dyDescent="0.15">
      <c r="A48" s="30">
        <v>2.6</v>
      </c>
      <c r="B48" s="31" t="s">
        <v>251</v>
      </c>
      <c r="C48" s="3" t="s">
        <v>97</v>
      </c>
      <c r="D48" s="3" t="s">
        <v>100</v>
      </c>
      <c r="E48" s="3" t="s">
        <v>101</v>
      </c>
      <c r="F48" s="3" t="s">
        <v>102</v>
      </c>
      <c r="G48" s="3" t="s">
        <v>103</v>
      </c>
      <c r="H48" s="3" t="s">
        <v>102</v>
      </c>
      <c r="I48" s="3" t="s">
        <v>103</v>
      </c>
      <c r="J48" s="3" t="s">
        <v>104</v>
      </c>
      <c r="K48" s="5" t="s">
        <v>74</v>
      </c>
      <c r="L48" s="3" t="s">
        <v>105</v>
      </c>
      <c r="M48" s="5" t="s">
        <v>74</v>
      </c>
      <c r="N48" s="3" t="s">
        <v>106</v>
      </c>
      <c r="O48" s="3" t="s">
        <v>107</v>
      </c>
      <c r="P48" s="5" t="s">
        <v>74</v>
      </c>
    </row>
    <row r="49" spans="1:16" s="6" customFormat="1" ht="16.5" customHeight="1" outlineLevel="2" x14ac:dyDescent="0.15">
      <c r="A49" s="7" t="s">
        <v>252</v>
      </c>
      <c r="B49" s="8" t="s">
        <v>268</v>
      </c>
      <c r="C49" s="9" t="s">
        <v>265</v>
      </c>
      <c r="D49" s="9" t="s">
        <v>293</v>
      </c>
      <c r="E49" s="9" t="s">
        <v>44</v>
      </c>
      <c r="F49" s="9" t="s">
        <v>584</v>
      </c>
      <c r="G49" s="9" t="s">
        <v>55</v>
      </c>
      <c r="H49" s="9" t="s">
        <v>55</v>
      </c>
      <c r="I49" s="9" t="s">
        <v>55</v>
      </c>
      <c r="J49" s="9" t="s">
        <v>59</v>
      </c>
      <c r="K49" s="11" t="s">
        <v>74</v>
      </c>
      <c r="L49" s="9" t="s">
        <v>55</v>
      </c>
      <c r="M49" s="11" t="s">
        <v>75</v>
      </c>
      <c r="N49" s="9" t="s">
        <v>274</v>
      </c>
      <c r="O49" s="9" t="s">
        <v>276</v>
      </c>
      <c r="P49" s="11" t="s">
        <v>75</v>
      </c>
    </row>
    <row r="50" spans="1:16" s="6" customFormat="1" ht="16.5" customHeight="1" outlineLevel="2" x14ac:dyDescent="0.15">
      <c r="A50" s="7" t="s">
        <v>254</v>
      </c>
      <c r="B50" s="8" t="s">
        <v>255</v>
      </c>
      <c r="C50" s="9" t="s">
        <v>266</v>
      </c>
      <c r="D50" s="9" t="s">
        <v>269</v>
      </c>
      <c r="E50" s="9" t="s">
        <v>44</v>
      </c>
      <c r="F50" s="9" t="s">
        <v>585</v>
      </c>
      <c r="G50" s="9" t="s">
        <v>55</v>
      </c>
      <c r="H50" s="9" t="s">
        <v>55</v>
      </c>
      <c r="I50" s="9" t="s">
        <v>55</v>
      </c>
      <c r="J50" s="9" t="s">
        <v>40</v>
      </c>
      <c r="K50" s="11" t="s">
        <v>74</v>
      </c>
      <c r="L50" s="9" t="s">
        <v>306</v>
      </c>
      <c r="M50" s="11" t="s">
        <v>75</v>
      </c>
      <c r="N50" s="9" t="s">
        <v>275</v>
      </c>
      <c r="O50" s="9" t="s">
        <v>277</v>
      </c>
      <c r="P50" s="11" t="s">
        <v>75</v>
      </c>
    </row>
    <row r="51" spans="1:16" s="6" customFormat="1" ht="16.5" customHeight="1" outlineLevel="2" x14ac:dyDescent="0.15">
      <c r="A51" s="7" t="s">
        <v>257</v>
      </c>
      <c r="B51" s="8" t="s">
        <v>258</v>
      </c>
      <c r="C51" s="9" t="s">
        <v>40</v>
      </c>
      <c r="D51" s="9" t="s">
        <v>270</v>
      </c>
      <c r="E51" s="9" t="s">
        <v>44</v>
      </c>
      <c r="F51" s="9" t="s">
        <v>586</v>
      </c>
      <c r="G51" s="9" t="s">
        <v>55</v>
      </c>
      <c r="H51" s="9" t="s">
        <v>55</v>
      </c>
      <c r="I51" s="9" t="s">
        <v>55</v>
      </c>
      <c r="J51" s="9" t="s">
        <v>40</v>
      </c>
      <c r="K51" s="11" t="s">
        <v>75</v>
      </c>
      <c r="L51" s="9" t="s">
        <v>55</v>
      </c>
      <c r="M51" s="11" t="s">
        <v>75</v>
      </c>
      <c r="N51" s="9" t="s">
        <v>40</v>
      </c>
      <c r="O51" s="9" t="s">
        <v>40</v>
      </c>
      <c r="P51" s="11" t="s">
        <v>75</v>
      </c>
    </row>
    <row r="52" spans="1:16" s="6" customFormat="1" ht="16.5" customHeight="1" outlineLevel="2" x14ac:dyDescent="0.15">
      <c r="A52" s="7" t="s">
        <v>259</v>
      </c>
      <c r="B52" s="8" t="s">
        <v>260</v>
      </c>
      <c r="C52" s="9" t="s">
        <v>40</v>
      </c>
      <c r="D52" s="9" t="s">
        <v>271</v>
      </c>
      <c r="E52" s="9" t="s">
        <v>44</v>
      </c>
      <c r="F52" s="9" t="s">
        <v>587</v>
      </c>
      <c r="G52" s="9" t="s">
        <v>55</v>
      </c>
      <c r="H52" s="9" t="s">
        <v>55</v>
      </c>
      <c r="I52" s="9" t="s">
        <v>55</v>
      </c>
      <c r="J52" s="9" t="s">
        <v>40</v>
      </c>
      <c r="K52" s="11" t="s">
        <v>74</v>
      </c>
      <c r="L52" s="9" t="s">
        <v>55</v>
      </c>
      <c r="M52" s="11" t="s">
        <v>75</v>
      </c>
      <c r="N52" s="9" t="s">
        <v>40</v>
      </c>
      <c r="O52" s="9" t="s">
        <v>40</v>
      </c>
      <c r="P52" s="11" t="s">
        <v>75</v>
      </c>
    </row>
    <row r="53" spans="1:16" s="6" customFormat="1" ht="16.5" customHeight="1" outlineLevel="2" x14ac:dyDescent="0.15">
      <c r="A53" s="7" t="s">
        <v>261</v>
      </c>
      <c r="B53" s="8" t="s">
        <v>262</v>
      </c>
      <c r="C53" s="9" t="s">
        <v>40</v>
      </c>
      <c r="D53" s="9" t="s">
        <v>272</v>
      </c>
      <c r="E53" s="9" t="s">
        <v>44</v>
      </c>
      <c r="F53" s="9" t="s">
        <v>588</v>
      </c>
      <c r="G53" s="9" t="s">
        <v>55</v>
      </c>
      <c r="H53" s="9" t="s">
        <v>55</v>
      </c>
      <c r="I53" s="9" t="s">
        <v>55</v>
      </c>
      <c r="J53" s="9" t="s">
        <v>40</v>
      </c>
      <c r="K53" s="11" t="s">
        <v>74</v>
      </c>
      <c r="L53" s="9" t="s">
        <v>55</v>
      </c>
      <c r="M53" s="11" t="s">
        <v>75</v>
      </c>
      <c r="N53" s="9" t="s">
        <v>40</v>
      </c>
      <c r="O53" s="9" t="s">
        <v>40</v>
      </c>
      <c r="P53" s="11" t="s">
        <v>75</v>
      </c>
    </row>
    <row r="54" spans="1:16" s="6" customFormat="1" ht="16.5" customHeight="1" outlineLevel="2" x14ac:dyDescent="0.15">
      <c r="A54" s="7" t="s">
        <v>263</v>
      </c>
      <c r="B54" s="8" t="s">
        <v>264</v>
      </c>
      <c r="C54" s="9" t="s">
        <v>40</v>
      </c>
      <c r="D54" s="9" t="s">
        <v>273</v>
      </c>
      <c r="E54" s="9" t="s">
        <v>44</v>
      </c>
      <c r="F54" s="9" t="s">
        <v>589</v>
      </c>
      <c r="G54" s="9" t="s">
        <v>55</v>
      </c>
      <c r="H54" s="9" t="s">
        <v>55</v>
      </c>
      <c r="I54" s="9" t="s">
        <v>55</v>
      </c>
      <c r="J54" s="9" t="s">
        <v>40</v>
      </c>
      <c r="K54" s="11" t="s">
        <v>75</v>
      </c>
      <c r="L54" s="9" t="s">
        <v>307</v>
      </c>
      <c r="M54" s="11" t="s">
        <v>75</v>
      </c>
      <c r="N54" s="9" t="s">
        <v>40</v>
      </c>
      <c r="O54" s="9" t="s">
        <v>40</v>
      </c>
      <c r="P54" s="11" t="s">
        <v>75</v>
      </c>
    </row>
    <row r="55" spans="1:16" s="6" customFormat="1" ht="16.5" customHeight="1" outlineLevel="1" x14ac:dyDescent="0.15">
      <c r="A55" s="30">
        <v>2.7</v>
      </c>
      <c r="B55" s="31" t="s">
        <v>278</v>
      </c>
      <c r="C55" s="3" t="s">
        <v>97</v>
      </c>
      <c r="D55" s="3" t="s">
        <v>100</v>
      </c>
      <c r="E55" s="3" t="s">
        <v>101</v>
      </c>
      <c r="F55" s="3" t="s">
        <v>102</v>
      </c>
      <c r="G55" s="3" t="s">
        <v>103</v>
      </c>
      <c r="H55" s="3" t="s">
        <v>102</v>
      </c>
      <c r="I55" s="3" t="s">
        <v>103</v>
      </c>
      <c r="J55" s="3" t="s">
        <v>104</v>
      </c>
      <c r="K55" s="5" t="s">
        <v>74</v>
      </c>
      <c r="L55" s="3" t="s">
        <v>105</v>
      </c>
      <c r="M55" s="5" t="s">
        <v>74</v>
      </c>
      <c r="N55" s="3" t="s">
        <v>106</v>
      </c>
      <c r="O55" s="3" t="s">
        <v>107</v>
      </c>
      <c r="P55" s="5" t="s">
        <v>74</v>
      </c>
    </row>
    <row r="56" spans="1:16" s="6" customFormat="1" ht="16.5" customHeight="1" outlineLevel="2" x14ac:dyDescent="0.15">
      <c r="A56" s="7" t="s">
        <v>279</v>
      </c>
      <c r="B56" s="8" t="s">
        <v>280</v>
      </c>
      <c r="C56" s="9" t="s">
        <v>291</v>
      </c>
      <c r="D56" s="9" t="s">
        <v>294</v>
      </c>
      <c r="E56" s="9" t="s">
        <v>44</v>
      </c>
      <c r="F56" s="9" t="s">
        <v>590</v>
      </c>
      <c r="G56" s="9" t="s">
        <v>55</v>
      </c>
      <c r="H56" s="9" t="s">
        <v>55</v>
      </c>
      <c r="I56" s="9" t="s">
        <v>55</v>
      </c>
      <c r="J56" s="9" t="s">
        <v>59</v>
      </c>
      <c r="K56" s="11" t="s">
        <v>75</v>
      </c>
      <c r="L56" s="9" t="s">
        <v>298</v>
      </c>
      <c r="M56" s="11" t="s">
        <v>75</v>
      </c>
      <c r="N56" s="9" t="s">
        <v>308</v>
      </c>
      <c r="O56" s="9" t="s">
        <v>310</v>
      </c>
      <c r="P56" s="11" t="s">
        <v>75</v>
      </c>
    </row>
    <row r="57" spans="1:16" s="6" customFormat="1" ht="16.5" customHeight="1" outlineLevel="2" x14ac:dyDescent="0.15">
      <c r="A57" s="7" t="s">
        <v>281</v>
      </c>
      <c r="B57" s="8" t="s">
        <v>282</v>
      </c>
      <c r="C57" s="9" t="s">
        <v>292</v>
      </c>
      <c r="D57" s="9" t="s">
        <v>295</v>
      </c>
      <c r="E57" s="9" t="s">
        <v>44</v>
      </c>
      <c r="F57" s="9" t="s">
        <v>591</v>
      </c>
      <c r="G57" s="9" t="s">
        <v>55</v>
      </c>
      <c r="H57" s="9" t="s">
        <v>55</v>
      </c>
      <c r="I57" s="9" t="s">
        <v>55</v>
      </c>
      <c r="J57" s="9" t="s">
        <v>40</v>
      </c>
      <c r="K57" s="11" t="s">
        <v>74</v>
      </c>
      <c r="L57" s="9" t="s">
        <v>299</v>
      </c>
      <c r="M57" s="11" t="s">
        <v>75</v>
      </c>
      <c r="N57" s="9" t="s">
        <v>309</v>
      </c>
      <c r="O57" s="9" t="s">
        <v>311</v>
      </c>
      <c r="P57" s="11" t="s">
        <v>75</v>
      </c>
    </row>
    <row r="58" spans="1:16" s="6" customFormat="1" ht="16.5" customHeight="1" outlineLevel="2" x14ac:dyDescent="0.15">
      <c r="A58" s="7" t="s">
        <v>283</v>
      </c>
      <c r="B58" s="8" t="s">
        <v>284</v>
      </c>
      <c r="C58" s="9" t="s">
        <v>40</v>
      </c>
      <c r="D58" s="9" t="s">
        <v>296</v>
      </c>
      <c r="E58" s="9" t="s">
        <v>44</v>
      </c>
      <c r="F58" s="9" t="s">
        <v>592</v>
      </c>
      <c r="G58" s="9" t="s">
        <v>55</v>
      </c>
      <c r="H58" s="9" t="s">
        <v>55</v>
      </c>
      <c r="I58" s="9" t="s">
        <v>55</v>
      </c>
      <c r="J58" s="9" t="s">
        <v>40</v>
      </c>
      <c r="K58" s="11" t="s">
        <v>74</v>
      </c>
      <c r="L58" s="9" t="s">
        <v>55</v>
      </c>
      <c r="M58" s="11" t="s">
        <v>75</v>
      </c>
      <c r="N58" s="9" t="s">
        <v>40</v>
      </c>
      <c r="O58" s="9" t="s">
        <v>40</v>
      </c>
      <c r="P58" s="11" t="s">
        <v>75</v>
      </c>
    </row>
    <row r="59" spans="1:16" s="6" customFormat="1" ht="16.5" customHeight="1" outlineLevel="2" x14ac:dyDescent="0.15">
      <c r="A59" s="7" t="s">
        <v>285</v>
      </c>
      <c r="B59" s="8" t="s">
        <v>286</v>
      </c>
      <c r="C59" s="9" t="s">
        <v>40</v>
      </c>
      <c r="D59" s="9" t="s">
        <v>329</v>
      </c>
      <c r="E59" s="9" t="s">
        <v>44</v>
      </c>
      <c r="F59" s="9" t="s">
        <v>593</v>
      </c>
      <c r="G59" s="9" t="s">
        <v>55</v>
      </c>
      <c r="H59" s="9" t="s">
        <v>55</v>
      </c>
      <c r="I59" s="9" t="s">
        <v>55</v>
      </c>
      <c r="J59" s="9" t="s">
        <v>40</v>
      </c>
      <c r="K59" s="11" t="s">
        <v>75</v>
      </c>
      <c r="L59" s="9" t="s">
        <v>55</v>
      </c>
      <c r="M59" s="11" t="s">
        <v>75</v>
      </c>
      <c r="N59" s="9" t="s">
        <v>40</v>
      </c>
      <c r="O59" s="9" t="s">
        <v>40</v>
      </c>
      <c r="P59" s="11" t="s">
        <v>75</v>
      </c>
    </row>
    <row r="60" spans="1:16" s="6" customFormat="1" ht="16.5" customHeight="1" outlineLevel="2" x14ac:dyDescent="0.15">
      <c r="A60" s="7" t="s">
        <v>287</v>
      </c>
      <c r="B60" s="8" t="s">
        <v>288</v>
      </c>
      <c r="C60" s="9" t="s">
        <v>40</v>
      </c>
      <c r="D60" s="9" t="s">
        <v>297</v>
      </c>
      <c r="E60" s="9" t="s">
        <v>44</v>
      </c>
      <c r="F60" s="9" t="s">
        <v>594</v>
      </c>
      <c r="G60" s="9" t="s">
        <v>55</v>
      </c>
      <c r="H60" s="9" t="s">
        <v>55</v>
      </c>
      <c r="I60" s="9" t="s">
        <v>55</v>
      </c>
      <c r="J60" s="9" t="s">
        <v>40</v>
      </c>
      <c r="K60" s="11" t="s">
        <v>74</v>
      </c>
      <c r="L60" s="9" t="s">
        <v>55</v>
      </c>
      <c r="M60" s="11" t="s">
        <v>75</v>
      </c>
      <c r="N60" s="9" t="s">
        <v>40</v>
      </c>
      <c r="O60" s="9" t="s">
        <v>40</v>
      </c>
      <c r="P60" s="11" t="s">
        <v>75</v>
      </c>
    </row>
    <row r="61" spans="1:16" s="6" customFormat="1" ht="16.5" customHeight="1" outlineLevel="2" x14ac:dyDescent="0.15">
      <c r="A61" s="7" t="s">
        <v>289</v>
      </c>
      <c r="B61" s="8" t="s">
        <v>290</v>
      </c>
      <c r="C61" s="9" t="s">
        <v>40</v>
      </c>
      <c r="D61" s="9" t="s">
        <v>330</v>
      </c>
      <c r="E61" s="9" t="s">
        <v>44</v>
      </c>
      <c r="F61" s="9" t="s">
        <v>595</v>
      </c>
      <c r="G61" s="9" t="s">
        <v>55</v>
      </c>
      <c r="H61" s="9" t="s">
        <v>55</v>
      </c>
      <c r="I61" s="9" t="s">
        <v>55</v>
      </c>
      <c r="J61" s="9" t="s">
        <v>40</v>
      </c>
      <c r="K61" s="11" t="s">
        <v>74</v>
      </c>
      <c r="L61" s="9" t="s">
        <v>55</v>
      </c>
      <c r="M61" s="11" t="s">
        <v>75</v>
      </c>
      <c r="N61" s="9" t="s">
        <v>40</v>
      </c>
      <c r="O61" s="9" t="s">
        <v>40</v>
      </c>
      <c r="P61" s="11" t="s">
        <v>75</v>
      </c>
    </row>
    <row r="62" spans="1:16" s="6" customFormat="1" ht="16.5" customHeight="1" outlineLevel="1" x14ac:dyDescent="0.15">
      <c r="A62" s="30">
        <v>2.8</v>
      </c>
      <c r="B62" s="31" t="s">
        <v>312</v>
      </c>
      <c r="C62" s="3" t="s">
        <v>97</v>
      </c>
      <c r="D62" s="3" t="s">
        <v>100</v>
      </c>
      <c r="E62" s="3" t="s">
        <v>101</v>
      </c>
      <c r="F62" s="3" t="s">
        <v>102</v>
      </c>
      <c r="G62" s="3" t="s">
        <v>103</v>
      </c>
      <c r="H62" s="3" t="s">
        <v>102</v>
      </c>
      <c r="I62" s="3" t="s">
        <v>103</v>
      </c>
      <c r="J62" s="3" t="s">
        <v>104</v>
      </c>
      <c r="K62" s="5" t="s">
        <v>74</v>
      </c>
      <c r="L62" s="3" t="s">
        <v>105</v>
      </c>
      <c r="M62" s="5" t="s">
        <v>74</v>
      </c>
      <c r="N62" s="3" t="s">
        <v>106</v>
      </c>
      <c r="O62" s="3" t="s">
        <v>107</v>
      </c>
      <c r="P62" s="5" t="s">
        <v>74</v>
      </c>
    </row>
    <row r="63" spans="1:16" s="6" customFormat="1" ht="16.5" customHeight="1" outlineLevel="2" x14ac:dyDescent="0.15">
      <c r="A63" s="7" t="s">
        <v>313</v>
      </c>
      <c r="B63" s="8" t="s">
        <v>314</v>
      </c>
      <c r="C63" s="9" t="s">
        <v>327</v>
      </c>
      <c r="D63" s="9" t="s">
        <v>331</v>
      </c>
      <c r="E63" s="9" t="s">
        <v>44</v>
      </c>
      <c r="F63" s="9" t="s">
        <v>596</v>
      </c>
      <c r="G63" s="9" t="s">
        <v>55</v>
      </c>
      <c r="H63" s="9" t="s">
        <v>55</v>
      </c>
      <c r="I63" s="9" t="s">
        <v>55</v>
      </c>
      <c r="J63" s="9" t="s">
        <v>59</v>
      </c>
      <c r="K63" s="11" t="s">
        <v>75</v>
      </c>
      <c r="L63" s="9" t="s">
        <v>337</v>
      </c>
      <c r="M63" s="11" t="s">
        <v>75</v>
      </c>
      <c r="N63" s="9" t="s">
        <v>379</v>
      </c>
      <c r="O63" s="9" t="s">
        <v>339</v>
      </c>
      <c r="P63" s="11" t="s">
        <v>75</v>
      </c>
    </row>
    <row r="64" spans="1:16" s="6" customFormat="1" ht="16.5" customHeight="1" outlineLevel="2" x14ac:dyDescent="0.15">
      <c r="A64" s="7" t="s">
        <v>315</v>
      </c>
      <c r="B64" s="8" t="s">
        <v>316</v>
      </c>
      <c r="C64" s="9" t="s">
        <v>328</v>
      </c>
      <c r="D64" s="9" t="s">
        <v>332</v>
      </c>
      <c r="E64" s="9" t="s">
        <v>44</v>
      </c>
      <c r="F64" s="9" t="s">
        <v>597</v>
      </c>
      <c r="G64" s="9" t="s">
        <v>55</v>
      </c>
      <c r="H64" s="9" t="s">
        <v>55</v>
      </c>
      <c r="I64" s="9" t="s">
        <v>55</v>
      </c>
      <c r="J64" s="9" t="s">
        <v>40</v>
      </c>
      <c r="K64" s="11" t="s">
        <v>74</v>
      </c>
      <c r="L64" s="9" t="s">
        <v>338</v>
      </c>
      <c r="M64" s="11" t="s">
        <v>74</v>
      </c>
      <c r="N64" s="9" t="s">
        <v>340</v>
      </c>
      <c r="O64" s="9" t="s">
        <v>341</v>
      </c>
      <c r="P64" s="11" t="s">
        <v>75</v>
      </c>
    </row>
    <row r="65" spans="1:16" s="6" customFormat="1" ht="16.5" customHeight="1" outlineLevel="2" x14ac:dyDescent="0.15">
      <c r="A65" s="7" t="s">
        <v>317</v>
      </c>
      <c r="B65" s="8" t="s">
        <v>318</v>
      </c>
      <c r="C65" s="9" t="s">
        <v>40</v>
      </c>
      <c r="D65" s="9" t="s">
        <v>333</v>
      </c>
      <c r="E65" s="9" t="s">
        <v>44</v>
      </c>
      <c r="F65" s="9" t="s">
        <v>598</v>
      </c>
      <c r="G65" s="9" t="s">
        <v>55</v>
      </c>
      <c r="H65" s="9" t="s">
        <v>55</v>
      </c>
      <c r="I65" s="9" t="s">
        <v>55</v>
      </c>
      <c r="J65" s="9" t="s">
        <v>40</v>
      </c>
      <c r="K65" s="11" t="s">
        <v>74</v>
      </c>
      <c r="L65" s="9" t="s">
        <v>40</v>
      </c>
      <c r="M65" s="11" t="s">
        <v>74</v>
      </c>
      <c r="N65" s="9" t="s">
        <v>40</v>
      </c>
      <c r="O65" s="9" t="s">
        <v>40</v>
      </c>
      <c r="P65" s="11" t="s">
        <v>75</v>
      </c>
    </row>
    <row r="66" spans="1:16" s="6" customFormat="1" ht="16.5" customHeight="1" outlineLevel="2" x14ac:dyDescent="0.15">
      <c r="A66" s="7" t="s">
        <v>319</v>
      </c>
      <c r="B66" s="8" t="s">
        <v>320</v>
      </c>
      <c r="C66" s="9" t="s">
        <v>40</v>
      </c>
      <c r="D66" s="9" t="s">
        <v>334</v>
      </c>
      <c r="E66" s="9" t="s">
        <v>44</v>
      </c>
      <c r="F66" s="9" t="s">
        <v>599</v>
      </c>
      <c r="G66" s="9" t="s">
        <v>55</v>
      </c>
      <c r="H66" s="9" t="s">
        <v>55</v>
      </c>
      <c r="I66" s="9" t="s">
        <v>55</v>
      </c>
      <c r="J66" s="9" t="s">
        <v>40</v>
      </c>
      <c r="K66" s="11" t="s">
        <v>75</v>
      </c>
      <c r="L66" s="9" t="s">
        <v>40</v>
      </c>
      <c r="M66" s="11" t="s">
        <v>75</v>
      </c>
      <c r="N66" s="9" t="s">
        <v>40</v>
      </c>
      <c r="O66" s="9" t="s">
        <v>40</v>
      </c>
      <c r="P66" s="11" t="s">
        <v>75</v>
      </c>
    </row>
    <row r="67" spans="1:16" s="6" customFormat="1" ht="16.5" customHeight="1" outlineLevel="2" x14ac:dyDescent="0.15">
      <c r="A67" s="7" t="s">
        <v>321</v>
      </c>
      <c r="B67" s="8" t="s">
        <v>322</v>
      </c>
      <c r="C67" s="9" t="s">
        <v>40</v>
      </c>
      <c r="D67" s="9" t="s">
        <v>368</v>
      </c>
      <c r="E67" s="9" t="s">
        <v>44</v>
      </c>
      <c r="F67" s="9" t="s">
        <v>600</v>
      </c>
      <c r="G67" s="9" t="s">
        <v>55</v>
      </c>
      <c r="H67" s="9" t="s">
        <v>55</v>
      </c>
      <c r="I67" s="9" t="s">
        <v>55</v>
      </c>
      <c r="J67" s="9" t="s">
        <v>40</v>
      </c>
      <c r="K67" s="11" t="s">
        <v>74</v>
      </c>
      <c r="L67" s="9" t="s">
        <v>40</v>
      </c>
      <c r="M67" s="11" t="s">
        <v>74</v>
      </c>
      <c r="N67" s="9" t="s">
        <v>40</v>
      </c>
      <c r="O67" s="9" t="s">
        <v>40</v>
      </c>
      <c r="P67" s="11" t="s">
        <v>75</v>
      </c>
    </row>
    <row r="68" spans="1:16" s="6" customFormat="1" ht="16.5" customHeight="1" outlineLevel="2" x14ac:dyDescent="0.15">
      <c r="A68" s="7" t="s">
        <v>323</v>
      </c>
      <c r="B68" s="8" t="s">
        <v>324</v>
      </c>
      <c r="C68" s="9" t="s">
        <v>40</v>
      </c>
      <c r="D68" s="9" t="s">
        <v>335</v>
      </c>
      <c r="E68" s="9" t="s">
        <v>44</v>
      </c>
      <c r="F68" s="9" t="s">
        <v>601</v>
      </c>
      <c r="G68" s="9" t="s">
        <v>55</v>
      </c>
      <c r="H68" s="9" t="s">
        <v>55</v>
      </c>
      <c r="I68" s="9" t="s">
        <v>55</v>
      </c>
      <c r="J68" s="9" t="s">
        <v>40</v>
      </c>
      <c r="K68" s="11" t="s">
        <v>75</v>
      </c>
      <c r="L68" s="9" t="s">
        <v>40</v>
      </c>
      <c r="M68" s="11" t="s">
        <v>75</v>
      </c>
      <c r="N68" s="9" t="s">
        <v>40</v>
      </c>
      <c r="O68" s="9" t="s">
        <v>40</v>
      </c>
      <c r="P68" s="11" t="s">
        <v>75</v>
      </c>
    </row>
    <row r="69" spans="1:16" s="6" customFormat="1" ht="16.5" customHeight="1" outlineLevel="2" x14ac:dyDescent="0.15">
      <c r="A69" s="7" t="s">
        <v>325</v>
      </c>
      <c r="B69" s="8" t="s">
        <v>326</v>
      </c>
      <c r="C69" s="9" t="s">
        <v>40</v>
      </c>
      <c r="D69" s="9" t="s">
        <v>336</v>
      </c>
      <c r="E69" s="9" t="s">
        <v>44</v>
      </c>
      <c r="F69" s="9" t="s">
        <v>602</v>
      </c>
      <c r="G69" s="9" t="s">
        <v>55</v>
      </c>
      <c r="H69" s="9" t="s">
        <v>55</v>
      </c>
      <c r="I69" s="9" t="s">
        <v>55</v>
      </c>
      <c r="J69" s="9" t="s">
        <v>40</v>
      </c>
      <c r="K69" s="11" t="s">
        <v>74</v>
      </c>
      <c r="L69" s="9" t="s">
        <v>40</v>
      </c>
      <c r="M69" s="11" t="s">
        <v>74</v>
      </c>
      <c r="N69" s="9" t="s">
        <v>40</v>
      </c>
      <c r="O69" s="9" t="s">
        <v>40</v>
      </c>
      <c r="P69" s="11" t="s">
        <v>75</v>
      </c>
    </row>
    <row r="70" spans="1:16" s="6" customFormat="1" ht="16.5" customHeight="1" x14ac:dyDescent="0.15">
      <c r="A70" s="1" t="s">
        <v>342</v>
      </c>
      <c r="B70" s="2" t="s">
        <v>343</v>
      </c>
      <c r="C70" s="3" t="s">
        <v>359</v>
      </c>
      <c r="D70" s="3" t="s">
        <v>360</v>
      </c>
      <c r="E70" s="3" t="s">
        <v>361</v>
      </c>
      <c r="F70" s="3" t="s">
        <v>362</v>
      </c>
      <c r="G70" s="3" t="s">
        <v>363</v>
      </c>
      <c r="H70" s="3" t="s">
        <v>362</v>
      </c>
      <c r="I70" s="3" t="s">
        <v>363</v>
      </c>
      <c r="J70" s="3" t="s">
        <v>364</v>
      </c>
      <c r="K70" s="5" t="s">
        <v>74</v>
      </c>
      <c r="L70" s="3" t="s">
        <v>365</v>
      </c>
      <c r="M70" s="5" t="s">
        <v>74</v>
      </c>
      <c r="N70" s="3" t="s">
        <v>366</v>
      </c>
      <c r="O70" s="3" t="s">
        <v>367</v>
      </c>
      <c r="P70" s="5" t="s">
        <v>74</v>
      </c>
    </row>
    <row r="71" spans="1:16" s="6" customFormat="1" ht="16.5" customHeight="1" outlineLevel="1" x14ac:dyDescent="0.15">
      <c r="A71" s="30">
        <v>3.1</v>
      </c>
      <c r="B71" s="31" t="s">
        <v>344</v>
      </c>
      <c r="C71" s="3" t="s">
        <v>97</v>
      </c>
      <c r="D71" s="3" t="s">
        <v>100</v>
      </c>
      <c r="E71" s="3" t="s">
        <v>101</v>
      </c>
      <c r="F71" s="3" t="s">
        <v>102</v>
      </c>
      <c r="G71" s="3" t="s">
        <v>103</v>
      </c>
      <c r="H71" s="3" t="s">
        <v>102</v>
      </c>
      <c r="I71" s="3" t="s">
        <v>103</v>
      </c>
      <c r="J71" s="3" t="s">
        <v>104</v>
      </c>
      <c r="K71" s="5" t="s">
        <v>74</v>
      </c>
      <c r="L71" s="3" t="s">
        <v>105</v>
      </c>
      <c r="M71" s="5" t="s">
        <v>74</v>
      </c>
      <c r="N71" s="3" t="s">
        <v>106</v>
      </c>
      <c r="O71" s="3" t="s">
        <v>107</v>
      </c>
      <c r="P71" s="5" t="s">
        <v>74</v>
      </c>
    </row>
    <row r="72" spans="1:16" s="6" customFormat="1" ht="16.5" customHeight="1" outlineLevel="2" x14ac:dyDescent="0.15">
      <c r="A72" s="7" t="s">
        <v>345</v>
      </c>
      <c r="B72" s="8" t="s">
        <v>346</v>
      </c>
      <c r="C72" s="9" t="s">
        <v>327</v>
      </c>
      <c r="D72" s="9" t="s">
        <v>369</v>
      </c>
      <c r="E72" s="9" t="s">
        <v>44</v>
      </c>
      <c r="F72" s="9" t="s">
        <v>603</v>
      </c>
      <c r="G72" s="9" t="s">
        <v>55</v>
      </c>
      <c r="H72" s="9" t="s">
        <v>55</v>
      </c>
      <c r="I72" s="9" t="s">
        <v>55</v>
      </c>
      <c r="J72" s="9" t="s">
        <v>59</v>
      </c>
      <c r="K72" s="11" t="s">
        <v>74</v>
      </c>
      <c r="L72" s="9" t="s">
        <v>55</v>
      </c>
      <c r="M72" s="11" t="s">
        <v>75</v>
      </c>
      <c r="N72" s="9" t="s">
        <v>380</v>
      </c>
      <c r="O72" s="9" t="s">
        <v>381</v>
      </c>
      <c r="P72" s="11" t="s">
        <v>75</v>
      </c>
    </row>
    <row r="73" spans="1:16" s="6" customFormat="1" ht="16.5" customHeight="1" outlineLevel="2" x14ac:dyDescent="0.15">
      <c r="A73" s="7" t="s">
        <v>347</v>
      </c>
      <c r="B73" s="8" t="s">
        <v>348</v>
      </c>
      <c r="C73" s="9" t="s">
        <v>328</v>
      </c>
      <c r="D73" s="9" t="s">
        <v>370</v>
      </c>
      <c r="E73" s="9" t="s">
        <v>44</v>
      </c>
      <c r="F73" s="9" t="s">
        <v>604</v>
      </c>
      <c r="G73" s="9" t="s">
        <v>55</v>
      </c>
      <c r="H73" s="9" t="s">
        <v>55</v>
      </c>
      <c r="I73" s="9" t="s">
        <v>55</v>
      </c>
      <c r="J73" s="9" t="s">
        <v>40</v>
      </c>
      <c r="K73" s="11" t="s">
        <v>74</v>
      </c>
      <c r="L73" s="9" t="s">
        <v>55</v>
      </c>
      <c r="M73" s="11" t="s">
        <v>74</v>
      </c>
      <c r="N73" s="9" t="s">
        <v>382</v>
      </c>
      <c r="O73" s="9" t="s">
        <v>383</v>
      </c>
      <c r="P73" s="11" t="s">
        <v>75</v>
      </c>
    </row>
    <row r="74" spans="1:16" s="6" customFormat="1" ht="16.5" customHeight="1" outlineLevel="2" x14ac:dyDescent="0.15">
      <c r="A74" s="7" t="s">
        <v>349</v>
      </c>
      <c r="B74" s="39" t="s">
        <v>350</v>
      </c>
      <c r="C74" s="9" t="s">
        <v>40</v>
      </c>
      <c r="D74" s="9" t="s">
        <v>371</v>
      </c>
      <c r="E74" s="9" t="s">
        <v>44</v>
      </c>
      <c r="F74" s="9" t="s">
        <v>605</v>
      </c>
      <c r="G74" s="9" t="s">
        <v>55</v>
      </c>
      <c r="H74" s="9" t="s">
        <v>55</v>
      </c>
      <c r="I74" s="9" t="s">
        <v>55</v>
      </c>
      <c r="J74" s="9" t="s">
        <v>40</v>
      </c>
      <c r="K74" s="11" t="s">
        <v>75</v>
      </c>
      <c r="L74" s="9" t="s">
        <v>376</v>
      </c>
      <c r="M74" s="11" t="s">
        <v>74</v>
      </c>
      <c r="N74" s="9" t="s">
        <v>40</v>
      </c>
      <c r="O74" s="9" t="s">
        <v>40</v>
      </c>
      <c r="P74" s="11" t="s">
        <v>75</v>
      </c>
    </row>
    <row r="75" spans="1:16" s="6" customFormat="1" ht="16.5" customHeight="1" outlineLevel="2" x14ac:dyDescent="0.15">
      <c r="A75" s="7" t="s">
        <v>351</v>
      </c>
      <c r="B75" s="39" t="s">
        <v>352</v>
      </c>
      <c r="C75" s="9" t="s">
        <v>40</v>
      </c>
      <c r="D75" s="9" t="s">
        <v>372</v>
      </c>
      <c r="E75" s="9" t="s">
        <v>44</v>
      </c>
      <c r="F75" s="9" t="s">
        <v>606</v>
      </c>
      <c r="G75" s="9" t="s">
        <v>55</v>
      </c>
      <c r="H75" s="9" t="s">
        <v>55</v>
      </c>
      <c r="I75" s="9" t="s">
        <v>55</v>
      </c>
      <c r="J75" s="9" t="s">
        <v>40</v>
      </c>
      <c r="K75" s="11" t="s">
        <v>74</v>
      </c>
      <c r="L75" s="9" t="s">
        <v>377</v>
      </c>
      <c r="M75" s="11" t="s">
        <v>75</v>
      </c>
      <c r="N75" s="9" t="s">
        <v>40</v>
      </c>
      <c r="O75" s="9" t="s">
        <v>40</v>
      </c>
      <c r="P75" s="11" t="s">
        <v>75</v>
      </c>
    </row>
    <row r="76" spans="1:16" s="6" customFormat="1" ht="16.5" customHeight="1" outlineLevel="2" x14ac:dyDescent="0.15">
      <c r="A76" s="7" t="s">
        <v>353</v>
      </c>
      <c r="B76" s="39" t="s">
        <v>354</v>
      </c>
      <c r="C76" s="9" t="s">
        <v>40</v>
      </c>
      <c r="D76" s="9" t="s">
        <v>373</v>
      </c>
      <c r="E76" s="9" t="s">
        <v>44</v>
      </c>
      <c r="F76" s="9" t="s">
        <v>607</v>
      </c>
      <c r="G76" s="9" t="s">
        <v>55</v>
      </c>
      <c r="H76" s="9" t="s">
        <v>55</v>
      </c>
      <c r="I76" s="9" t="s">
        <v>55</v>
      </c>
      <c r="J76" s="9" t="s">
        <v>40</v>
      </c>
      <c r="K76" s="11" t="s">
        <v>75</v>
      </c>
      <c r="L76" s="9" t="s">
        <v>378</v>
      </c>
      <c r="M76" s="11" t="s">
        <v>74</v>
      </c>
      <c r="N76" s="9" t="s">
        <v>40</v>
      </c>
      <c r="O76" s="9" t="s">
        <v>40</v>
      </c>
      <c r="P76" s="11" t="s">
        <v>75</v>
      </c>
    </row>
    <row r="77" spans="1:16" s="6" customFormat="1" ht="16.5" customHeight="1" outlineLevel="2" x14ac:dyDescent="0.15">
      <c r="A77" s="7" t="s">
        <v>355</v>
      </c>
      <c r="B77" s="8" t="s">
        <v>356</v>
      </c>
      <c r="C77" s="9" t="s">
        <v>40</v>
      </c>
      <c r="D77" s="9" t="s">
        <v>374</v>
      </c>
      <c r="E77" s="9" t="s">
        <v>44</v>
      </c>
      <c r="F77" s="9" t="s">
        <v>608</v>
      </c>
      <c r="G77" s="9" t="s">
        <v>55</v>
      </c>
      <c r="H77" s="9" t="s">
        <v>55</v>
      </c>
      <c r="I77" s="9" t="s">
        <v>55</v>
      </c>
      <c r="J77" s="9" t="s">
        <v>40</v>
      </c>
      <c r="K77" s="11" t="s">
        <v>74</v>
      </c>
      <c r="L77" s="9" t="s">
        <v>55</v>
      </c>
      <c r="M77" s="11" t="s">
        <v>75</v>
      </c>
      <c r="N77" s="9" t="s">
        <v>40</v>
      </c>
      <c r="O77" s="9" t="s">
        <v>40</v>
      </c>
      <c r="P77" s="11" t="s">
        <v>75</v>
      </c>
    </row>
    <row r="78" spans="1:16" s="6" customFormat="1" ht="16.5" customHeight="1" outlineLevel="2" x14ac:dyDescent="0.15">
      <c r="A78" s="7" t="s">
        <v>357</v>
      </c>
      <c r="B78" s="8" t="s">
        <v>358</v>
      </c>
      <c r="C78" s="9" t="s">
        <v>40</v>
      </c>
      <c r="D78" s="9" t="s">
        <v>375</v>
      </c>
      <c r="E78" s="9" t="s">
        <v>44</v>
      </c>
      <c r="F78" s="9" t="s">
        <v>609</v>
      </c>
      <c r="G78" s="9" t="s">
        <v>55</v>
      </c>
      <c r="H78" s="9" t="s">
        <v>55</v>
      </c>
      <c r="I78" s="9" t="s">
        <v>55</v>
      </c>
      <c r="J78" s="9" t="s">
        <v>40</v>
      </c>
      <c r="K78" s="11" t="s">
        <v>74</v>
      </c>
      <c r="L78" s="9" t="s">
        <v>55</v>
      </c>
      <c r="M78" s="11" t="s">
        <v>74</v>
      </c>
      <c r="N78" s="9" t="s">
        <v>40</v>
      </c>
      <c r="O78" s="9" t="s">
        <v>40</v>
      </c>
      <c r="P78" s="11" t="s">
        <v>75</v>
      </c>
    </row>
    <row r="79" spans="1:16" s="6" customFormat="1" ht="16.5" customHeight="1" outlineLevel="1" x14ac:dyDescent="0.15">
      <c r="A79" s="30">
        <v>3.2</v>
      </c>
      <c r="B79" s="31" t="s">
        <v>384</v>
      </c>
      <c r="C79" s="3" t="s">
        <v>97</v>
      </c>
      <c r="D79" s="3" t="s">
        <v>100</v>
      </c>
      <c r="E79" s="3" t="s">
        <v>101</v>
      </c>
      <c r="F79" s="3" t="s">
        <v>102</v>
      </c>
      <c r="G79" s="3" t="s">
        <v>103</v>
      </c>
      <c r="H79" s="3" t="s">
        <v>102</v>
      </c>
      <c r="I79" s="3" t="s">
        <v>103</v>
      </c>
      <c r="J79" s="3" t="s">
        <v>104</v>
      </c>
      <c r="K79" s="5" t="s">
        <v>74</v>
      </c>
      <c r="L79" s="3" t="s">
        <v>105</v>
      </c>
      <c r="M79" s="5" t="s">
        <v>74</v>
      </c>
      <c r="N79" s="3" t="s">
        <v>106</v>
      </c>
      <c r="O79" s="3" t="s">
        <v>107</v>
      </c>
      <c r="P79" s="5" t="s">
        <v>74</v>
      </c>
    </row>
    <row r="80" spans="1:16" s="6" customFormat="1" ht="16.5" customHeight="1" outlineLevel="2" x14ac:dyDescent="0.15">
      <c r="A80" s="7" t="s">
        <v>385</v>
      </c>
      <c r="B80" s="39" t="s">
        <v>386</v>
      </c>
      <c r="C80" s="9" t="s">
        <v>404</v>
      </c>
      <c r="D80" s="9" t="s">
        <v>406</v>
      </c>
      <c r="E80" s="9" t="s">
        <v>44</v>
      </c>
      <c r="F80" s="9" t="s">
        <v>610</v>
      </c>
      <c r="G80" s="9" t="s">
        <v>55</v>
      </c>
      <c r="H80" s="9" t="s">
        <v>55</v>
      </c>
      <c r="I80" s="9" t="s">
        <v>55</v>
      </c>
      <c r="J80" s="9" t="s">
        <v>59</v>
      </c>
      <c r="K80" s="11" t="s">
        <v>74</v>
      </c>
      <c r="L80" s="9" t="s">
        <v>55</v>
      </c>
      <c r="M80" s="11" t="s">
        <v>75</v>
      </c>
      <c r="N80" s="9" t="s">
        <v>416</v>
      </c>
      <c r="O80" s="9" t="s">
        <v>418</v>
      </c>
      <c r="P80" s="11" t="s">
        <v>75</v>
      </c>
    </row>
    <row r="81" spans="1:16" s="6" customFormat="1" ht="16.5" customHeight="1" outlineLevel="2" x14ac:dyDescent="0.15">
      <c r="A81" s="7" t="s">
        <v>388</v>
      </c>
      <c r="B81" s="39" t="s">
        <v>389</v>
      </c>
      <c r="C81" s="9" t="s">
        <v>405</v>
      </c>
      <c r="D81" s="9" t="s">
        <v>407</v>
      </c>
      <c r="E81" s="9" t="s">
        <v>44</v>
      </c>
      <c r="F81" s="9" t="s">
        <v>611</v>
      </c>
      <c r="G81" s="9" t="s">
        <v>55</v>
      </c>
      <c r="H81" s="9" t="s">
        <v>55</v>
      </c>
      <c r="I81" s="9" t="s">
        <v>55</v>
      </c>
      <c r="J81" s="9" t="s">
        <v>40</v>
      </c>
      <c r="K81" s="11" t="s">
        <v>74</v>
      </c>
      <c r="L81" s="9" t="s">
        <v>55</v>
      </c>
      <c r="M81" s="11" t="s">
        <v>74</v>
      </c>
      <c r="N81" s="9" t="s">
        <v>417</v>
      </c>
      <c r="O81" s="9" t="s">
        <v>419</v>
      </c>
      <c r="P81" s="11" t="s">
        <v>75</v>
      </c>
    </row>
    <row r="82" spans="1:16" s="6" customFormat="1" ht="16.5" customHeight="1" outlineLevel="2" x14ac:dyDescent="0.15">
      <c r="A82" s="7" t="s">
        <v>391</v>
      </c>
      <c r="B82" s="8" t="s">
        <v>392</v>
      </c>
      <c r="C82" s="9" t="s">
        <v>40</v>
      </c>
      <c r="D82" s="9" t="s">
        <v>408</v>
      </c>
      <c r="E82" s="9" t="s">
        <v>44</v>
      </c>
      <c r="F82" s="9" t="s">
        <v>612</v>
      </c>
      <c r="G82" s="9" t="s">
        <v>55</v>
      </c>
      <c r="H82" s="9" t="s">
        <v>55</v>
      </c>
      <c r="I82" s="9" t="s">
        <v>55</v>
      </c>
      <c r="J82" s="9" t="s">
        <v>40</v>
      </c>
      <c r="K82" s="11" t="s">
        <v>75</v>
      </c>
      <c r="L82" s="9" t="s">
        <v>55</v>
      </c>
      <c r="M82" s="11" t="s">
        <v>75</v>
      </c>
      <c r="N82" s="9" t="s">
        <v>40</v>
      </c>
      <c r="O82" s="9" t="s">
        <v>40</v>
      </c>
      <c r="P82" s="11" t="s">
        <v>75</v>
      </c>
    </row>
    <row r="83" spans="1:16" s="6" customFormat="1" ht="16.5" customHeight="1" outlineLevel="2" x14ac:dyDescent="0.15">
      <c r="A83" s="7" t="s">
        <v>394</v>
      </c>
      <c r="B83" s="8" t="s">
        <v>395</v>
      </c>
      <c r="C83" s="9" t="s">
        <v>40</v>
      </c>
      <c r="D83" s="9" t="s">
        <v>409</v>
      </c>
      <c r="E83" s="9" t="s">
        <v>44</v>
      </c>
      <c r="F83" s="9" t="s">
        <v>613</v>
      </c>
      <c r="G83" s="9" t="s">
        <v>55</v>
      </c>
      <c r="H83" s="9" t="s">
        <v>55</v>
      </c>
      <c r="I83" s="9" t="s">
        <v>55</v>
      </c>
      <c r="J83" s="9" t="s">
        <v>40</v>
      </c>
      <c r="K83" s="11" t="s">
        <v>74</v>
      </c>
      <c r="L83" s="9" t="s">
        <v>414</v>
      </c>
      <c r="M83" s="11" t="s">
        <v>75</v>
      </c>
      <c r="N83" s="9" t="s">
        <v>40</v>
      </c>
      <c r="O83" s="9" t="s">
        <v>40</v>
      </c>
      <c r="P83" s="11" t="s">
        <v>75</v>
      </c>
    </row>
    <row r="84" spans="1:16" s="6" customFormat="1" ht="16.5" customHeight="1" outlineLevel="2" x14ac:dyDescent="0.15">
      <c r="A84" s="7" t="s">
        <v>396</v>
      </c>
      <c r="B84" s="8" t="s">
        <v>397</v>
      </c>
      <c r="C84" s="9" t="s">
        <v>40</v>
      </c>
      <c r="D84" s="9" t="s">
        <v>410</v>
      </c>
      <c r="E84" s="9" t="s">
        <v>44</v>
      </c>
      <c r="F84" s="9" t="s">
        <v>614</v>
      </c>
      <c r="G84" s="9" t="s">
        <v>55</v>
      </c>
      <c r="H84" s="9" t="s">
        <v>55</v>
      </c>
      <c r="I84" s="9" t="s">
        <v>55</v>
      </c>
      <c r="J84" s="9" t="s">
        <v>40</v>
      </c>
      <c r="K84" s="11" t="s">
        <v>75</v>
      </c>
      <c r="L84" s="9" t="s">
        <v>415</v>
      </c>
      <c r="M84" s="11" t="s">
        <v>74</v>
      </c>
      <c r="N84" s="9" t="s">
        <v>40</v>
      </c>
      <c r="O84" s="9" t="s">
        <v>40</v>
      </c>
      <c r="P84" s="11" t="s">
        <v>75</v>
      </c>
    </row>
    <row r="85" spans="1:16" s="6" customFormat="1" ht="16.5" customHeight="1" outlineLevel="2" x14ac:dyDescent="0.15">
      <c r="A85" s="7" t="s">
        <v>398</v>
      </c>
      <c r="B85" s="8" t="s">
        <v>399</v>
      </c>
      <c r="C85" s="9" t="s">
        <v>40</v>
      </c>
      <c r="D85" s="9" t="s">
        <v>411</v>
      </c>
      <c r="E85" s="9" t="s">
        <v>44</v>
      </c>
      <c r="F85" s="9" t="s">
        <v>615</v>
      </c>
      <c r="G85" s="9" t="s">
        <v>55</v>
      </c>
      <c r="H85" s="9" t="s">
        <v>55</v>
      </c>
      <c r="I85" s="9" t="s">
        <v>55</v>
      </c>
      <c r="J85" s="9" t="s">
        <v>40</v>
      </c>
      <c r="K85" s="11" t="s">
        <v>74</v>
      </c>
      <c r="L85" s="9" t="s">
        <v>40</v>
      </c>
      <c r="M85" s="11" t="s">
        <v>75</v>
      </c>
      <c r="N85" s="9" t="s">
        <v>40</v>
      </c>
      <c r="O85" s="9" t="s">
        <v>40</v>
      </c>
      <c r="P85" s="11" t="s">
        <v>75</v>
      </c>
    </row>
    <row r="86" spans="1:16" s="6" customFormat="1" ht="16.5" customHeight="1" outlineLevel="2" x14ac:dyDescent="0.15">
      <c r="A86" s="7" t="s">
        <v>400</v>
      </c>
      <c r="B86" s="8" t="s">
        <v>401</v>
      </c>
      <c r="C86" s="9" t="s">
        <v>40</v>
      </c>
      <c r="D86" s="9" t="s">
        <v>412</v>
      </c>
      <c r="E86" s="9" t="s">
        <v>44</v>
      </c>
      <c r="F86" s="9" t="s">
        <v>616</v>
      </c>
      <c r="G86" s="9" t="s">
        <v>55</v>
      </c>
      <c r="H86" s="9" t="s">
        <v>55</v>
      </c>
      <c r="I86" s="9" t="s">
        <v>55</v>
      </c>
      <c r="J86" s="9" t="s">
        <v>40</v>
      </c>
      <c r="K86" s="11" t="s">
        <v>74</v>
      </c>
      <c r="L86" s="9" t="s">
        <v>40</v>
      </c>
      <c r="M86" s="11" t="s">
        <v>75</v>
      </c>
      <c r="N86" s="9" t="s">
        <v>40</v>
      </c>
      <c r="O86" s="9" t="s">
        <v>40</v>
      </c>
      <c r="P86" s="11" t="s">
        <v>75</v>
      </c>
    </row>
    <row r="87" spans="1:16" s="6" customFormat="1" ht="16.5" customHeight="1" outlineLevel="2" x14ac:dyDescent="0.15">
      <c r="A87" s="7" t="s">
        <v>402</v>
      </c>
      <c r="B87" s="8" t="s">
        <v>403</v>
      </c>
      <c r="C87" s="9" t="s">
        <v>40</v>
      </c>
      <c r="D87" s="9" t="s">
        <v>413</v>
      </c>
      <c r="E87" s="9" t="s">
        <v>44</v>
      </c>
      <c r="F87" s="9" t="s">
        <v>617</v>
      </c>
      <c r="G87" s="9" t="s">
        <v>55</v>
      </c>
      <c r="H87" s="9" t="s">
        <v>55</v>
      </c>
      <c r="I87" s="9" t="s">
        <v>55</v>
      </c>
      <c r="J87" s="9" t="s">
        <v>40</v>
      </c>
      <c r="K87" s="11" t="s">
        <v>75</v>
      </c>
      <c r="L87" s="9" t="s">
        <v>40</v>
      </c>
      <c r="M87" s="11" t="s">
        <v>74</v>
      </c>
      <c r="N87" s="9" t="s">
        <v>40</v>
      </c>
      <c r="O87" s="9" t="s">
        <v>40</v>
      </c>
      <c r="P87" s="11" t="s">
        <v>75</v>
      </c>
    </row>
    <row r="88" spans="1:16" s="6" customFormat="1" ht="16.5" customHeight="1" outlineLevel="1" x14ac:dyDescent="0.15">
      <c r="A88" s="30">
        <v>3.3</v>
      </c>
      <c r="B88" s="31" t="s">
        <v>420</v>
      </c>
      <c r="C88" s="3" t="s">
        <v>97</v>
      </c>
      <c r="D88" s="3" t="s">
        <v>100</v>
      </c>
      <c r="E88" s="3" t="s">
        <v>101</v>
      </c>
      <c r="F88" s="3" t="s">
        <v>102</v>
      </c>
      <c r="G88" s="3" t="s">
        <v>103</v>
      </c>
      <c r="H88" s="3" t="s">
        <v>102</v>
      </c>
      <c r="I88" s="3" t="s">
        <v>103</v>
      </c>
      <c r="J88" s="3" t="s">
        <v>104</v>
      </c>
      <c r="K88" s="5" t="s">
        <v>74</v>
      </c>
      <c r="L88" s="3" t="s">
        <v>105</v>
      </c>
      <c r="M88" s="5" t="s">
        <v>74</v>
      </c>
      <c r="N88" s="3" t="s">
        <v>106</v>
      </c>
      <c r="O88" s="3" t="s">
        <v>107</v>
      </c>
      <c r="P88" s="5" t="s">
        <v>74</v>
      </c>
    </row>
    <row r="89" spans="1:16" s="6" customFormat="1" ht="16.5" customHeight="1" outlineLevel="2" x14ac:dyDescent="0.15">
      <c r="A89" s="7" t="s">
        <v>421</v>
      </c>
      <c r="B89" s="8" t="s">
        <v>422</v>
      </c>
      <c r="C89" s="9" t="s">
        <v>438</v>
      </c>
      <c r="D89" s="9" t="s">
        <v>440</v>
      </c>
      <c r="E89" s="9" t="s">
        <v>44</v>
      </c>
      <c r="F89" s="9" t="s">
        <v>618</v>
      </c>
      <c r="G89" s="9" t="s">
        <v>55</v>
      </c>
      <c r="H89" s="9" t="s">
        <v>55</v>
      </c>
      <c r="I89" s="9" t="s">
        <v>55</v>
      </c>
      <c r="J89" s="9" t="s">
        <v>59</v>
      </c>
      <c r="K89" s="11" t="s">
        <v>74</v>
      </c>
      <c r="L89" s="9" t="s">
        <v>448</v>
      </c>
      <c r="M89" s="11" t="s">
        <v>75</v>
      </c>
      <c r="N89" s="9" t="s">
        <v>454</v>
      </c>
      <c r="O89" s="9" t="s">
        <v>456</v>
      </c>
      <c r="P89" s="11" t="s">
        <v>75</v>
      </c>
    </row>
    <row r="90" spans="1:16" s="6" customFormat="1" ht="16.5" customHeight="1" outlineLevel="2" x14ac:dyDescent="0.15">
      <c r="A90" s="7" t="s">
        <v>423</v>
      </c>
      <c r="B90" s="8" t="s">
        <v>424</v>
      </c>
      <c r="C90" s="9" t="s">
        <v>439</v>
      </c>
      <c r="D90" s="9" t="s">
        <v>441</v>
      </c>
      <c r="E90" s="9" t="s">
        <v>44</v>
      </c>
      <c r="F90" s="9" t="s">
        <v>619</v>
      </c>
      <c r="G90" s="9" t="s">
        <v>55</v>
      </c>
      <c r="H90" s="9" t="s">
        <v>55</v>
      </c>
      <c r="I90" s="9" t="s">
        <v>55</v>
      </c>
      <c r="J90" s="9" t="s">
        <v>40</v>
      </c>
      <c r="K90" s="11" t="s">
        <v>74</v>
      </c>
      <c r="L90" s="9" t="s">
        <v>449</v>
      </c>
      <c r="M90" s="11" t="s">
        <v>74</v>
      </c>
      <c r="N90" s="9" t="s">
        <v>455</v>
      </c>
      <c r="O90" s="9" t="s">
        <v>457</v>
      </c>
      <c r="P90" s="11" t="s">
        <v>75</v>
      </c>
    </row>
    <row r="91" spans="1:16" s="6" customFormat="1" ht="16.5" customHeight="1" outlineLevel="2" x14ac:dyDescent="0.15">
      <c r="A91" s="7" t="s">
        <v>425</v>
      </c>
      <c r="B91" s="8" t="s">
        <v>426</v>
      </c>
      <c r="C91" s="9" t="s">
        <v>40</v>
      </c>
      <c r="D91" s="9" t="s">
        <v>442</v>
      </c>
      <c r="E91" s="9" t="s">
        <v>44</v>
      </c>
      <c r="F91" s="9" t="s">
        <v>620</v>
      </c>
      <c r="G91" s="9" t="s">
        <v>55</v>
      </c>
      <c r="H91" s="9" t="s">
        <v>55</v>
      </c>
      <c r="I91" s="9" t="s">
        <v>55</v>
      </c>
      <c r="J91" s="9" t="s">
        <v>40</v>
      </c>
      <c r="K91" s="11" t="s">
        <v>75</v>
      </c>
      <c r="L91" s="9" t="s">
        <v>450</v>
      </c>
      <c r="M91" s="11" t="s">
        <v>75</v>
      </c>
      <c r="N91" s="9" t="s">
        <v>40</v>
      </c>
      <c r="O91" s="9" t="s">
        <v>40</v>
      </c>
      <c r="P91" s="11" t="s">
        <v>75</v>
      </c>
    </row>
    <row r="92" spans="1:16" s="6" customFormat="1" ht="16.5" customHeight="1" outlineLevel="2" x14ac:dyDescent="0.15">
      <c r="A92" s="7" t="s">
        <v>427</v>
      </c>
      <c r="B92" s="8" t="s">
        <v>428</v>
      </c>
      <c r="C92" s="9" t="s">
        <v>40</v>
      </c>
      <c r="D92" s="9" t="s">
        <v>443</v>
      </c>
      <c r="E92" s="9" t="s">
        <v>44</v>
      </c>
      <c r="F92" s="9" t="s">
        <v>621</v>
      </c>
      <c r="G92" s="9" t="s">
        <v>55</v>
      </c>
      <c r="H92" s="9" t="s">
        <v>55</v>
      </c>
      <c r="I92" s="9" t="s">
        <v>55</v>
      </c>
      <c r="J92" s="9" t="s">
        <v>40</v>
      </c>
      <c r="K92" s="11" t="s">
        <v>74</v>
      </c>
      <c r="L92" s="9" t="s">
        <v>451</v>
      </c>
      <c r="M92" s="11" t="s">
        <v>75</v>
      </c>
      <c r="N92" s="9" t="s">
        <v>40</v>
      </c>
      <c r="O92" s="9" t="s">
        <v>40</v>
      </c>
      <c r="P92" s="11" t="s">
        <v>75</v>
      </c>
    </row>
    <row r="93" spans="1:16" s="6" customFormat="1" ht="16.5" customHeight="1" outlineLevel="2" x14ac:dyDescent="0.15">
      <c r="A93" s="7" t="s">
        <v>429</v>
      </c>
      <c r="B93" s="8" t="s">
        <v>430</v>
      </c>
      <c r="C93" s="9" t="s">
        <v>40</v>
      </c>
      <c r="D93" s="9" t="s">
        <v>444</v>
      </c>
      <c r="E93" s="9" t="s">
        <v>44</v>
      </c>
      <c r="F93" s="9" t="s">
        <v>622</v>
      </c>
      <c r="G93" s="9" t="s">
        <v>55</v>
      </c>
      <c r="H93" s="9" t="s">
        <v>55</v>
      </c>
      <c r="I93" s="9" t="s">
        <v>55</v>
      </c>
      <c r="J93" s="9" t="s">
        <v>40</v>
      </c>
      <c r="K93" s="11" t="s">
        <v>75</v>
      </c>
      <c r="L93" s="9" t="s">
        <v>55</v>
      </c>
      <c r="M93" s="11" t="s">
        <v>74</v>
      </c>
      <c r="N93" s="9" t="s">
        <v>40</v>
      </c>
      <c r="O93" s="9" t="s">
        <v>40</v>
      </c>
      <c r="P93" s="11" t="s">
        <v>75</v>
      </c>
    </row>
    <row r="94" spans="1:16" s="6" customFormat="1" ht="16.5" customHeight="1" outlineLevel="2" x14ac:dyDescent="0.15">
      <c r="A94" s="7" t="s">
        <v>431</v>
      </c>
      <c r="B94" s="37" t="s">
        <v>432</v>
      </c>
      <c r="C94" s="9" t="s">
        <v>40</v>
      </c>
      <c r="D94" s="9" t="s">
        <v>445</v>
      </c>
      <c r="E94" s="9" t="s">
        <v>44</v>
      </c>
      <c r="F94" s="9" t="s">
        <v>623</v>
      </c>
      <c r="G94" s="9" t="s">
        <v>55</v>
      </c>
      <c r="H94" s="9" t="s">
        <v>55</v>
      </c>
      <c r="I94" s="9" t="s">
        <v>55</v>
      </c>
      <c r="J94" s="9" t="s">
        <v>40</v>
      </c>
      <c r="K94" s="11" t="s">
        <v>74</v>
      </c>
      <c r="L94" s="9" t="s">
        <v>55</v>
      </c>
      <c r="M94" s="11" t="s">
        <v>75</v>
      </c>
      <c r="N94" s="9" t="s">
        <v>40</v>
      </c>
      <c r="O94" s="9" t="s">
        <v>40</v>
      </c>
      <c r="P94" s="11" t="s">
        <v>75</v>
      </c>
    </row>
    <row r="95" spans="1:16" s="6" customFormat="1" ht="16.5" customHeight="1" outlineLevel="2" x14ac:dyDescent="0.15">
      <c r="A95" s="7" t="s">
        <v>434</v>
      </c>
      <c r="B95" s="8" t="s">
        <v>435</v>
      </c>
      <c r="C95" s="9" t="s">
        <v>40</v>
      </c>
      <c r="D95" s="9" t="s">
        <v>446</v>
      </c>
      <c r="E95" s="9" t="s">
        <v>44</v>
      </c>
      <c r="F95" s="9" t="s">
        <v>624</v>
      </c>
      <c r="G95" s="9" t="s">
        <v>55</v>
      </c>
      <c r="H95" s="9" t="s">
        <v>55</v>
      </c>
      <c r="I95" s="9" t="s">
        <v>55</v>
      </c>
      <c r="J95" s="9" t="s">
        <v>40</v>
      </c>
      <c r="K95" s="11" t="s">
        <v>74</v>
      </c>
      <c r="L95" s="9" t="s">
        <v>452</v>
      </c>
      <c r="M95" s="11" t="s">
        <v>75</v>
      </c>
      <c r="N95" s="9" t="s">
        <v>40</v>
      </c>
      <c r="O95" s="9" t="s">
        <v>40</v>
      </c>
      <c r="P95" s="11" t="s">
        <v>75</v>
      </c>
    </row>
    <row r="96" spans="1:16" s="6" customFormat="1" ht="16.5" customHeight="1" outlineLevel="2" x14ac:dyDescent="0.15">
      <c r="A96" s="7" t="s">
        <v>436</v>
      </c>
      <c r="B96" s="8" t="s">
        <v>437</v>
      </c>
      <c r="C96" s="9" t="s">
        <v>40</v>
      </c>
      <c r="D96" s="9" t="s">
        <v>447</v>
      </c>
      <c r="E96" s="9" t="s">
        <v>44</v>
      </c>
      <c r="F96" s="9" t="s">
        <v>625</v>
      </c>
      <c r="G96" s="9" t="s">
        <v>55</v>
      </c>
      <c r="H96" s="9" t="s">
        <v>55</v>
      </c>
      <c r="I96" s="9" t="s">
        <v>55</v>
      </c>
      <c r="J96" s="9" t="s">
        <v>40</v>
      </c>
      <c r="K96" s="11" t="s">
        <v>75</v>
      </c>
      <c r="L96" s="9" t="s">
        <v>453</v>
      </c>
      <c r="M96" s="11" t="s">
        <v>74</v>
      </c>
      <c r="N96" s="9" t="s">
        <v>40</v>
      </c>
      <c r="O96" s="9" t="s">
        <v>40</v>
      </c>
      <c r="P96" s="11" t="s">
        <v>75</v>
      </c>
    </row>
    <row r="97" spans="1:16" s="6" customFormat="1" ht="16.5" customHeight="1" outlineLevel="1" x14ac:dyDescent="0.15">
      <c r="A97" s="30">
        <v>3.4</v>
      </c>
      <c r="B97" s="31" t="s">
        <v>458</v>
      </c>
      <c r="C97" s="3" t="s">
        <v>97</v>
      </c>
      <c r="D97" s="3" t="s">
        <v>100</v>
      </c>
      <c r="E97" s="3" t="s">
        <v>101</v>
      </c>
      <c r="F97" s="3" t="s">
        <v>102</v>
      </c>
      <c r="G97" s="3" t="s">
        <v>103</v>
      </c>
      <c r="H97" s="3" t="s">
        <v>102</v>
      </c>
      <c r="I97" s="3" t="s">
        <v>103</v>
      </c>
      <c r="J97" s="3" t="s">
        <v>104</v>
      </c>
      <c r="K97" s="5" t="s">
        <v>74</v>
      </c>
      <c r="L97" s="3" t="s">
        <v>105</v>
      </c>
      <c r="M97" s="5" t="s">
        <v>74</v>
      </c>
      <c r="N97" s="3" t="s">
        <v>106</v>
      </c>
      <c r="O97" s="3" t="s">
        <v>107</v>
      </c>
      <c r="P97" s="5" t="s">
        <v>74</v>
      </c>
    </row>
    <row r="98" spans="1:16" s="6" customFormat="1" ht="16.5" customHeight="1" outlineLevel="2" x14ac:dyDescent="0.15">
      <c r="A98" s="7" t="s">
        <v>459</v>
      </c>
      <c r="B98" s="39" t="s">
        <v>460</v>
      </c>
      <c r="C98" s="40" t="s">
        <v>468</v>
      </c>
      <c r="D98" s="40" t="s">
        <v>470</v>
      </c>
      <c r="E98" s="40" t="s">
        <v>44</v>
      </c>
      <c r="F98" s="41" t="s">
        <v>626</v>
      </c>
      <c r="G98" s="9" t="s">
        <v>44</v>
      </c>
      <c r="H98" s="9" t="s">
        <v>44</v>
      </c>
      <c r="I98" s="9" t="s">
        <v>44</v>
      </c>
      <c r="J98" s="9" t="s">
        <v>59</v>
      </c>
      <c r="K98" s="11" t="s">
        <v>74</v>
      </c>
      <c r="L98" s="9" t="s">
        <v>55</v>
      </c>
      <c r="M98" s="11" t="s">
        <v>75</v>
      </c>
      <c r="N98" s="9" t="s">
        <v>473</v>
      </c>
      <c r="O98" s="9" t="s">
        <v>474</v>
      </c>
      <c r="P98" s="11" t="s">
        <v>75</v>
      </c>
    </row>
    <row r="99" spans="1:16" s="6" customFormat="1" ht="16.5" customHeight="1" outlineLevel="2" x14ac:dyDescent="0.15">
      <c r="A99" s="7" t="s">
        <v>462</v>
      </c>
      <c r="B99" s="8" t="s">
        <v>463</v>
      </c>
      <c r="C99" s="9" t="s">
        <v>469</v>
      </c>
      <c r="D99" s="9" t="s">
        <v>484</v>
      </c>
      <c r="E99" s="9" t="s">
        <v>44</v>
      </c>
      <c r="F99" s="38" t="s">
        <v>627</v>
      </c>
      <c r="G99" s="9" t="s">
        <v>44</v>
      </c>
      <c r="H99" s="9" t="s">
        <v>44</v>
      </c>
      <c r="I99" s="9" t="s">
        <v>44</v>
      </c>
      <c r="J99" s="9" t="s">
        <v>40</v>
      </c>
      <c r="K99" s="11" t="s">
        <v>74</v>
      </c>
      <c r="L99" s="9" t="s">
        <v>55</v>
      </c>
      <c r="M99" s="11" t="s">
        <v>75</v>
      </c>
      <c r="N99" s="9" t="s">
        <v>475</v>
      </c>
      <c r="O99" s="9" t="s">
        <v>476</v>
      </c>
      <c r="P99" s="11" t="s">
        <v>75</v>
      </c>
    </row>
    <row r="100" spans="1:16" s="6" customFormat="1" ht="16.5" customHeight="1" outlineLevel="2" x14ac:dyDescent="0.15">
      <c r="A100" s="7" t="s">
        <v>465</v>
      </c>
      <c r="B100" s="8" t="s">
        <v>466</v>
      </c>
      <c r="C100" s="9" t="s">
        <v>40</v>
      </c>
      <c r="D100" s="9" t="s">
        <v>471</v>
      </c>
      <c r="E100" s="9" t="s">
        <v>44</v>
      </c>
      <c r="F100" s="38" t="s">
        <v>628</v>
      </c>
      <c r="G100" s="9" t="s">
        <v>44</v>
      </c>
      <c r="H100" s="9" t="s">
        <v>44</v>
      </c>
      <c r="I100" s="9" t="s">
        <v>44</v>
      </c>
      <c r="J100" s="9" t="s">
        <v>40</v>
      </c>
      <c r="K100" s="11" t="s">
        <v>75</v>
      </c>
      <c r="L100" s="9" t="s">
        <v>472</v>
      </c>
      <c r="M100" s="11" t="s">
        <v>74</v>
      </c>
      <c r="N100" s="9" t="s">
        <v>40</v>
      </c>
      <c r="O100" s="9" t="s">
        <v>40</v>
      </c>
      <c r="P100" s="11" t="s">
        <v>75</v>
      </c>
    </row>
    <row r="101" spans="1:16" s="6" customFormat="1" ht="16.5" customHeight="1" outlineLevel="1" x14ac:dyDescent="0.15">
      <c r="A101" s="30">
        <v>3.5</v>
      </c>
      <c r="B101" s="31" t="s">
        <v>477</v>
      </c>
      <c r="C101" s="3" t="s">
        <v>97</v>
      </c>
      <c r="D101" s="3" t="s">
        <v>100</v>
      </c>
      <c r="E101" s="3" t="s">
        <v>101</v>
      </c>
      <c r="F101" s="3" t="s">
        <v>102</v>
      </c>
      <c r="G101" s="3" t="s">
        <v>103</v>
      </c>
      <c r="H101" s="3" t="s">
        <v>102</v>
      </c>
      <c r="I101" s="3" t="s">
        <v>103</v>
      </c>
      <c r="J101" s="3" t="s">
        <v>104</v>
      </c>
      <c r="K101" s="5" t="s">
        <v>74</v>
      </c>
      <c r="L101" s="3" t="s">
        <v>105</v>
      </c>
      <c r="M101" s="5" t="s">
        <v>74</v>
      </c>
      <c r="N101" s="3" t="s">
        <v>106</v>
      </c>
      <c r="O101" s="3" t="s">
        <v>107</v>
      </c>
      <c r="P101" s="5" t="s">
        <v>74</v>
      </c>
    </row>
    <row r="102" spans="1:16" s="6" customFormat="1" ht="16.5" customHeight="1" outlineLevel="2" x14ac:dyDescent="0.15">
      <c r="A102" s="7" t="s">
        <v>478</v>
      </c>
      <c r="B102" s="8" t="s">
        <v>479</v>
      </c>
      <c r="C102" s="9" t="s">
        <v>483</v>
      </c>
      <c r="D102" s="9" t="s">
        <v>493</v>
      </c>
      <c r="E102" s="9" t="s">
        <v>44</v>
      </c>
      <c r="F102" s="9" t="s">
        <v>629</v>
      </c>
      <c r="G102" s="9" t="s">
        <v>44</v>
      </c>
      <c r="H102" s="9" t="s">
        <v>44</v>
      </c>
      <c r="I102" s="9" t="s">
        <v>44</v>
      </c>
      <c r="J102" s="9" t="s">
        <v>59</v>
      </c>
      <c r="K102" s="11" t="s">
        <v>74</v>
      </c>
      <c r="L102" s="9" t="s">
        <v>55</v>
      </c>
      <c r="M102" s="11" t="s">
        <v>75</v>
      </c>
      <c r="N102" s="9" t="s">
        <v>486</v>
      </c>
      <c r="O102" s="9" t="s">
        <v>487</v>
      </c>
      <c r="P102" s="11" t="s">
        <v>75</v>
      </c>
    </row>
    <row r="103" spans="1:16" s="6" customFormat="1" ht="16.5" customHeight="1" outlineLevel="2" x14ac:dyDescent="0.15">
      <c r="A103" s="7" t="s">
        <v>480</v>
      </c>
      <c r="B103" s="8" t="s">
        <v>481</v>
      </c>
      <c r="C103" s="9" t="s">
        <v>491</v>
      </c>
      <c r="D103" s="9" t="s">
        <v>485</v>
      </c>
      <c r="E103" s="9" t="s">
        <v>496</v>
      </c>
      <c r="F103" s="9" t="s">
        <v>630</v>
      </c>
      <c r="G103" s="9" t="s">
        <v>497</v>
      </c>
      <c r="H103" s="9" t="s">
        <v>44</v>
      </c>
      <c r="I103" s="9" t="s">
        <v>44</v>
      </c>
      <c r="J103" s="9" t="s">
        <v>44</v>
      </c>
      <c r="K103" s="11" t="s">
        <v>75</v>
      </c>
      <c r="L103" s="9" t="s">
        <v>44</v>
      </c>
      <c r="M103" s="11" t="s">
        <v>498</v>
      </c>
      <c r="N103" s="9" t="s">
        <v>488</v>
      </c>
      <c r="O103" s="9" t="s">
        <v>500</v>
      </c>
      <c r="P103" s="11" t="s">
        <v>75</v>
      </c>
    </row>
    <row r="104" spans="1:16" s="6" customFormat="1" ht="16.5" customHeight="1" outlineLevel="1" x14ac:dyDescent="0.15">
      <c r="A104" s="30">
        <v>3.6</v>
      </c>
      <c r="B104" s="31" t="s">
        <v>494</v>
      </c>
      <c r="C104" s="32" t="s">
        <v>492</v>
      </c>
      <c r="D104" s="32" t="s">
        <v>495</v>
      </c>
      <c r="E104" s="32" t="s">
        <v>44</v>
      </c>
      <c r="F104" s="32" t="s">
        <v>631</v>
      </c>
      <c r="G104" s="32" t="s">
        <v>44</v>
      </c>
      <c r="H104" s="32" t="s">
        <v>44</v>
      </c>
      <c r="I104" s="32" t="s">
        <v>44</v>
      </c>
      <c r="J104" s="32" t="s">
        <v>59</v>
      </c>
      <c r="K104" s="5" t="s">
        <v>74</v>
      </c>
      <c r="L104" s="32" t="s">
        <v>44</v>
      </c>
      <c r="M104" s="5" t="s">
        <v>74</v>
      </c>
      <c r="N104" s="32" t="s">
        <v>499</v>
      </c>
      <c r="O104" s="32" t="s">
        <v>501</v>
      </c>
      <c r="P104" s="34"/>
    </row>
    <row r="105" spans="1:16" s="6" customFormat="1" ht="16.5" customHeight="1" x14ac:dyDescent="0.15">
      <c r="A105" s="1" t="s">
        <v>502</v>
      </c>
      <c r="B105" s="2" t="s">
        <v>503</v>
      </c>
      <c r="C105" s="3" t="s">
        <v>520</v>
      </c>
      <c r="D105" s="3" t="s">
        <v>521</v>
      </c>
      <c r="E105" s="3" t="s">
        <v>522</v>
      </c>
      <c r="F105" s="3" t="s">
        <v>523</v>
      </c>
      <c r="G105" s="3" t="s">
        <v>524</v>
      </c>
      <c r="H105" s="3" t="s">
        <v>523</v>
      </c>
      <c r="I105" s="3" t="s">
        <v>524</v>
      </c>
      <c r="J105" s="3" t="s">
        <v>525</v>
      </c>
      <c r="K105" s="5" t="s">
        <v>74</v>
      </c>
      <c r="L105" s="3" t="s">
        <v>526</v>
      </c>
      <c r="M105" s="5" t="s">
        <v>74</v>
      </c>
      <c r="N105" s="3" t="s">
        <v>527</v>
      </c>
      <c r="O105" s="3" t="s">
        <v>528</v>
      </c>
      <c r="P105" s="5" t="s">
        <v>74</v>
      </c>
    </row>
    <row r="106" spans="1:16" s="6" customFormat="1" ht="16.5" customHeight="1" outlineLevel="1" x14ac:dyDescent="0.15">
      <c r="A106" s="30">
        <v>4.0999999999999996</v>
      </c>
      <c r="B106" s="31" t="s">
        <v>504</v>
      </c>
      <c r="C106" s="3" t="s">
        <v>97</v>
      </c>
      <c r="D106" s="3" t="s">
        <v>100</v>
      </c>
      <c r="E106" s="3" t="s">
        <v>101</v>
      </c>
      <c r="F106" s="3" t="s">
        <v>102</v>
      </c>
      <c r="G106" s="3" t="s">
        <v>103</v>
      </c>
      <c r="H106" s="3" t="s">
        <v>102</v>
      </c>
      <c r="I106" s="3" t="s">
        <v>103</v>
      </c>
      <c r="J106" s="3" t="s">
        <v>104</v>
      </c>
      <c r="K106" s="5" t="s">
        <v>74</v>
      </c>
      <c r="L106" s="3" t="s">
        <v>105</v>
      </c>
      <c r="M106" s="5" t="s">
        <v>74</v>
      </c>
      <c r="N106" s="3" t="s">
        <v>106</v>
      </c>
      <c r="O106" s="3" t="s">
        <v>107</v>
      </c>
      <c r="P106" s="5" t="s">
        <v>74</v>
      </c>
    </row>
    <row r="107" spans="1:16" s="6" customFormat="1" ht="16.5" customHeight="1" outlineLevel="2" x14ac:dyDescent="0.15">
      <c r="A107" s="7" t="s">
        <v>505</v>
      </c>
      <c r="B107" s="8" t="s">
        <v>506</v>
      </c>
      <c r="C107" s="9" t="s">
        <v>529</v>
      </c>
      <c r="D107" s="38" t="s">
        <v>564</v>
      </c>
      <c r="E107" s="9" t="s">
        <v>44</v>
      </c>
      <c r="F107" s="38" t="s">
        <v>632</v>
      </c>
      <c r="G107" s="9" t="s">
        <v>44</v>
      </c>
      <c r="H107" s="9" t="s">
        <v>44</v>
      </c>
      <c r="I107" s="9" t="s">
        <v>44</v>
      </c>
      <c r="J107" s="9" t="s">
        <v>59</v>
      </c>
      <c r="K107" s="11" t="s">
        <v>74</v>
      </c>
      <c r="L107" s="9" t="s">
        <v>536</v>
      </c>
      <c r="M107" s="11" t="s">
        <v>75</v>
      </c>
      <c r="N107" s="9" t="s">
        <v>538</v>
      </c>
      <c r="O107" s="9" t="s">
        <v>539</v>
      </c>
      <c r="P107" s="11" t="s">
        <v>75</v>
      </c>
    </row>
    <row r="108" spans="1:16" s="6" customFormat="1" ht="16.5" customHeight="1" outlineLevel="2" x14ac:dyDescent="0.15">
      <c r="A108" s="7" t="s">
        <v>507</v>
      </c>
      <c r="B108" s="8" t="s">
        <v>508</v>
      </c>
      <c r="C108" s="9" t="s">
        <v>530</v>
      </c>
      <c r="D108" s="38" t="s">
        <v>531</v>
      </c>
      <c r="E108" s="9" t="s">
        <v>496</v>
      </c>
      <c r="F108" s="38" t="s">
        <v>633</v>
      </c>
      <c r="G108" s="9" t="s">
        <v>497</v>
      </c>
      <c r="H108" s="9" t="s">
        <v>497</v>
      </c>
      <c r="I108" s="9" t="s">
        <v>497</v>
      </c>
      <c r="J108" s="9" t="s">
        <v>40</v>
      </c>
      <c r="K108" s="11" t="s">
        <v>75</v>
      </c>
      <c r="L108" s="9" t="s">
        <v>537</v>
      </c>
      <c r="M108" s="11" t="s">
        <v>75</v>
      </c>
      <c r="N108" s="9" t="s">
        <v>540</v>
      </c>
      <c r="O108" s="9" t="s">
        <v>541</v>
      </c>
      <c r="P108" s="11" t="s">
        <v>75</v>
      </c>
    </row>
    <row r="109" spans="1:16" s="6" customFormat="1" ht="16.5" customHeight="1" outlineLevel="2" x14ac:dyDescent="0.15">
      <c r="A109" s="7" t="s">
        <v>509</v>
      </c>
      <c r="B109" s="8" t="s">
        <v>510</v>
      </c>
      <c r="C109" s="9" t="s">
        <v>40</v>
      </c>
      <c r="D109" s="38" t="s">
        <v>532</v>
      </c>
      <c r="E109" s="9" t="s">
        <v>44</v>
      </c>
      <c r="F109" s="38" t="s">
        <v>634</v>
      </c>
      <c r="G109" s="9" t="s">
        <v>44</v>
      </c>
      <c r="H109" s="9" t="s">
        <v>44</v>
      </c>
      <c r="I109" s="9" t="s">
        <v>44</v>
      </c>
      <c r="J109" s="9" t="s">
        <v>40</v>
      </c>
      <c r="K109" s="11" t="s">
        <v>74</v>
      </c>
      <c r="L109" s="9" t="s">
        <v>40</v>
      </c>
      <c r="M109" s="11" t="s">
        <v>75</v>
      </c>
      <c r="N109" s="9" t="s">
        <v>40</v>
      </c>
      <c r="O109" s="9" t="s">
        <v>40</v>
      </c>
      <c r="P109" s="11" t="s">
        <v>75</v>
      </c>
    </row>
    <row r="110" spans="1:16" s="6" customFormat="1" ht="16.5" customHeight="1" outlineLevel="2" x14ac:dyDescent="0.15">
      <c r="A110" s="7" t="s">
        <v>511</v>
      </c>
      <c r="B110" s="8" t="s">
        <v>512</v>
      </c>
      <c r="C110" s="9" t="s">
        <v>40</v>
      </c>
      <c r="D110" s="38" t="s">
        <v>565</v>
      </c>
      <c r="E110" s="9" t="s">
        <v>496</v>
      </c>
      <c r="F110" s="38" t="s">
        <v>635</v>
      </c>
      <c r="G110" s="9" t="s">
        <v>497</v>
      </c>
      <c r="H110" s="9" t="s">
        <v>497</v>
      </c>
      <c r="I110" s="9" t="s">
        <v>497</v>
      </c>
      <c r="J110" s="9" t="s">
        <v>40</v>
      </c>
      <c r="K110" s="11" t="s">
        <v>75</v>
      </c>
      <c r="L110" s="9" t="s">
        <v>40</v>
      </c>
      <c r="M110" s="11" t="s">
        <v>75</v>
      </c>
      <c r="N110" s="9" t="s">
        <v>40</v>
      </c>
      <c r="O110" s="9" t="s">
        <v>40</v>
      </c>
      <c r="P110" s="11" t="s">
        <v>75</v>
      </c>
    </row>
    <row r="111" spans="1:16" s="6" customFormat="1" ht="16.5" customHeight="1" outlineLevel="2" x14ac:dyDescent="0.15">
      <c r="A111" s="7" t="s">
        <v>513</v>
      </c>
      <c r="B111" s="8" t="s">
        <v>514</v>
      </c>
      <c r="C111" s="9" t="s">
        <v>40</v>
      </c>
      <c r="D111" s="38" t="s">
        <v>533</v>
      </c>
      <c r="E111" s="9" t="s">
        <v>44</v>
      </c>
      <c r="F111" s="38" t="s">
        <v>636</v>
      </c>
      <c r="G111" s="9" t="s">
        <v>44</v>
      </c>
      <c r="H111" s="9" t="s">
        <v>44</v>
      </c>
      <c r="I111" s="9" t="s">
        <v>44</v>
      </c>
      <c r="J111" s="9" t="s">
        <v>40</v>
      </c>
      <c r="K111" s="11" t="s">
        <v>74</v>
      </c>
      <c r="L111" s="9" t="s">
        <v>40</v>
      </c>
      <c r="M111" s="11" t="s">
        <v>75</v>
      </c>
      <c r="N111" s="9" t="s">
        <v>40</v>
      </c>
      <c r="O111" s="9" t="s">
        <v>40</v>
      </c>
      <c r="P111" s="11" t="s">
        <v>75</v>
      </c>
    </row>
    <row r="112" spans="1:16" s="6" customFormat="1" ht="16.5" customHeight="1" outlineLevel="2" x14ac:dyDescent="0.15">
      <c r="A112" s="7" t="s">
        <v>515</v>
      </c>
      <c r="B112" s="8" t="s">
        <v>516</v>
      </c>
      <c r="C112" s="9" t="s">
        <v>40</v>
      </c>
      <c r="D112" s="38" t="s">
        <v>534</v>
      </c>
      <c r="E112" s="9" t="s">
        <v>496</v>
      </c>
      <c r="F112" s="38" t="s">
        <v>637</v>
      </c>
      <c r="G112" s="9" t="s">
        <v>497</v>
      </c>
      <c r="H112" s="9" t="s">
        <v>497</v>
      </c>
      <c r="I112" s="9" t="s">
        <v>497</v>
      </c>
      <c r="J112" s="9" t="s">
        <v>40</v>
      </c>
      <c r="K112" s="11" t="s">
        <v>75</v>
      </c>
      <c r="L112" s="9" t="s">
        <v>40</v>
      </c>
      <c r="M112" s="11" t="s">
        <v>75</v>
      </c>
      <c r="N112" s="9" t="s">
        <v>40</v>
      </c>
      <c r="O112" s="9" t="s">
        <v>40</v>
      </c>
      <c r="P112" s="11" t="s">
        <v>75</v>
      </c>
    </row>
    <row r="113" spans="1:16" s="6" customFormat="1" ht="16.5" customHeight="1" outlineLevel="2" x14ac:dyDescent="0.15">
      <c r="A113" s="7" t="s">
        <v>518</v>
      </c>
      <c r="B113" s="8" t="s">
        <v>519</v>
      </c>
      <c r="C113" s="9" t="s">
        <v>40</v>
      </c>
      <c r="D113" s="38" t="s">
        <v>535</v>
      </c>
      <c r="E113" s="9" t="s">
        <v>44</v>
      </c>
      <c r="F113" s="38" t="s">
        <v>638</v>
      </c>
      <c r="G113" s="9" t="s">
        <v>44</v>
      </c>
      <c r="H113" s="9" t="s">
        <v>44</v>
      </c>
      <c r="I113" s="9" t="s">
        <v>44</v>
      </c>
      <c r="J113" s="9" t="s">
        <v>40</v>
      </c>
      <c r="K113" s="11" t="s">
        <v>74</v>
      </c>
      <c r="L113" s="9" t="s">
        <v>40</v>
      </c>
      <c r="M113" s="11" t="s">
        <v>75</v>
      </c>
      <c r="N113" s="9" t="s">
        <v>40</v>
      </c>
      <c r="O113" s="9" t="s">
        <v>40</v>
      </c>
      <c r="P113" s="11" t="s">
        <v>75</v>
      </c>
    </row>
    <row r="114" spans="1:16" s="6" customFormat="1" ht="16.5" customHeight="1" outlineLevel="1" x14ac:dyDescent="0.15">
      <c r="A114" s="30">
        <v>4.2</v>
      </c>
      <c r="B114" s="31" t="s">
        <v>542</v>
      </c>
      <c r="C114" s="3" t="s">
        <v>97</v>
      </c>
      <c r="D114" s="3" t="s">
        <v>100</v>
      </c>
      <c r="E114" s="3" t="s">
        <v>101</v>
      </c>
      <c r="F114" s="3" t="s">
        <v>102</v>
      </c>
      <c r="G114" s="3" t="s">
        <v>103</v>
      </c>
      <c r="H114" s="3" t="s">
        <v>102</v>
      </c>
      <c r="I114" s="3" t="s">
        <v>103</v>
      </c>
      <c r="J114" s="3" t="s">
        <v>104</v>
      </c>
      <c r="K114" s="5" t="s">
        <v>74</v>
      </c>
      <c r="L114" s="3" t="s">
        <v>105</v>
      </c>
      <c r="M114" s="5" t="s">
        <v>74</v>
      </c>
      <c r="N114" s="3" t="s">
        <v>106</v>
      </c>
      <c r="O114" s="3" t="s">
        <v>107</v>
      </c>
      <c r="P114" s="5" t="s">
        <v>74</v>
      </c>
    </row>
    <row r="115" spans="1:16" s="6" customFormat="1" ht="16.5" customHeight="1" outlineLevel="2" x14ac:dyDescent="0.15">
      <c r="A115" s="7" t="s">
        <v>543</v>
      </c>
      <c r="B115" s="8" t="s">
        <v>544</v>
      </c>
      <c r="C115" s="9" t="s">
        <v>562</v>
      </c>
      <c r="D115" s="38" t="s">
        <v>566</v>
      </c>
      <c r="E115" s="9" t="s">
        <v>44</v>
      </c>
      <c r="F115" s="38" t="s">
        <v>639</v>
      </c>
      <c r="G115" s="9" t="s">
        <v>44</v>
      </c>
      <c r="H115" s="9" t="s">
        <v>44</v>
      </c>
      <c r="I115" s="9" t="s">
        <v>44</v>
      </c>
      <c r="J115" s="9" t="s">
        <v>59</v>
      </c>
      <c r="K115" s="11" t="s">
        <v>74</v>
      </c>
      <c r="L115" s="9" t="s">
        <v>574</v>
      </c>
      <c r="M115" s="11" t="s">
        <v>75</v>
      </c>
      <c r="N115" s="9" t="s">
        <v>576</v>
      </c>
      <c r="O115" s="9" t="s">
        <v>577</v>
      </c>
      <c r="P115" s="11" t="s">
        <v>75</v>
      </c>
    </row>
    <row r="116" spans="1:16" s="6" customFormat="1" ht="16.5" customHeight="1" outlineLevel="2" x14ac:dyDescent="0.15">
      <c r="A116" s="7" t="s">
        <v>545</v>
      </c>
      <c r="B116" s="8" t="s">
        <v>546</v>
      </c>
      <c r="C116" s="9" t="s">
        <v>563</v>
      </c>
      <c r="D116" s="38" t="s">
        <v>567</v>
      </c>
      <c r="E116" s="9" t="s">
        <v>496</v>
      </c>
      <c r="F116" s="9" t="s">
        <v>496</v>
      </c>
      <c r="G116" s="9" t="s">
        <v>497</v>
      </c>
      <c r="H116" s="9" t="s">
        <v>497</v>
      </c>
      <c r="I116" s="9" t="s">
        <v>497</v>
      </c>
      <c r="J116" s="9" t="s">
        <v>40</v>
      </c>
      <c r="K116" s="11" t="s">
        <v>75</v>
      </c>
      <c r="L116" s="9" t="s">
        <v>575</v>
      </c>
      <c r="M116" s="11" t="s">
        <v>75</v>
      </c>
      <c r="N116" s="9" t="s">
        <v>578</v>
      </c>
      <c r="O116" s="9" t="s">
        <v>579</v>
      </c>
      <c r="P116" s="11" t="s">
        <v>75</v>
      </c>
    </row>
    <row r="117" spans="1:16" s="6" customFormat="1" ht="16.5" customHeight="1" outlineLevel="2" x14ac:dyDescent="0.15">
      <c r="A117" s="7" t="s">
        <v>547</v>
      </c>
      <c r="B117" s="8" t="s">
        <v>548</v>
      </c>
      <c r="C117" s="9" t="s">
        <v>40</v>
      </c>
      <c r="D117" s="38" t="s">
        <v>568</v>
      </c>
      <c r="E117" s="9" t="s">
        <v>44</v>
      </c>
      <c r="F117" s="9" t="s">
        <v>496</v>
      </c>
      <c r="G117" s="9" t="s">
        <v>44</v>
      </c>
      <c r="H117" s="9" t="s">
        <v>44</v>
      </c>
      <c r="I117" s="9" t="s">
        <v>44</v>
      </c>
      <c r="J117" s="9" t="s">
        <v>40</v>
      </c>
      <c r="K117" s="11" t="s">
        <v>74</v>
      </c>
      <c r="L117" s="9" t="s">
        <v>40</v>
      </c>
      <c r="M117" s="11" t="s">
        <v>75</v>
      </c>
      <c r="N117" s="9" t="s">
        <v>40</v>
      </c>
      <c r="O117" s="9" t="s">
        <v>40</v>
      </c>
      <c r="P117" s="11" t="s">
        <v>75</v>
      </c>
    </row>
    <row r="118" spans="1:16" s="6" customFormat="1" ht="16.5" customHeight="1" outlineLevel="2" x14ac:dyDescent="0.15">
      <c r="A118" s="7" t="s">
        <v>549</v>
      </c>
      <c r="B118" s="8" t="s">
        <v>550</v>
      </c>
      <c r="C118" s="9" t="s">
        <v>40</v>
      </c>
      <c r="D118" s="38" t="s">
        <v>569</v>
      </c>
      <c r="E118" s="9" t="s">
        <v>496</v>
      </c>
      <c r="F118" s="9" t="s">
        <v>496</v>
      </c>
      <c r="G118" s="9" t="s">
        <v>497</v>
      </c>
      <c r="H118" s="9" t="s">
        <v>497</v>
      </c>
      <c r="I118" s="9" t="s">
        <v>497</v>
      </c>
      <c r="J118" s="9" t="s">
        <v>40</v>
      </c>
      <c r="K118" s="11" t="s">
        <v>75</v>
      </c>
      <c r="L118" s="9" t="s">
        <v>40</v>
      </c>
      <c r="M118" s="11" t="s">
        <v>75</v>
      </c>
      <c r="N118" s="9" t="s">
        <v>40</v>
      </c>
      <c r="O118" s="9" t="s">
        <v>40</v>
      </c>
      <c r="P118" s="11" t="s">
        <v>75</v>
      </c>
    </row>
    <row r="119" spans="1:16" s="6" customFormat="1" ht="16.5" customHeight="1" outlineLevel="2" x14ac:dyDescent="0.15">
      <c r="A119" s="7" t="s">
        <v>551</v>
      </c>
      <c r="B119" s="8" t="s">
        <v>552</v>
      </c>
      <c r="C119" s="9" t="s">
        <v>40</v>
      </c>
      <c r="D119" s="38" t="s">
        <v>570</v>
      </c>
      <c r="E119" s="9" t="s">
        <v>44</v>
      </c>
      <c r="F119" s="38" t="s">
        <v>640</v>
      </c>
      <c r="G119" s="9" t="s">
        <v>44</v>
      </c>
      <c r="H119" s="9" t="s">
        <v>44</v>
      </c>
      <c r="I119" s="9" t="s">
        <v>44</v>
      </c>
      <c r="J119" s="9" t="s">
        <v>40</v>
      </c>
      <c r="K119" s="11" t="s">
        <v>74</v>
      </c>
      <c r="L119" s="9" t="s">
        <v>40</v>
      </c>
      <c r="M119" s="11" t="s">
        <v>75</v>
      </c>
      <c r="N119" s="9" t="s">
        <v>40</v>
      </c>
      <c r="O119" s="9" t="s">
        <v>40</v>
      </c>
      <c r="P119" s="11" t="s">
        <v>75</v>
      </c>
    </row>
    <row r="120" spans="1:16" s="6" customFormat="1" ht="16.5" customHeight="1" outlineLevel="2" x14ac:dyDescent="0.15">
      <c r="A120" s="7" t="s">
        <v>553</v>
      </c>
      <c r="B120" s="8" t="s">
        <v>554</v>
      </c>
      <c r="C120" s="9" t="s">
        <v>40</v>
      </c>
      <c r="D120" s="38" t="s">
        <v>571</v>
      </c>
      <c r="E120" s="9" t="s">
        <v>496</v>
      </c>
      <c r="F120" s="38" t="s">
        <v>641</v>
      </c>
      <c r="G120" s="9" t="s">
        <v>497</v>
      </c>
      <c r="H120" s="9" t="s">
        <v>497</v>
      </c>
      <c r="I120" s="9" t="s">
        <v>497</v>
      </c>
      <c r="J120" s="9" t="s">
        <v>40</v>
      </c>
      <c r="K120" s="11" t="s">
        <v>75</v>
      </c>
      <c r="L120" s="9" t="s">
        <v>40</v>
      </c>
      <c r="M120" s="11" t="s">
        <v>75</v>
      </c>
      <c r="N120" s="9" t="s">
        <v>40</v>
      </c>
      <c r="O120" s="9" t="s">
        <v>40</v>
      </c>
      <c r="P120" s="11" t="s">
        <v>75</v>
      </c>
    </row>
    <row r="121" spans="1:16" s="6" customFormat="1" ht="16.5" customHeight="1" outlineLevel="2" x14ac:dyDescent="0.15">
      <c r="A121" s="7" t="s">
        <v>555</v>
      </c>
      <c r="B121" s="8" t="s">
        <v>556</v>
      </c>
      <c r="C121" s="9" t="s">
        <v>40</v>
      </c>
      <c r="D121" s="38" t="s">
        <v>572</v>
      </c>
      <c r="E121" s="9" t="s">
        <v>44</v>
      </c>
      <c r="F121" s="38" t="s">
        <v>642</v>
      </c>
      <c r="G121" s="9" t="s">
        <v>44</v>
      </c>
      <c r="H121" s="9" t="s">
        <v>44</v>
      </c>
      <c r="I121" s="9" t="s">
        <v>44</v>
      </c>
      <c r="J121" s="9" t="s">
        <v>40</v>
      </c>
      <c r="K121" s="11" t="s">
        <v>74</v>
      </c>
      <c r="L121" s="9" t="s">
        <v>40</v>
      </c>
      <c r="M121" s="11" t="s">
        <v>75</v>
      </c>
      <c r="N121" s="9" t="s">
        <v>40</v>
      </c>
      <c r="O121" s="9" t="s">
        <v>40</v>
      </c>
      <c r="P121" s="11" t="s">
        <v>75</v>
      </c>
    </row>
    <row r="122" spans="1:16" s="6" customFormat="1" ht="16.5" customHeight="1" outlineLevel="2" x14ac:dyDescent="0.15">
      <c r="A122" s="7" t="s">
        <v>557</v>
      </c>
      <c r="B122" s="8" t="s">
        <v>558</v>
      </c>
      <c r="C122" s="9" t="s">
        <v>40</v>
      </c>
      <c r="D122" s="38" t="s">
        <v>653</v>
      </c>
      <c r="E122" s="9" t="s">
        <v>44</v>
      </c>
      <c r="F122" s="38" t="s">
        <v>643</v>
      </c>
      <c r="G122" s="9" t="s">
        <v>44</v>
      </c>
      <c r="H122" s="9" t="s">
        <v>44</v>
      </c>
      <c r="I122" s="9" t="s">
        <v>44</v>
      </c>
      <c r="J122" s="9" t="s">
        <v>40</v>
      </c>
      <c r="K122" s="11" t="s">
        <v>74</v>
      </c>
      <c r="L122" s="9" t="s">
        <v>40</v>
      </c>
      <c r="M122" s="11" t="s">
        <v>75</v>
      </c>
      <c r="N122" s="9" t="s">
        <v>40</v>
      </c>
      <c r="O122" s="9" t="s">
        <v>40</v>
      </c>
      <c r="P122" s="11" t="s">
        <v>75</v>
      </c>
    </row>
    <row r="123" spans="1:16" s="6" customFormat="1" ht="16.5" customHeight="1" outlineLevel="2" x14ac:dyDescent="0.15">
      <c r="A123" s="7" t="s">
        <v>559</v>
      </c>
      <c r="B123" s="8" t="s">
        <v>560</v>
      </c>
      <c r="C123" s="9" t="s">
        <v>40</v>
      </c>
      <c r="D123" s="38" t="s">
        <v>573</v>
      </c>
      <c r="E123" s="9" t="s">
        <v>496</v>
      </c>
      <c r="F123" s="38" t="s">
        <v>656</v>
      </c>
      <c r="G123" s="9" t="s">
        <v>497</v>
      </c>
      <c r="H123" s="9" t="s">
        <v>497</v>
      </c>
      <c r="I123" s="9" t="s">
        <v>497</v>
      </c>
      <c r="J123" s="9" t="s">
        <v>40</v>
      </c>
      <c r="K123" s="11" t="s">
        <v>75</v>
      </c>
      <c r="L123" s="9" t="s">
        <v>40</v>
      </c>
      <c r="M123" s="11" t="s">
        <v>75</v>
      </c>
      <c r="N123" s="9" t="s">
        <v>40</v>
      </c>
      <c r="O123" s="9" t="s">
        <v>40</v>
      </c>
      <c r="P123" s="11" t="s">
        <v>75</v>
      </c>
    </row>
    <row r="124" spans="1:16" s="6" customFormat="1" ht="16.5" customHeight="1" outlineLevel="1" x14ac:dyDescent="0.15">
      <c r="A124" s="30">
        <v>4.3</v>
      </c>
      <c r="B124" s="31" t="s">
        <v>644</v>
      </c>
      <c r="C124" s="3" t="s">
        <v>97</v>
      </c>
      <c r="D124" s="3" t="s">
        <v>100</v>
      </c>
      <c r="E124" s="3" t="s">
        <v>101</v>
      </c>
      <c r="F124" s="3" t="s">
        <v>102</v>
      </c>
      <c r="G124" s="3" t="s">
        <v>103</v>
      </c>
      <c r="H124" s="3" t="s">
        <v>102</v>
      </c>
      <c r="I124" s="3" t="s">
        <v>103</v>
      </c>
      <c r="J124" s="3" t="s">
        <v>104</v>
      </c>
      <c r="K124" s="5" t="s">
        <v>74</v>
      </c>
      <c r="L124" s="3" t="s">
        <v>105</v>
      </c>
      <c r="M124" s="5" t="s">
        <v>74</v>
      </c>
      <c r="N124" s="3" t="s">
        <v>106</v>
      </c>
      <c r="O124" s="3" t="s">
        <v>107</v>
      </c>
      <c r="P124" s="5" t="s">
        <v>74</v>
      </c>
    </row>
    <row r="125" spans="1:16" s="6" customFormat="1" ht="16.5" customHeight="1" outlineLevel="2" x14ac:dyDescent="0.15">
      <c r="A125" s="7" t="s">
        <v>645</v>
      </c>
      <c r="B125" s="8" t="s">
        <v>646</v>
      </c>
      <c r="C125" s="9" t="s">
        <v>651</v>
      </c>
      <c r="D125" s="9" t="s">
        <v>654</v>
      </c>
      <c r="E125" s="9" t="s">
        <v>44</v>
      </c>
      <c r="F125" s="9" t="s">
        <v>44</v>
      </c>
      <c r="G125" s="9" t="s">
        <v>497</v>
      </c>
      <c r="H125" s="9" t="s">
        <v>497</v>
      </c>
      <c r="I125" s="9" t="s">
        <v>497</v>
      </c>
      <c r="J125" s="9" t="s">
        <v>59</v>
      </c>
      <c r="K125" s="11" t="s">
        <v>74</v>
      </c>
      <c r="L125" s="9" t="s">
        <v>659</v>
      </c>
      <c r="M125" s="11" t="s">
        <v>75</v>
      </c>
      <c r="N125" s="9" t="s">
        <v>661</v>
      </c>
      <c r="O125" s="9" t="s">
        <v>663</v>
      </c>
      <c r="P125" s="11" t="s">
        <v>75</v>
      </c>
    </row>
    <row r="126" spans="1:16" s="6" customFormat="1" ht="16.5" customHeight="1" outlineLevel="2" x14ac:dyDescent="0.15">
      <c r="A126" s="7" t="s">
        <v>647</v>
      </c>
      <c r="B126" s="8" t="s">
        <v>648</v>
      </c>
      <c r="C126" s="9" t="s">
        <v>652</v>
      </c>
      <c r="D126" s="9" t="s">
        <v>655</v>
      </c>
      <c r="E126" s="9" t="s">
        <v>496</v>
      </c>
      <c r="F126" s="9" t="s">
        <v>496</v>
      </c>
      <c r="G126" s="9" t="s">
        <v>44</v>
      </c>
      <c r="H126" s="9" t="s">
        <v>44</v>
      </c>
      <c r="I126" s="9" t="s">
        <v>44</v>
      </c>
      <c r="J126" s="9" t="s">
        <v>40</v>
      </c>
      <c r="K126" s="11" t="s">
        <v>75</v>
      </c>
      <c r="L126" s="9" t="s">
        <v>660</v>
      </c>
      <c r="M126" s="11" t="s">
        <v>75</v>
      </c>
      <c r="N126" s="9" t="s">
        <v>662</v>
      </c>
      <c r="O126" s="9" t="s">
        <v>664</v>
      </c>
      <c r="P126" s="11" t="s">
        <v>75</v>
      </c>
    </row>
    <row r="127" spans="1:16" s="6" customFormat="1" ht="16.5" customHeight="1" outlineLevel="2" x14ac:dyDescent="0.15">
      <c r="A127" s="7" t="s">
        <v>649</v>
      </c>
      <c r="B127" s="8" t="s">
        <v>548</v>
      </c>
      <c r="C127" s="9" t="s">
        <v>40</v>
      </c>
      <c r="D127" s="9" t="s">
        <v>568</v>
      </c>
      <c r="E127" s="9" t="s">
        <v>44</v>
      </c>
      <c r="F127" s="9" t="s">
        <v>44</v>
      </c>
      <c r="G127" s="9" t="s">
        <v>44</v>
      </c>
      <c r="H127" s="9" t="s">
        <v>44</v>
      </c>
      <c r="I127" s="9" t="s">
        <v>44</v>
      </c>
      <c r="J127" s="9" t="s">
        <v>40</v>
      </c>
      <c r="K127" s="11" t="s">
        <v>75</v>
      </c>
      <c r="L127" s="9" t="s">
        <v>40</v>
      </c>
      <c r="M127" s="11" t="s">
        <v>75</v>
      </c>
      <c r="N127" s="9" t="s">
        <v>40</v>
      </c>
      <c r="O127" s="9" t="s">
        <v>40</v>
      </c>
      <c r="P127" s="11" t="s">
        <v>75</v>
      </c>
    </row>
    <row r="128" spans="1:16" s="6" customFormat="1" ht="16.5" customHeight="1" outlineLevel="2" x14ac:dyDescent="0.15">
      <c r="A128" s="7" t="s">
        <v>650</v>
      </c>
      <c r="B128" s="8" t="s">
        <v>560</v>
      </c>
      <c r="C128" s="9" t="s">
        <v>40</v>
      </c>
      <c r="D128" s="9" t="s">
        <v>658</v>
      </c>
      <c r="E128" s="9" t="s">
        <v>496</v>
      </c>
      <c r="F128" s="9" t="s">
        <v>657</v>
      </c>
      <c r="G128" s="9" t="s">
        <v>497</v>
      </c>
      <c r="H128" s="9" t="s">
        <v>497</v>
      </c>
      <c r="I128" s="9" t="s">
        <v>497</v>
      </c>
      <c r="J128" s="9" t="s">
        <v>40</v>
      </c>
      <c r="K128" s="11" t="s">
        <v>75</v>
      </c>
      <c r="L128" s="9" t="s">
        <v>40</v>
      </c>
      <c r="M128" s="11" t="s">
        <v>75</v>
      </c>
      <c r="N128" s="9" t="s">
        <v>40</v>
      </c>
      <c r="O128" s="9" t="s">
        <v>40</v>
      </c>
      <c r="P128" s="11" t="s">
        <v>75</v>
      </c>
    </row>
    <row r="129" spans="1:16" s="6" customFormat="1" ht="16.5" customHeight="1" outlineLevel="1" x14ac:dyDescent="0.15">
      <c r="A129" s="30">
        <v>4.4000000000000004</v>
      </c>
      <c r="B129" s="31" t="s">
        <v>665</v>
      </c>
      <c r="C129" s="3" t="s">
        <v>97</v>
      </c>
      <c r="D129" s="3" t="s">
        <v>100</v>
      </c>
      <c r="E129" s="3" t="s">
        <v>101</v>
      </c>
      <c r="F129" s="3" t="s">
        <v>102</v>
      </c>
      <c r="G129" s="3" t="s">
        <v>103</v>
      </c>
      <c r="H129" s="3" t="s">
        <v>102</v>
      </c>
      <c r="I129" s="3" t="s">
        <v>103</v>
      </c>
      <c r="J129" s="3" t="s">
        <v>104</v>
      </c>
      <c r="K129" s="5" t="s">
        <v>74</v>
      </c>
      <c r="L129" s="3" t="s">
        <v>105</v>
      </c>
      <c r="M129" s="5" t="s">
        <v>74</v>
      </c>
      <c r="N129" s="3" t="s">
        <v>106</v>
      </c>
      <c r="O129" s="3" t="s">
        <v>107</v>
      </c>
      <c r="P129" s="5" t="s">
        <v>74</v>
      </c>
    </row>
    <row r="130" spans="1:16" s="6" customFormat="1" ht="16.5" customHeight="1" outlineLevel="2" x14ac:dyDescent="0.15">
      <c r="A130" s="7" t="s">
        <v>666</v>
      </c>
      <c r="B130" s="8" t="s">
        <v>672</v>
      </c>
      <c r="C130" s="9" t="s">
        <v>670</v>
      </c>
      <c r="D130" s="9" t="s">
        <v>673</v>
      </c>
      <c r="E130" s="9" t="s">
        <v>44</v>
      </c>
      <c r="F130" s="9" t="s">
        <v>675</v>
      </c>
      <c r="G130" s="9" t="s">
        <v>44</v>
      </c>
      <c r="H130" s="9" t="s">
        <v>44</v>
      </c>
      <c r="I130" s="9" t="s">
        <v>44</v>
      </c>
      <c r="J130" s="9" t="s">
        <v>59</v>
      </c>
      <c r="K130" s="11" t="s">
        <v>75</v>
      </c>
      <c r="L130" s="9" t="s">
        <v>678</v>
      </c>
      <c r="M130" s="11" t="s">
        <v>75</v>
      </c>
      <c r="N130" s="9" t="s">
        <v>680</v>
      </c>
      <c r="O130" s="9" t="s">
        <v>682</v>
      </c>
      <c r="P130" s="11" t="s">
        <v>75</v>
      </c>
    </row>
    <row r="131" spans="1:16" s="6" customFormat="1" ht="16.5" customHeight="1" outlineLevel="2" x14ac:dyDescent="0.15">
      <c r="A131" s="7" t="s">
        <v>668</v>
      </c>
      <c r="B131" s="8" t="s">
        <v>674</v>
      </c>
      <c r="C131" s="9" t="s">
        <v>671</v>
      </c>
      <c r="D131" s="9" t="s">
        <v>676</v>
      </c>
      <c r="E131" s="9" t="s">
        <v>496</v>
      </c>
      <c r="F131" s="9" t="s">
        <v>677</v>
      </c>
      <c r="G131" s="9" t="s">
        <v>497</v>
      </c>
      <c r="H131" s="9" t="s">
        <v>497</v>
      </c>
      <c r="I131" s="9" t="s">
        <v>497</v>
      </c>
      <c r="J131" s="9" t="s">
        <v>40</v>
      </c>
      <c r="K131" s="11" t="s">
        <v>75</v>
      </c>
      <c r="L131" s="9" t="s">
        <v>679</v>
      </c>
      <c r="M131" s="11" t="s">
        <v>75</v>
      </c>
      <c r="N131" s="9" t="s">
        <v>681</v>
      </c>
      <c r="O131" s="9" t="s">
        <v>683</v>
      </c>
      <c r="P131" s="11" t="s">
        <v>75</v>
      </c>
    </row>
    <row r="132" spans="1:16" s="6" customFormat="1" ht="16.5" customHeight="1" outlineLevel="1" x14ac:dyDescent="0.15">
      <c r="A132" s="30">
        <v>4.5</v>
      </c>
      <c r="B132" s="31" t="s">
        <v>684</v>
      </c>
      <c r="C132" s="3" t="s">
        <v>97</v>
      </c>
      <c r="D132" s="3" t="s">
        <v>100</v>
      </c>
      <c r="E132" s="3" t="s">
        <v>101</v>
      </c>
      <c r="F132" s="3" t="s">
        <v>102</v>
      </c>
      <c r="G132" s="3" t="s">
        <v>103</v>
      </c>
      <c r="H132" s="3" t="s">
        <v>102</v>
      </c>
      <c r="I132" s="3" t="s">
        <v>103</v>
      </c>
      <c r="J132" s="3" t="s">
        <v>104</v>
      </c>
      <c r="K132" s="5" t="s">
        <v>74</v>
      </c>
      <c r="L132" s="3" t="s">
        <v>105</v>
      </c>
      <c r="M132" s="5" t="s">
        <v>74</v>
      </c>
      <c r="N132" s="3" t="s">
        <v>106</v>
      </c>
      <c r="O132" s="3" t="s">
        <v>107</v>
      </c>
      <c r="P132" s="5" t="s">
        <v>74</v>
      </c>
    </row>
    <row r="133" spans="1:16" s="6" customFormat="1" ht="16.5" customHeight="1" outlineLevel="2" x14ac:dyDescent="0.15">
      <c r="A133" s="7" t="s">
        <v>685</v>
      </c>
      <c r="B133" s="8" t="s">
        <v>694</v>
      </c>
      <c r="C133" s="9" t="s">
        <v>692</v>
      </c>
      <c r="D133" s="9" t="s">
        <v>698</v>
      </c>
      <c r="E133" s="9" t="s">
        <v>44</v>
      </c>
      <c r="F133" s="9" t="s">
        <v>699</v>
      </c>
      <c r="G133" s="9" t="s">
        <v>44</v>
      </c>
      <c r="H133" s="9" t="s">
        <v>44</v>
      </c>
      <c r="I133" s="9" t="s">
        <v>44</v>
      </c>
      <c r="J133" s="9" t="s">
        <v>59</v>
      </c>
      <c r="K133" s="11" t="s">
        <v>75</v>
      </c>
      <c r="L133" s="9" t="s">
        <v>44</v>
      </c>
      <c r="M133" s="11" t="s">
        <v>75</v>
      </c>
      <c r="N133" s="9" t="s">
        <v>705</v>
      </c>
      <c r="O133" s="9" t="s">
        <v>706</v>
      </c>
      <c r="P133" s="11" t="s">
        <v>75</v>
      </c>
    </row>
    <row r="134" spans="1:16" s="6" customFormat="1" ht="16.5" customHeight="1" outlineLevel="2" x14ac:dyDescent="0.15">
      <c r="A134" s="7" t="s">
        <v>687</v>
      </c>
      <c r="B134" s="8" t="s">
        <v>695</v>
      </c>
      <c r="C134" s="9" t="s">
        <v>693</v>
      </c>
      <c r="D134" s="9" t="s">
        <v>696</v>
      </c>
      <c r="E134" s="9" t="s">
        <v>496</v>
      </c>
      <c r="F134" s="9" t="s">
        <v>700</v>
      </c>
      <c r="G134" s="9" t="s">
        <v>497</v>
      </c>
      <c r="H134" s="9" t="s">
        <v>497</v>
      </c>
      <c r="I134" s="9" t="s">
        <v>497</v>
      </c>
      <c r="J134" s="9" t="s">
        <v>40</v>
      </c>
      <c r="K134" s="11" t="s">
        <v>75</v>
      </c>
      <c r="L134" s="9" t="s">
        <v>703</v>
      </c>
      <c r="M134" s="11" t="s">
        <v>75</v>
      </c>
      <c r="N134" s="9" t="s">
        <v>707</v>
      </c>
      <c r="O134" s="9" t="s">
        <v>708</v>
      </c>
      <c r="P134" s="11" t="s">
        <v>75</v>
      </c>
    </row>
    <row r="135" spans="1:16" s="6" customFormat="1" ht="16.5" customHeight="1" outlineLevel="2" x14ac:dyDescent="0.15">
      <c r="A135" s="7" t="s">
        <v>690</v>
      </c>
      <c r="B135" s="8" t="s">
        <v>697</v>
      </c>
      <c r="C135" s="9" t="s">
        <v>40</v>
      </c>
      <c r="D135" s="9" t="s">
        <v>701</v>
      </c>
      <c r="E135" s="9" t="s">
        <v>44</v>
      </c>
      <c r="F135" s="9" t="s">
        <v>702</v>
      </c>
      <c r="G135" s="9" t="s">
        <v>44</v>
      </c>
      <c r="H135" s="9" t="s">
        <v>44</v>
      </c>
      <c r="I135" s="9" t="s">
        <v>44</v>
      </c>
      <c r="J135" s="9" t="s">
        <v>40</v>
      </c>
      <c r="K135" s="11" t="s">
        <v>75</v>
      </c>
      <c r="L135" s="9" t="s">
        <v>704</v>
      </c>
      <c r="M135" s="11" t="s">
        <v>75</v>
      </c>
      <c r="N135" s="9" t="s">
        <v>40</v>
      </c>
      <c r="O135" s="9" t="s">
        <v>40</v>
      </c>
      <c r="P135" s="11" t="s">
        <v>75</v>
      </c>
    </row>
    <row r="136" spans="1:16" s="6" customFormat="1" ht="16.5" customHeight="1" outlineLevel="1" x14ac:dyDescent="0.15">
      <c r="A136" s="30">
        <v>4.5999999999999996</v>
      </c>
      <c r="B136" s="31" t="s">
        <v>709</v>
      </c>
      <c r="C136" s="3" t="s">
        <v>97</v>
      </c>
      <c r="D136" s="3" t="s">
        <v>100</v>
      </c>
      <c r="E136" s="3" t="s">
        <v>101</v>
      </c>
      <c r="F136" s="3" t="s">
        <v>102</v>
      </c>
      <c r="G136" s="3" t="s">
        <v>103</v>
      </c>
      <c r="H136" s="3" t="s">
        <v>102</v>
      </c>
      <c r="I136" s="3" t="s">
        <v>103</v>
      </c>
      <c r="J136" s="3" t="s">
        <v>104</v>
      </c>
      <c r="K136" s="5" t="s">
        <v>74</v>
      </c>
      <c r="L136" s="3" t="s">
        <v>105</v>
      </c>
      <c r="M136" s="5" t="s">
        <v>74</v>
      </c>
      <c r="N136" s="3" t="s">
        <v>106</v>
      </c>
      <c r="O136" s="3" t="s">
        <v>107</v>
      </c>
      <c r="P136" s="5" t="s">
        <v>74</v>
      </c>
    </row>
    <row r="137" spans="1:16" s="6" customFormat="1" ht="16.5" customHeight="1" outlineLevel="2" x14ac:dyDescent="0.15">
      <c r="A137" s="7" t="s">
        <v>710</v>
      </c>
      <c r="B137" s="8" t="s">
        <v>726</v>
      </c>
      <c r="C137" s="9" t="s">
        <v>724</v>
      </c>
      <c r="D137" s="9" t="s">
        <v>727</v>
      </c>
      <c r="E137" s="9" t="s">
        <v>44</v>
      </c>
      <c r="F137" s="9" t="s">
        <v>738</v>
      </c>
      <c r="G137" s="9" t="s">
        <v>44</v>
      </c>
      <c r="H137" s="9" t="s">
        <v>44</v>
      </c>
      <c r="I137" s="9" t="s">
        <v>44</v>
      </c>
      <c r="J137" s="9" t="s">
        <v>59</v>
      </c>
      <c r="K137" s="11" t="s">
        <v>75</v>
      </c>
      <c r="L137" s="9" t="s">
        <v>744</v>
      </c>
      <c r="M137" s="11" t="s">
        <v>75</v>
      </c>
      <c r="N137" s="9" t="s">
        <v>749</v>
      </c>
      <c r="O137" s="9" t="s">
        <v>750</v>
      </c>
      <c r="P137" s="11" t="s">
        <v>75</v>
      </c>
    </row>
    <row r="138" spans="1:16" s="6" customFormat="1" ht="16.5" customHeight="1" outlineLevel="2" x14ac:dyDescent="0.15">
      <c r="A138" s="7" t="s">
        <v>712</v>
      </c>
      <c r="B138" s="8" t="s">
        <v>728</v>
      </c>
      <c r="C138" s="9" t="s">
        <v>725</v>
      </c>
      <c r="D138" s="9" t="s">
        <v>729</v>
      </c>
      <c r="E138" s="9" t="s">
        <v>496</v>
      </c>
      <c r="F138" s="9" t="s">
        <v>739</v>
      </c>
      <c r="G138" s="9" t="s">
        <v>497</v>
      </c>
      <c r="H138" s="9" t="s">
        <v>497</v>
      </c>
      <c r="I138" s="9" t="s">
        <v>497</v>
      </c>
      <c r="J138" s="9" t="s">
        <v>40</v>
      </c>
      <c r="K138" s="11" t="s">
        <v>75</v>
      </c>
      <c r="L138" s="9" t="s">
        <v>745</v>
      </c>
      <c r="M138" s="11" t="s">
        <v>75</v>
      </c>
      <c r="N138" s="9" t="s">
        <v>751</v>
      </c>
      <c r="O138" s="9" t="s">
        <v>752</v>
      </c>
      <c r="P138" s="11" t="s">
        <v>75</v>
      </c>
    </row>
    <row r="139" spans="1:16" s="6" customFormat="1" ht="16.5" customHeight="1" outlineLevel="2" x14ac:dyDescent="0.15">
      <c r="A139" s="7" t="s">
        <v>714</v>
      </c>
      <c r="B139" s="8" t="s">
        <v>730</v>
      </c>
      <c r="C139" s="9" t="s">
        <v>40</v>
      </c>
      <c r="D139" s="9" t="s">
        <v>731</v>
      </c>
      <c r="E139" s="9" t="s">
        <v>44</v>
      </c>
      <c r="F139" s="9" t="s">
        <v>740</v>
      </c>
      <c r="G139" s="9" t="s">
        <v>44</v>
      </c>
      <c r="H139" s="9" t="s">
        <v>44</v>
      </c>
      <c r="I139" s="9" t="s">
        <v>44</v>
      </c>
      <c r="J139" s="9" t="s">
        <v>40</v>
      </c>
      <c r="K139" s="11" t="s">
        <v>75</v>
      </c>
      <c r="L139" s="9" t="s">
        <v>44</v>
      </c>
      <c r="M139" s="11" t="s">
        <v>75</v>
      </c>
      <c r="N139" s="9" t="s">
        <v>40</v>
      </c>
      <c r="O139" s="9" t="s">
        <v>40</v>
      </c>
      <c r="P139" s="11" t="s">
        <v>75</v>
      </c>
    </row>
    <row r="140" spans="1:16" s="6" customFormat="1" ht="16.5" customHeight="1" outlineLevel="2" x14ac:dyDescent="0.15">
      <c r="A140" s="7" t="s">
        <v>717</v>
      </c>
      <c r="B140" s="8" t="s">
        <v>732</v>
      </c>
      <c r="C140" s="9" t="s">
        <v>40</v>
      </c>
      <c r="D140" s="9" t="s">
        <v>733</v>
      </c>
      <c r="E140" s="9" t="s">
        <v>44</v>
      </c>
      <c r="F140" s="9" t="s">
        <v>741</v>
      </c>
      <c r="G140" s="9" t="s">
        <v>44</v>
      </c>
      <c r="H140" s="9" t="s">
        <v>44</v>
      </c>
      <c r="I140" s="9" t="s">
        <v>44</v>
      </c>
      <c r="J140" s="9" t="s">
        <v>40</v>
      </c>
      <c r="K140" s="11" t="s">
        <v>75</v>
      </c>
      <c r="L140" s="9" t="s">
        <v>746</v>
      </c>
      <c r="M140" s="11" t="s">
        <v>75</v>
      </c>
      <c r="N140" s="9" t="s">
        <v>40</v>
      </c>
      <c r="O140" s="9" t="s">
        <v>40</v>
      </c>
      <c r="P140" s="11" t="s">
        <v>75</v>
      </c>
    </row>
    <row r="141" spans="1:16" s="6" customFormat="1" ht="16.5" customHeight="1" outlineLevel="2" x14ac:dyDescent="0.15">
      <c r="A141" s="7" t="s">
        <v>719</v>
      </c>
      <c r="B141" s="8" t="s">
        <v>734</v>
      </c>
      <c r="C141" s="9" t="s">
        <v>40</v>
      </c>
      <c r="D141" s="9" t="s">
        <v>735</v>
      </c>
      <c r="E141" s="9" t="s">
        <v>496</v>
      </c>
      <c r="F141" s="9" t="s">
        <v>742</v>
      </c>
      <c r="G141" s="9" t="s">
        <v>497</v>
      </c>
      <c r="H141" s="9" t="s">
        <v>497</v>
      </c>
      <c r="I141" s="9" t="s">
        <v>497</v>
      </c>
      <c r="J141" s="9" t="s">
        <v>40</v>
      </c>
      <c r="K141" s="11" t="s">
        <v>75</v>
      </c>
      <c r="L141" s="9" t="s">
        <v>747</v>
      </c>
      <c r="M141" s="11" t="s">
        <v>75</v>
      </c>
      <c r="N141" s="9" t="s">
        <v>40</v>
      </c>
      <c r="O141" s="9" t="s">
        <v>40</v>
      </c>
      <c r="P141" s="11" t="s">
        <v>75</v>
      </c>
    </row>
    <row r="142" spans="1:16" s="6" customFormat="1" ht="16.5" customHeight="1" outlineLevel="2" x14ac:dyDescent="0.15">
      <c r="A142" s="7" t="s">
        <v>721</v>
      </c>
      <c r="B142" s="8" t="s">
        <v>736</v>
      </c>
      <c r="C142" s="9" t="s">
        <v>40</v>
      </c>
      <c r="D142" s="9" t="s">
        <v>737</v>
      </c>
      <c r="E142" s="9" t="s">
        <v>44</v>
      </c>
      <c r="F142" s="9" t="s">
        <v>743</v>
      </c>
      <c r="G142" s="9" t="s">
        <v>44</v>
      </c>
      <c r="H142" s="9" t="s">
        <v>44</v>
      </c>
      <c r="I142" s="9" t="s">
        <v>44</v>
      </c>
      <c r="J142" s="9" t="s">
        <v>40</v>
      </c>
      <c r="K142" s="11" t="s">
        <v>75</v>
      </c>
      <c r="L142" s="9" t="s">
        <v>748</v>
      </c>
      <c r="M142" s="11" t="s">
        <v>75</v>
      </c>
      <c r="N142" s="9" t="s">
        <v>40</v>
      </c>
      <c r="O142" s="9" t="s">
        <v>40</v>
      </c>
      <c r="P142" s="11" t="s">
        <v>75</v>
      </c>
    </row>
    <row r="143" spans="1:16" s="6" customFormat="1" ht="16.5" customHeight="1" outlineLevel="1" x14ac:dyDescent="0.15">
      <c r="A143" s="30">
        <v>4.7</v>
      </c>
      <c r="B143" s="31" t="s">
        <v>753</v>
      </c>
      <c r="C143" s="3" t="s">
        <v>97</v>
      </c>
      <c r="D143" s="3" t="s">
        <v>100</v>
      </c>
      <c r="E143" s="3" t="s">
        <v>101</v>
      </c>
      <c r="F143" s="3" t="s">
        <v>102</v>
      </c>
      <c r="G143" s="3" t="s">
        <v>103</v>
      </c>
      <c r="H143" s="3" t="s">
        <v>102</v>
      </c>
      <c r="I143" s="3" t="s">
        <v>103</v>
      </c>
      <c r="J143" s="3" t="s">
        <v>104</v>
      </c>
      <c r="K143" s="5" t="s">
        <v>74</v>
      </c>
      <c r="L143" s="3" t="s">
        <v>105</v>
      </c>
      <c r="M143" s="5" t="s">
        <v>74</v>
      </c>
      <c r="N143" s="3" t="s">
        <v>106</v>
      </c>
      <c r="O143" s="3" t="s">
        <v>107</v>
      </c>
      <c r="P143" s="5" t="s">
        <v>74</v>
      </c>
    </row>
    <row r="144" spans="1:16" s="6" customFormat="1" ht="16.5" customHeight="1" outlineLevel="2" x14ac:dyDescent="0.15">
      <c r="A144" s="7" t="s">
        <v>754</v>
      </c>
      <c r="B144" s="8" t="s">
        <v>763</v>
      </c>
      <c r="C144" s="9" t="s">
        <v>761</v>
      </c>
      <c r="D144" s="9" t="s">
        <v>764</v>
      </c>
      <c r="E144" s="9" t="s">
        <v>44</v>
      </c>
      <c r="F144" s="9" t="s">
        <v>769</v>
      </c>
      <c r="G144" s="9" t="s">
        <v>44</v>
      </c>
      <c r="H144" s="9" t="s">
        <v>44</v>
      </c>
      <c r="I144" s="9" t="s">
        <v>44</v>
      </c>
      <c r="J144" s="9" t="s">
        <v>59</v>
      </c>
      <c r="K144" s="11" t="s">
        <v>75</v>
      </c>
      <c r="L144" s="9" t="s">
        <v>44</v>
      </c>
      <c r="M144" s="11" t="s">
        <v>75</v>
      </c>
      <c r="N144" s="9" t="s">
        <v>772</v>
      </c>
      <c r="O144" s="9" t="s">
        <v>774</v>
      </c>
      <c r="P144" s="11" t="s">
        <v>75</v>
      </c>
    </row>
    <row r="145" spans="1:16" s="6" customFormat="1" ht="16.5" customHeight="1" outlineLevel="2" x14ac:dyDescent="0.15">
      <c r="A145" s="7" t="s">
        <v>756</v>
      </c>
      <c r="B145" s="8" t="s">
        <v>765</v>
      </c>
      <c r="C145" s="9" t="s">
        <v>762</v>
      </c>
      <c r="D145" s="9" t="s">
        <v>766</v>
      </c>
      <c r="E145" s="9" t="s">
        <v>496</v>
      </c>
      <c r="F145" s="9" t="s">
        <v>770</v>
      </c>
      <c r="G145" s="9" t="s">
        <v>497</v>
      </c>
      <c r="H145" s="9" t="s">
        <v>497</v>
      </c>
      <c r="I145" s="9" t="s">
        <v>497</v>
      </c>
      <c r="J145" s="9" t="s">
        <v>40</v>
      </c>
      <c r="K145" s="11" t="s">
        <v>75</v>
      </c>
      <c r="L145" s="9" t="s">
        <v>44</v>
      </c>
      <c r="M145" s="11" t="s">
        <v>75</v>
      </c>
      <c r="N145" s="9" t="s">
        <v>773</v>
      </c>
      <c r="O145" s="9" t="s">
        <v>775</v>
      </c>
      <c r="P145" s="11" t="s">
        <v>75</v>
      </c>
    </row>
    <row r="146" spans="1:16" s="6" customFormat="1" ht="16.5" customHeight="1" outlineLevel="2" x14ac:dyDescent="0.15">
      <c r="A146" s="7" t="s">
        <v>758</v>
      </c>
      <c r="B146" s="8" t="s">
        <v>767</v>
      </c>
      <c r="C146" s="9" t="s">
        <v>40</v>
      </c>
      <c r="D146" s="9" t="s">
        <v>768</v>
      </c>
      <c r="E146" s="9" t="s">
        <v>44</v>
      </c>
      <c r="F146" s="9" t="s">
        <v>771</v>
      </c>
      <c r="G146" s="9" t="s">
        <v>44</v>
      </c>
      <c r="H146" s="9" t="s">
        <v>44</v>
      </c>
      <c r="I146" s="9" t="s">
        <v>44</v>
      </c>
      <c r="J146" s="9" t="s">
        <v>40</v>
      </c>
      <c r="K146" s="11" t="s">
        <v>75</v>
      </c>
      <c r="L146" s="9" t="s">
        <v>44</v>
      </c>
      <c r="M146" s="11" t="s">
        <v>75</v>
      </c>
      <c r="N146" s="9" t="s">
        <v>40</v>
      </c>
      <c r="O146" s="9" t="s">
        <v>40</v>
      </c>
      <c r="P146" s="11" t="s">
        <v>75</v>
      </c>
    </row>
    <row r="147" spans="1:16" s="6" customFormat="1" ht="16.5" customHeight="1" outlineLevel="1" x14ac:dyDescent="0.15">
      <c r="A147" s="30">
        <v>4.8</v>
      </c>
      <c r="B147" s="31" t="s">
        <v>776</v>
      </c>
      <c r="C147" s="3" t="s">
        <v>97</v>
      </c>
      <c r="D147" s="3" t="s">
        <v>100</v>
      </c>
      <c r="E147" s="3" t="s">
        <v>101</v>
      </c>
      <c r="F147" s="3" t="s">
        <v>102</v>
      </c>
      <c r="G147" s="3" t="s">
        <v>103</v>
      </c>
      <c r="H147" s="3" t="s">
        <v>102</v>
      </c>
      <c r="I147" s="3" t="s">
        <v>103</v>
      </c>
      <c r="J147" s="3" t="s">
        <v>104</v>
      </c>
      <c r="K147" s="5" t="s">
        <v>74</v>
      </c>
      <c r="L147" s="3" t="s">
        <v>105</v>
      </c>
      <c r="M147" s="5" t="s">
        <v>74</v>
      </c>
      <c r="N147" s="3" t="s">
        <v>106</v>
      </c>
      <c r="O147" s="3" t="s">
        <v>107</v>
      </c>
      <c r="P147" s="5" t="s">
        <v>74</v>
      </c>
    </row>
    <row r="148" spans="1:16" s="6" customFormat="1" ht="16.5" customHeight="1" outlineLevel="2" x14ac:dyDescent="0.15">
      <c r="A148" s="7" t="s">
        <v>777</v>
      </c>
      <c r="B148" s="8" t="s">
        <v>785</v>
      </c>
      <c r="C148" s="9" t="s">
        <v>783</v>
      </c>
      <c r="D148" s="9" t="s">
        <v>786</v>
      </c>
      <c r="E148" s="9" t="s">
        <v>44</v>
      </c>
      <c r="F148" s="9" t="s">
        <v>791</v>
      </c>
      <c r="G148" s="9" t="s">
        <v>44</v>
      </c>
      <c r="H148" s="9" t="s">
        <v>44</v>
      </c>
      <c r="I148" s="9" t="s">
        <v>44</v>
      </c>
      <c r="J148" s="9" t="s">
        <v>59</v>
      </c>
      <c r="K148" s="11" t="s">
        <v>75</v>
      </c>
      <c r="L148" s="9" t="s">
        <v>793</v>
      </c>
      <c r="M148" s="11" t="s">
        <v>75</v>
      </c>
      <c r="N148" s="9" t="s">
        <v>795</v>
      </c>
      <c r="O148" s="9" t="s">
        <v>796</v>
      </c>
      <c r="P148" s="11" t="s">
        <v>75</v>
      </c>
    </row>
    <row r="149" spans="1:16" s="6" customFormat="1" ht="16.5" customHeight="1" outlineLevel="2" x14ac:dyDescent="0.15">
      <c r="A149" s="7" t="s">
        <v>779</v>
      </c>
      <c r="B149" s="8" t="s">
        <v>787</v>
      </c>
      <c r="C149" s="9" t="s">
        <v>784</v>
      </c>
      <c r="D149" s="9" t="s">
        <v>788</v>
      </c>
      <c r="E149" s="9" t="s">
        <v>496</v>
      </c>
      <c r="F149" s="9" t="s">
        <v>792</v>
      </c>
      <c r="G149" s="9" t="s">
        <v>497</v>
      </c>
      <c r="H149" s="9" t="s">
        <v>497</v>
      </c>
      <c r="I149" s="9" t="s">
        <v>497</v>
      </c>
      <c r="J149" s="9" t="s">
        <v>40</v>
      </c>
      <c r="K149" s="11" t="s">
        <v>75</v>
      </c>
      <c r="L149" s="9" t="s">
        <v>794</v>
      </c>
      <c r="M149" s="11" t="s">
        <v>75</v>
      </c>
      <c r="N149" s="9" t="s">
        <v>797</v>
      </c>
      <c r="O149" s="9" t="s">
        <v>798</v>
      </c>
      <c r="P149" s="11" t="s">
        <v>75</v>
      </c>
    </row>
    <row r="150" spans="1:16" s="6" customFormat="1" ht="16.5" customHeight="1" outlineLevel="2" x14ac:dyDescent="0.15">
      <c r="A150" s="7" t="s">
        <v>781</v>
      </c>
      <c r="B150" s="8" t="s">
        <v>789</v>
      </c>
      <c r="C150" s="9" t="s">
        <v>40</v>
      </c>
      <c r="D150" s="9" t="s">
        <v>790</v>
      </c>
      <c r="E150" s="9" t="s">
        <v>44</v>
      </c>
      <c r="F150" s="9" t="s">
        <v>844</v>
      </c>
      <c r="G150" s="9" t="s">
        <v>44</v>
      </c>
      <c r="H150" s="9" t="s">
        <v>44</v>
      </c>
      <c r="I150" s="9" t="s">
        <v>44</v>
      </c>
      <c r="J150" s="9" t="s">
        <v>40</v>
      </c>
      <c r="K150" s="11" t="s">
        <v>75</v>
      </c>
      <c r="L150" s="9" t="s">
        <v>40</v>
      </c>
      <c r="M150" s="11" t="s">
        <v>75</v>
      </c>
      <c r="N150" s="9" t="s">
        <v>40</v>
      </c>
      <c r="O150" s="9" t="s">
        <v>40</v>
      </c>
      <c r="P150" s="11" t="s">
        <v>75</v>
      </c>
    </row>
    <row r="151" spans="1:16" s="6" customFormat="1" ht="16.5" customHeight="1" outlineLevel="1" x14ac:dyDescent="0.15">
      <c r="A151" s="30">
        <v>4.9000000000000004</v>
      </c>
      <c r="B151" s="31" t="s">
        <v>799</v>
      </c>
      <c r="C151" s="3" t="s">
        <v>97</v>
      </c>
      <c r="D151" s="3" t="s">
        <v>100</v>
      </c>
      <c r="E151" s="3" t="s">
        <v>101</v>
      </c>
      <c r="F151" s="3" t="s">
        <v>102</v>
      </c>
      <c r="G151" s="3" t="s">
        <v>103</v>
      </c>
      <c r="H151" s="3" t="s">
        <v>102</v>
      </c>
      <c r="I151" s="3" t="s">
        <v>103</v>
      </c>
      <c r="J151" s="3" t="s">
        <v>104</v>
      </c>
      <c r="K151" s="5" t="s">
        <v>74</v>
      </c>
      <c r="L151" s="3" t="s">
        <v>105</v>
      </c>
      <c r="M151" s="5" t="s">
        <v>74</v>
      </c>
      <c r="N151" s="3" t="s">
        <v>106</v>
      </c>
      <c r="O151" s="3" t="s">
        <v>107</v>
      </c>
      <c r="P151" s="5" t="s">
        <v>74</v>
      </c>
    </row>
    <row r="152" spans="1:16" s="6" customFormat="1" ht="16.5" customHeight="1" outlineLevel="2" x14ac:dyDescent="0.15">
      <c r="A152" s="7" t="s">
        <v>800</v>
      </c>
      <c r="B152" s="8" t="s">
        <v>807</v>
      </c>
      <c r="C152" s="9" t="s">
        <v>1460</v>
      </c>
      <c r="D152" s="9" t="s">
        <v>808</v>
      </c>
      <c r="E152" s="9" t="s">
        <v>44</v>
      </c>
      <c r="F152" s="9" t="s">
        <v>813</v>
      </c>
      <c r="G152" s="9" t="s">
        <v>44</v>
      </c>
      <c r="H152" s="9" t="s">
        <v>44</v>
      </c>
      <c r="I152" s="9" t="s">
        <v>44</v>
      </c>
      <c r="J152" s="9" t="s">
        <v>59</v>
      </c>
      <c r="K152" s="11" t="s">
        <v>75</v>
      </c>
      <c r="L152" s="9" t="s">
        <v>816</v>
      </c>
      <c r="M152" s="11" t="s">
        <v>75</v>
      </c>
      <c r="N152" s="9" t="s">
        <v>818</v>
      </c>
      <c r="O152" s="9" t="s">
        <v>819</v>
      </c>
      <c r="P152" s="11" t="s">
        <v>75</v>
      </c>
    </row>
    <row r="153" spans="1:16" s="6" customFormat="1" ht="16.5" customHeight="1" outlineLevel="2" x14ac:dyDescent="0.15">
      <c r="A153" s="7" t="s">
        <v>802</v>
      </c>
      <c r="B153" s="8" t="s">
        <v>809</v>
      </c>
      <c r="C153" s="9" t="s">
        <v>806</v>
      </c>
      <c r="D153" s="9" t="s">
        <v>810</v>
      </c>
      <c r="E153" s="9" t="s">
        <v>496</v>
      </c>
      <c r="F153" s="9" t="s">
        <v>814</v>
      </c>
      <c r="G153" s="9" t="s">
        <v>497</v>
      </c>
      <c r="H153" s="9" t="s">
        <v>497</v>
      </c>
      <c r="I153" s="9" t="s">
        <v>497</v>
      </c>
      <c r="J153" s="9" t="s">
        <v>40</v>
      </c>
      <c r="K153" s="11" t="s">
        <v>75</v>
      </c>
      <c r="L153" s="9" t="s">
        <v>817</v>
      </c>
      <c r="M153" s="11" t="s">
        <v>75</v>
      </c>
      <c r="N153" s="9" t="s">
        <v>820</v>
      </c>
      <c r="O153" s="9" t="s">
        <v>821</v>
      </c>
      <c r="P153" s="11" t="s">
        <v>75</v>
      </c>
    </row>
    <row r="154" spans="1:16" s="6" customFormat="1" ht="16.5" customHeight="1" outlineLevel="2" x14ac:dyDescent="0.15">
      <c r="A154" s="7" t="s">
        <v>804</v>
      </c>
      <c r="B154" s="8" t="s">
        <v>811</v>
      </c>
      <c r="C154" s="9" t="s">
        <v>40</v>
      </c>
      <c r="D154" s="9" t="s">
        <v>812</v>
      </c>
      <c r="E154" s="9" t="s">
        <v>842</v>
      </c>
      <c r="F154" s="9" t="s">
        <v>815</v>
      </c>
      <c r="G154" s="9" t="s">
        <v>849</v>
      </c>
      <c r="H154" s="9" t="s">
        <v>44</v>
      </c>
      <c r="I154" s="9" t="s">
        <v>44</v>
      </c>
      <c r="J154" s="9" t="s">
        <v>40</v>
      </c>
      <c r="K154" s="11" t="s">
        <v>75</v>
      </c>
      <c r="L154" s="9" t="s">
        <v>40</v>
      </c>
      <c r="M154" s="11" t="s">
        <v>75</v>
      </c>
      <c r="N154" s="9" t="s">
        <v>40</v>
      </c>
      <c r="O154" s="9" t="s">
        <v>40</v>
      </c>
      <c r="P154" s="11" t="s">
        <v>75</v>
      </c>
    </row>
    <row r="155" spans="1:16" s="6" customFormat="1" ht="16.5" customHeight="1" x14ac:dyDescent="0.15">
      <c r="A155" s="28" t="s">
        <v>822</v>
      </c>
      <c r="B155" s="29" t="s">
        <v>823</v>
      </c>
      <c r="C155" s="3" t="s">
        <v>837</v>
      </c>
      <c r="D155" s="3" t="s">
        <v>839</v>
      </c>
      <c r="E155" s="3" t="s">
        <v>44</v>
      </c>
      <c r="F155" s="3" t="s">
        <v>843</v>
      </c>
      <c r="G155" s="3" t="s">
        <v>846</v>
      </c>
      <c r="H155" s="3" t="s">
        <v>847</v>
      </c>
      <c r="I155" s="3" t="s">
        <v>848</v>
      </c>
      <c r="J155" s="3" t="s">
        <v>850</v>
      </c>
      <c r="K155" s="5" t="s">
        <v>74</v>
      </c>
      <c r="L155" s="3" t="s">
        <v>852</v>
      </c>
      <c r="M155" s="5" t="s">
        <v>74</v>
      </c>
      <c r="N155" s="3" t="s">
        <v>854</v>
      </c>
      <c r="O155" s="3" t="s">
        <v>856</v>
      </c>
      <c r="P155" s="5" t="s">
        <v>74</v>
      </c>
    </row>
    <row r="156" spans="1:16" s="6" customFormat="1" ht="16.5" customHeight="1" outlineLevel="1" x14ac:dyDescent="0.15">
      <c r="A156" s="30">
        <v>5.0999999999999996</v>
      </c>
      <c r="B156" s="31" t="s">
        <v>824</v>
      </c>
      <c r="C156" s="32" t="s">
        <v>1461</v>
      </c>
      <c r="D156" s="32">
        <f>[1]成本明细!E486</f>
        <v>648.05309999999997</v>
      </c>
      <c r="E156" s="32">
        <v>648.05305950000002</v>
      </c>
      <c r="F156" s="32">
        <f>[1]成本明细!F486/10000</f>
        <v>648.17530500000009</v>
      </c>
      <c r="G156" s="32"/>
      <c r="H156" s="32"/>
      <c r="I156" s="32"/>
      <c r="J156" s="32">
        <f t="shared" ref="J156:J162" si="0">F156+G156+H156+I156</f>
        <v>648.17530500000009</v>
      </c>
      <c r="K156" s="32"/>
      <c r="L156" s="32">
        <f>D156-J156</f>
        <v>-0.1222050000001218</v>
      </c>
      <c r="M156" s="33"/>
      <c r="N156" s="32">
        <f>J156+L156</f>
        <v>648.05309999999997</v>
      </c>
      <c r="O156" s="32">
        <f>N156-D156</f>
        <v>0</v>
      </c>
      <c r="P156" s="34"/>
    </row>
    <row r="157" spans="1:16" s="6" customFormat="1" ht="16.5" customHeight="1" outlineLevel="1" x14ac:dyDescent="0.15">
      <c r="A157" s="30">
        <v>5.2</v>
      </c>
      <c r="B157" s="31" t="s">
        <v>825</v>
      </c>
      <c r="C157" s="32" t="s">
        <v>1462</v>
      </c>
      <c r="D157" s="32">
        <f t="shared" ref="D157:F157" si="1">SUM(D158:D161)</f>
        <v>145.49959999999999</v>
      </c>
      <c r="E157" s="32">
        <v>145.49955</v>
      </c>
      <c r="F157" s="32">
        <f t="shared" si="1"/>
        <v>0</v>
      </c>
      <c r="G157" s="32">
        <f t="shared" ref="G157:O157" si="2">SUM(G158:G161)</f>
        <v>0</v>
      </c>
      <c r="H157" s="32">
        <f t="shared" si="2"/>
        <v>0</v>
      </c>
      <c r="I157" s="32">
        <f t="shared" si="2"/>
        <v>0</v>
      </c>
      <c r="J157" s="32">
        <f t="shared" si="2"/>
        <v>0</v>
      </c>
      <c r="K157" s="32"/>
      <c r="L157" s="32">
        <f t="shared" si="2"/>
        <v>145.49959999999999</v>
      </c>
      <c r="M157" s="33"/>
      <c r="N157" s="32">
        <f t="shared" si="2"/>
        <v>145.49959999999999</v>
      </c>
      <c r="O157" s="32">
        <f t="shared" si="2"/>
        <v>0</v>
      </c>
      <c r="P157" s="34"/>
    </row>
    <row r="158" spans="1:16" s="6" customFormat="1" ht="16.5" customHeight="1" outlineLevel="2" x14ac:dyDescent="0.15">
      <c r="A158" s="7" t="s">
        <v>826</v>
      </c>
      <c r="B158" s="8" t="s">
        <v>827</v>
      </c>
      <c r="C158" s="9">
        <f t="shared" ref="C158:C162" si="3">D158/$D$4*10000</f>
        <v>6.5121981658236221</v>
      </c>
      <c r="D158" s="9">
        <f>[1]成本明细!E491</f>
        <v>62.356999999999999</v>
      </c>
      <c r="E158" s="9">
        <v>62.356949999999998</v>
      </c>
      <c r="F158" s="9">
        <f>[1]成本明细!F491/10000</f>
        <v>0</v>
      </c>
      <c r="G158" s="9"/>
      <c r="H158" s="9"/>
      <c r="I158" s="9"/>
      <c r="J158" s="9">
        <f t="shared" si="0"/>
        <v>0</v>
      </c>
      <c r="K158" s="9"/>
      <c r="L158" s="9">
        <f t="shared" ref="L158:L161" si="4">D158-J158</f>
        <v>62.356999999999999</v>
      </c>
      <c r="M158" s="10"/>
      <c r="N158" s="9">
        <f t="shared" ref="N158:N161" si="5">J158+L158</f>
        <v>62.356999999999999</v>
      </c>
      <c r="O158" s="9">
        <f t="shared" ref="O158:O162" si="6">N158-D158</f>
        <v>0</v>
      </c>
      <c r="P158" s="11"/>
    </row>
    <row r="159" spans="1:16" s="6" customFormat="1" ht="16.5" customHeight="1" outlineLevel="2" x14ac:dyDescent="0.15">
      <c r="A159" s="7" t="s">
        <v>828</v>
      </c>
      <c r="B159" s="8" t="s">
        <v>829</v>
      </c>
      <c r="C159" s="9">
        <f t="shared" si="3"/>
        <v>6.5121981658236221</v>
      </c>
      <c r="D159" s="9">
        <f>[1]成本明细!E494</f>
        <v>62.356999999999999</v>
      </c>
      <c r="E159" s="9">
        <v>62.356949999999998</v>
      </c>
      <c r="F159" s="9">
        <f>[1]成本明细!F494/10000</f>
        <v>0</v>
      </c>
      <c r="G159" s="9"/>
      <c r="H159" s="9"/>
      <c r="I159" s="9"/>
      <c r="J159" s="9">
        <f t="shared" si="0"/>
        <v>0</v>
      </c>
      <c r="K159" s="9"/>
      <c r="L159" s="9">
        <f t="shared" si="4"/>
        <v>62.356999999999999</v>
      </c>
      <c r="M159" s="10"/>
      <c r="N159" s="9">
        <f t="shared" si="5"/>
        <v>62.356999999999999</v>
      </c>
      <c r="O159" s="9">
        <f t="shared" si="6"/>
        <v>0</v>
      </c>
      <c r="P159" s="11"/>
    </row>
    <row r="160" spans="1:16" s="6" customFormat="1" ht="16.5" customHeight="1" outlineLevel="2" x14ac:dyDescent="0.15">
      <c r="A160" s="7" t="s">
        <v>830</v>
      </c>
      <c r="B160" s="8" t="s">
        <v>831</v>
      </c>
      <c r="C160" s="9">
        <f t="shared" si="3"/>
        <v>1.0853628798334067</v>
      </c>
      <c r="D160" s="9">
        <f>[1]成本明细!E497</f>
        <v>10.392799999999999</v>
      </c>
      <c r="E160" s="9">
        <v>10.392825</v>
      </c>
      <c r="F160" s="9">
        <f>[1]成本明细!F497/10000</f>
        <v>0</v>
      </c>
      <c r="G160" s="9"/>
      <c r="H160" s="9"/>
      <c r="I160" s="9"/>
      <c r="J160" s="9">
        <f t="shared" si="0"/>
        <v>0</v>
      </c>
      <c r="K160" s="9"/>
      <c r="L160" s="9">
        <f t="shared" si="4"/>
        <v>10.392799999999999</v>
      </c>
      <c r="M160" s="10"/>
      <c r="N160" s="9">
        <f t="shared" si="5"/>
        <v>10.392799999999999</v>
      </c>
      <c r="O160" s="9">
        <f t="shared" si="6"/>
        <v>0</v>
      </c>
      <c r="P160" s="11"/>
    </row>
    <row r="161" spans="1:17" s="6" customFormat="1" ht="16.5" customHeight="1" outlineLevel="2" x14ac:dyDescent="0.15">
      <c r="A161" s="7" t="s">
        <v>832</v>
      </c>
      <c r="B161" s="8" t="s">
        <v>833</v>
      </c>
      <c r="C161" s="9">
        <f t="shared" si="3"/>
        <v>1.0853628798334067</v>
      </c>
      <c r="D161" s="9">
        <f>[1]成本明细!E500</f>
        <v>10.392799999999999</v>
      </c>
      <c r="E161" s="9">
        <v>10.392825</v>
      </c>
      <c r="F161" s="9">
        <f>[1]成本明细!F500/10000</f>
        <v>0</v>
      </c>
      <c r="G161" s="9"/>
      <c r="H161" s="9"/>
      <c r="I161" s="9"/>
      <c r="J161" s="9">
        <f t="shared" si="0"/>
        <v>0</v>
      </c>
      <c r="K161" s="9"/>
      <c r="L161" s="9">
        <f t="shared" si="4"/>
        <v>10.392799999999999</v>
      </c>
      <c r="M161" s="10"/>
      <c r="N161" s="9">
        <f t="shared" si="5"/>
        <v>10.392799999999999</v>
      </c>
      <c r="O161" s="9">
        <f t="shared" si="6"/>
        <v>0</v>
      </c>
      <c r="P161" s="11"/>
    </row>
    <row r="162" spans="1:17" s="6" customFormat="1" ht="16.5" customHeight="1" outlineLevel="1" x14ac:dyDescent="0.15">
      <c r="A162" s="30">
        <v>5.3</v>
      </c>
      <c r="B162" s="31" t="s">
        <v>834</v>
      </c>
      <c r="C162" s="32">
        <f t="shared" si="3"/>
        <v>0</v>
      </c>
      <c r="D162" s="32">
        <f>[1]成本明细!E503</f>
        <v>0</v>
      </c>
      <c r="E162" s="32">
        <v>65.999505428999996</v>
      </c>
      <c r="F162" s="32">
        <v>0</v>
      </c>
      <c r="G162" s="32"/>
      <c r="H162" s="32"/>
      <c r="I162" s="32"/>
      <c r="J162" s="32">
        <f t="shared" si="0"/>
        <v>0</v>
      </c>
      <c r="K162" s="32"/>
      <c r="L162" s="32">
        <v>0</v>
      </c>
      <c r="M162" s="33"/>
      <c r="N162" s="32">
        <v>0</v>
      </c>
      <c r="O162" s="32">
        <f t="shared" si="6"/>
        <v>0</v>
      </c>
      <c r="P162" s="34"/>
    </row>
    <row r="163" spans="1:17" s="6" customFormat="1" ht="16.5" customHeight="1" x14ac:dyDescent="0.15">
      <c r="A163" s="1" t="s">
        <v>835</v>
      </c>
      <c r="B163" s="2" t="s">
        <v>840</v>
      </c>
      <c r="C163" s="3" t="s">
        <v>838</v>
      </c>
      <c r="D163" s="3" t="s">
        <v>841</v>
      </c>
      <c r="E163" s="3" t="s">
        <v>895</v>
      </c>
      <c r="F163" s="3" t="s">
        <v>845</v>
      </c>
      <c r="G163" s="3" t="s">
        <v>44</v>
      </c>
      <c r="H163" s="3" t="s">
        <v>44</v>
      </c>
      <c r="I163" s="3" t="s">
        <v>44</v>
      </c>
      <c r="J163" s="3" t="s">
        <v>851</v>
      </c>
      <c r="K163" s="5" t="s">
        <v>901</v>
      </c>
      <c r="L163" s="3" t="s">
        <v>853</v>
      </c>
      <c r="M163" s="5" t="s">
        <v>74</v>
      </c>
      <c r="N163" s="3" t="s">
        <v>855</v>
      </c>
      <c r="O163" s="3" t="s">
        <v>857</v>
      </c>
      <c r="P163" s="5" t="s">
        <v>75</v>
      </c>
    </row>
    <row r="164" spans="1:17" s="6" customFormat="1" ht="16.5" customHeight="1" x14ac:dyDescent="0.15">
      <c r="A164" s="42" t="s">
        <v>858</v>
      </c>
      <c r="B164" s="43" t="s">
        <v>859</v>
      </c>
      <c r="C164" s="44" t="s">
        <v>893</v>
      </c>
      <c r="D164" s="44" t="s">
        <v>894</v>
      </c>
      <c r="E164" s="44" t="s">
        <v>44</v>
      </c>
      <c r="F164" s="44" t="s">
        <v>896</v>
      </c>
      <c r="G164" s="44" t="s">
        <v>897</v>
      </c>
      <c r="H164" s="44" t="s">
        <v>898</v>
      </c>
      <c r="I164" s="44" t="s">
        <v>899</v>
      </c>
      <c r="J164" s="44" t="s">
        <v>900</v>
      </c>
      <c r="K164" s="44" t="s">
        <v>75</v>
      </c>
      <c r="L164" s="44" t="s">
        <v>902</v>
      </c>
      <c r="M164" s="44" t="s">
        <v>903</v>
      </c>
      <c r="N164" s="44" t="s">
        <v>904</v>
      </c>
      <c r="O164" s="44" t="s">
        <v>905</v>
      </c>
      <c r="P164" s="45" t="s">
        <v>75</v>
      </c>
    </row>
    <row r="165" spans="1:17" s="6" customFormat="1" x14ac:dyDescent="0.15">
      <c r="A165" s="46" t="s">
        <v>860</v>
      </c>
      <c r="B165" s="47" t="s">
        <v>861</v>
      </c>
      <c r="C165" s="48"/>
      <c r="D165" s="48"/>
      <c r="E165" s="48"/>
      <c r="F165" s="48"/>
      <c r="G165" s="48"/>
      <c r="H165" s="48"/>
      <c r="I165" s="48"/>
      <c r="J165" s="49" t="s">
        <v>63</v>
      </c>
      <c r="K165" s="50" t="s">
        <v>75</v>
      </c>
      <c r="L165" s="49" t="s">
        <v>906</v>
      </c>
      <c r="M165" s="50"/>
      <c r="N165" s="49" t="s">
        <v>907</v>
      </c>
      <c r="O165" s="50"/>
      <c r="P165" s="50"/>
      <c r="Q165" s="51"/>
    </row>
    <row r="166" spans="1:17" s="6" customFormat="1" x14ac:dyDescent="0.15">
      <c r="A166" s="52" t="s">
        <v>862</v>
      </c>
      <c r="B166" s="53" t="s">
        <v>863</v>
      </c>
      <c r="C166" s="54"/>
      <c r="D166" s="54"/>
      <c r="E166" s="54"/>
      <c r="F166" s="54"/>
      <c r="G166" s="54"/>
      <c r="H166" s="54"/>
      <c r="I166" s="54"/>
      <c r="J166" s="55"/>
      <c r="K166" s="55" t="s">
        <v>75</v>
      </c>
      <c r="L166" s="55"/>
      <c r="M166" s="55"/>
      <c r="N166" s="55"/>
      <c r="O166" s="55"/>
      <c r="P166" s="55"/>
      <c r="Q166" s="51"/>
    </row>
    <row r="167" spans="1:17" s="6" customFormat="1" x14ac:dyDescent="0.15">
      <c r="A167" s="56" t="s">
        <v>864</v>
      </c>
      <c r="B167" s="57" t="s">
        <v>865</v>
      </c>
      <c r="C167" s="58"/>
      <c r="D167" s="58"/>
      <c r="E167" s="58"/>
      <c r="F167" s="58"/>
      <c r="G167" s="58"/>
      <c r="H167" s="58"/>
      <c r="I167" s="58"/>
      <c r="J167" s="59" t="s">
        <v>63</v>
      </c>
      <c r="K167" s="44" t="s">
        <v>75</v>
      </c>
      <c r="L167" s="59" t="s">
        <v>63</v>
      </c>
      <c r="M167" s="60"/>
      <c r="N167" s="59" t="s">
        <v>908</v>
      </c>
      <c r="O167" s="61" t="s">
        <v>909</v>
      </c>
      <c r="P167" s="60"/>
      <c r="Q167" s="51"/>
    </row>
    <row r="168" spans="1:17" s="6" customFormat="1" x14ac:dyDescent="0.15">
      <c r="A168" s="56" t="s">
        <v>866</v>
      </c>
      <c r="B168" s="57" t="s">
        <v>867</v>
      </c>
      <c r="C168" s="58"/>
      <c r="D168" s="58"/>
      <c r="E168" s="58"/>
      <c r="F168" s="58"/>
      <c r="G168" s="58"/>
      <c r="H168" s="58"/>
      <c r="I168" s="58"/>
      <c r="J168" s="59" t="s">
        <v>63</v>
      </c>
      <c r="K168" s="44" t="s">
        <v>75</v>
      </c>
      <c r="L168" s="62" t="s">
        <v>911</v>
      </c>
      <c r="M168" s="60"/>
      <c r="N168" s="59" t="s">
        <v>912</v>
      </c>
      <c r="O168" s="61" t="s">
        <v>913</v>
      </c>
      <c r="P168" s="60"/>
      <c r="Q168" s="51"/>
    </row>
    <row r="169" spans="1:17" s="6" customFormat="1" x14ac:dyDescent="0.15">
      <c r="A169" s="56" t="s">
        <v>868</v>
      </c>
      <c r="B169" s="63" t="s">
        <v>869</v>
      </c>
      <c r="C169" s="58"/>
      <c r="D169" s="58"/>
      <c r="E169" s="58"/>
      <c r="F169" s="58"/>
      <c r="G169" s="58"/>
      <c r="H169" s="58"/>
      <c r="I169" s="58"/>
      <c r="J169" s="59" t="s">
        <v>910</v>
      </c>
      <c r="K169" s="44" t="s">
        <v>75</v>
      </c>
      <c r="L169" s="59" t="s">
        <v>63</v>
      </c>
      <c r="M169" s="60"/>
      <c r="N169" s="59" t="s">
        <v>914</v>
      </c>
      <c r="O169" s="60"/>
      <c r="P169" s="60"/>
      <c r="Q169" s="51"/>
    </row>
    <row r="170" spans="1:17" s="6" customFormat="1" ht="14.25" customHeight="1" x14ac:dyDescent="0.15">
      <c r="A170" s="56" t="s">
        <v>870</v>
      </c>
      <c r="B170" s="57" t="s">
        <v>871</v>
      </c>
      <c r="C170" s="58"/>
      <c r="D170" s="58"/>
      <c r="E170" s="58"/>
      <c r="F170" s="58"/>
      <c r="G170" s="58"/>
      <c r="H170" s="58"/>
      <c r="I170" s="58"/>
      <c r="J170" s="59" t="s">
        <v>63</v>
      </c>
      <c r="K170" s="44" t="s">
        <v>75</v>
      </c>
      <c r="L170" s="62" t="s">
        <v>915</v>
      </c>
      <c r="M170" s="60"/>
      <c r="N170" s="59" t="s">
        <v>916</v>
      </c>
      <c r="O170" s="60"/>
      <c r="P170" s="60"/>
      <c r="Q170" s="51"/>
    </row>
    <row r="171" spans="1:17" s="6" customFormat="1" x14ac:dyDescent="0.15">
      <c r="A171" s="56" t="s">
        <v>873</v>
      </c>
      <c r="B171" s="57" t="s">
        <v>874</v>
      </c>
      <c r="C171" s="58"/>
      <c r="D171" s="58"/>
      <c r="E171" s="58"/>
      <c r="F171" s="58"/>
      <c r="G171" s="58"/>
      <c r="H171" s="58"/>
      <c r="I171" s="58"/>
      <c r="J171" s="59" t="s">
        <v>63</v>
      </c>
      <c r="K171" s="44" t="s">
        <v>75</v>
      </c>
      <c r="L171" s="59" t="s">
        <v>63</v>
      </c>
      <c r="M171" s="60"/>
      <c r="N171" s="59" t="s">
        <v>919</v>
      </c>
      <c r="O171" s="60"/>
      <c r="P171" s="60"/>
      <c r="Q171" s="51"/>
    </row>
    <row r="172" spans="1:17" s="6" customFormat="1" x14ac:dyDescent="0.15">
      <c r="A172" s="56" t="s">
        <v>875</v>
      </c>
      <c r="B172" s="57" t="s">
        <v>876</v>
      </c>
      <c r="C172" s="64"/>
      <c r="D172" s="64"/>
      <c r="E172" s="64"/>
      <c r="F172" s="64"/>
      <c r="G172" s="64"/>
      <c r="H172" s="64"/>
      <c r="I172" s="64"/>
      <c r="J172" s="65" t="s">
        <v>917</v>
      </c>
      <c r="K172" s="44" t="s">
        <v>75</v>
      </c>
      <c r="L172" s="66" t="s">
        <v>918</v>
      </c>
      <c r="M172" s="61"/>
      <c r="N172" s="66" t="s">
        <v>920</v>
      </c>
      <c r="O172" s="61"/>
      <c r="P172" s="61"/>
      <c r="Q172" s="51"/>
    </row>
    <row r="173" spans="1:17" s="6" customFormat="1" x14ac:dyDescent="0.15">
      <c r="A173" s="56" t="s">
        <v>877</v>
      </c>
      <c r="B173" s="57" t="s">
        <v>878</v>
      </c>
      <c r="C173" s="64"/>
      <c r="D173" s="64"/>
      <c r="E173" s="64"/>
      <c r="F173" s="64"/>
      <c r="G173" s="64"/>
      <c r="H173" s="64"/>
      <c r="I173" s="64"/>
      <c r="J173" s="61"/>
      <c r="K173" s="44" t="s">
        <v>75</v>
      </c>
      <c r="L173" s="61"/>
      <c r="M173" s="61"/>
      <c r="N173" s="66" t="s">
        <v>921</v>
      </c>
      <c r="O173" s="61"/>
      <c r="P173" s="61"/>
      <c r="Q173" s="51"/>
    </row>
    <row r="174" spans="1:17" s="6" customFormat="1" x14ac:dyDescent="0.15">
      <c r="A174" s="67" t="s">
        <v>879</v>
      </c>
      <c r="B174" s="68" t="s">
        <v>880</v>
      </c>
      <c r="C174" s="69"/>
      <c r="D174" s="69"/>
      <c r="E174" s="69"/>
      <c r="F174" s="69"/>
      <c r="G174" s="69"/>
      <c r="H174" s="69"/>
      <c r="I174" s="69"/>
      <c r="J174" s="70"/>
      <c r="K174" s="70"/>
      <c r="L174" s="70"/>
      <c r="M174" s="70"/>
      <c r="N174" s="79" t="s">
        <v>922</v>
      </c>
      <c r="O174" s="70"/>
      <c r="P174" s="70"/>
      <c r="Q174" s="51"/>
    </row>
    <row r="175" spans="1:17" s="6" customFormat="1" x14ac:dyDescent="0.15">
      <c r="A175" s="56" t="s">
        <v>881</v>
      </c>
      <c r="B175" s="57" t="s">
        <v>882</v>
      </c>
      <c r="C175" s="71"/>
      <c r="D175" s="71"/>
      <c r="E175" s="71"/>
      <c r="F175" s="71"/>
      <c r="G175" s="71"/>
      <c r="H175" s="71"/>
      <c r="I175" s="71"/>
      <c r="J175" s="72"/>
      <c r="K175" s="72"/>
      <c r="L175" s="72"/>
      <c r="M175" s="72"/>
      <c r="N175" s="72" t="s">
        <v>923</v>
      </c>
      <c r="O175" s="72"/>
      <c r="P175" s="72"/>
      <c r="Q175" s="51"/>
    </row>
    <row r="176" spans="1:17" s="6" customFormat="1" x14ac:dyDescent="0.15">
      <c r="A176" s="52" t="s">
        <v>883</v>
      </c>
      <c r="B176" s="53" t="s">
        <v>884</v>
      </c>
      <c r="C176" s="73"/>
      <c r="D176" s="73"/>
      <c r="E176" s="73"/>
      <c r="F176" s="73"/>
      <c r="G176" s="73"/>
      <c r="H176" s="73"/>
      <c r="I176" s="73"/>
      <c r="J176" s="74"/>
      <c r="K176" s="74"/>
      <c r="L176" s="74"/>
      <c r="M176" s="74"/>
      <c r="N176" s="75" t="s">
        <v>924</v>
      </c>
      <c r="O176" s="74"/>
      <c r="P176" s="74"/>
      <c r="Q176" s="51"/>
    </row>
    <row r="177" spans="1:17" s="6" customFormat="1" x14ac:dyDescent="0.15">
      <c r="A177" s="56" t="s">
        <v>885</v>
      </c>
      <c r="B177" s="57" t="s">
        <v>886</v>
      </c>
      <c r="C177" s="64"/>
      <c r="D177" s="64"/>
      <c r="E177" s="64"/>
      <c r="F177" s="64"/>
      <c r="G177" s="64"/>
      <c r="H177" s="64"/>
      <c r="I177" s="64"/>
      <c r="J177" s="61"/>
      <c r="K177" s="61"/>
      <c r="L177" s="61"/>
      <c r="M177" s="61"/>
      <c r="N177" s="66" t="s">
        <v>925</v>
      </c>
      <c r="O177" s="61"/>
      <c r="P177" s="61"/>
      <c r="Q177" s="51"/>
    </row>
    <row r="178" spans="1:17" s="6" customFormat="1" ht="24" x14ac:dyDescent="0.15">
      <c r="A178" s="67" t="s">
        <v>887</v>
      </c>
      <c r="B178" s="68" t="s">
        <v>888</v>
      </c>
      <c r="C178" s="69"/>
      <c r="D178" s="69"/>
      <c r="E178" s="69"/>
      <c r="F178" s="69"/>
      <c r="G178" s="69"/>
      <c r="H178" s="69"/>
      <c r="I178" s="69"/>
      <c r="J178" s="70"/>
      <c r="K178" s="70"/>
      <c r="L178" s="70"/>
      <c r="M178" s="70"/>
      <c r="N178" s="70" t="s">
        <v>926</v>
      </c>
      <c r="O178" s="70"/>
      <c r="P178" s="70"/>
      <c r="Q178" s="51"/>
    </row>
    <row r="179" spans="1:17" s="6" customFormat="1" ht="24" x14ac:dyDescent="0.15">
      <c r="A179" s="56" t="s">
        <v>889</v>
      </c>
      <c r="B179" s="57" t="s">
        <v>890</v>
      </c>
      <c r="C179" s="76"/>
      <c r="D179" s="76"/>
      <c r="E179" s="76"/>
      <c r="F179" s="76"/>
      <c r="G179" s="76"/>
      <c r="H179" s="76"/>
      <c r="I179" s="76"/>
      <c r="J179" s="72"/>
      <c r="K179" s="72"/>
      <c r="L179" s="72"/>
      <c r="M179" s="72"/>
      <c r="N179" s="72" t="s">
        <v>927</v>
      </c>
      <c r="O179" s="72"/>
      <c r="P179" s="72"/>
      <c r="Q179" s="51"/>
    </row>
    <row r="180" spans="1:17" s="6" customFormat="1" ht="24" x14ac:dyDescent="0.15">
      <c r="A180" s="52" t="s">
        <v>891</v>
      </c>
      <c r="B180" s="53" t="s">
        <v>892</v>
      </c>
      <c r="C180" s="77"/>
      <c r="D180" s="77"/>
      <c r="E180" s="77"/>
      <c r="F180" s="77"/>
      <c r="G180" s="77"/>
      <c r="H180" s="77"/>
      <c r="I180" s="77"/>
      <c r="J180" s="74"/>
      <c r="K180" s="74"/>
      <c r="L180" s="74"/>
      <c r="M180" s="74"/>
      <c r="N180" s="78" t="s">
        <v>928</v>
      </c>
      <c r="O180" s="74"/>
      <c r="P180" s="74"/>
      <c r="Q180" s="51"/>
    </row>
  </sheetData>
  <mergeCells count="14">
    <mergeCell ref="J4:J5"/>
    <mergeCell ref="K4:K5"/>
    <mergeCell ref="L4:L5"/>
    <mergeCell ref="M4:M5"/>
    <mergeCell ref="A1:Q1"/>
    <mergeCell ref="A3:B5"/>
    <mergeCell ref="C3:D3"/>
    <mergeCell ref="F3:K3"/>
    <mergeCell ref="L3:M3"/>
    <mergeCell ref="N3:N5"/>
    <mergeCell ref="O3:O5"/>
    <mergeCell ref="P3:P5"/>
    <mergeCell ref="F4:G4"/>
    <mergeCell ref="H4:I4"/>
  </mergeCells>
  <phoneticPr fontId="3" type="noConversion"/>
  <pageMargins left="0.75" right="0.75" top="1" bottom="1" header="0.51180555555555551" footer="0.51180555555555551"/>
  <pageSetup paperSize="9" firstPageNumber="4294963191" orientation="portrait" horizontalDpi="0" verticalDpi="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zoomScaleSheetLayoutView="100" workbookViewId="0">
      <selection activeCell="C13" sqref="C13"/>
    </sheetView>
  </sheetViews>
  <sheetFormatPr defaultColWidth="9" defaultRowHeight="14.25" x14ac:dyDescent="0.15"/>
  <cols>
    <col min="1" max="1" width="7.125" bestFit="1" customWidth="1"/>
    <col min="2" max="2" width="49.125" bestFit="1" customWidth="1"/>
    <col min="3" max="3" width="28.25" bestFit="1" customWidth="1"/>
    <col min="4" max="4" width="77.625" bestFit="1" customWidth="1"/>
    <col min="5" max="5" width="21.875" bestFit="1" customWidth="1"/>
    <col min="6" max="6" width="90.125" bestFit="1" customWidth="1"/>
    <col min="7" max="10" width="28.25" bestFit="1" customWidth="1"/>
    <col min="11" max="11" width="6.75" bestFit="1" customWidth="1"/>
    <col min="12" max="13" width="28.25" bestFit="1" customWidth="1"/>
    <col min="14" max="14" width="43.875" bestFit="1" customWidth="1"/>
    <col min="15" max="15" width="28.25" bestFit="1" customWidth="1"/>
    <col min="16" max="16" width="8.5" bestFit="1" customWidth="1"/>
  </cols>
  <sheetData>
    <row r="1" spans="1:17" ht="22.5" x14ac:dyDescent="0.25">
      <c r="A1" s="433" t="s">
        <v>4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</row>
    <row r="2" spans="1:17" ht="15" thickBo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12"/>
      <c r="N2" s="6"/>
      <c r="O2" s="6"/>
      <c r="P2" s="13"/>
      <c r="Q2" s="6"/>
    </row>
    <row r="3" spans="1:17" x14ac:dyDescent="0.15">
      <c r="A3" s="434" t="s">
        <v>5</v>
      </c>
      <c r="B3" s="435"/>
      <c r="C3" s="440" t="s">
        <v>6</v>
      </c>
      <c r="D3" s="435"/>
      <c r="E3" s="14" t="s">
        <v>7</v>
      </c>
      <c r="F3" s="441" t="s">
        <v>8</v>
      </c>
      <c r="G3" s="442"/>
      <c r="H3" s="442"/>
      <c r="I3" s="442"/>
      <c r="J3" s="442"/>
      <c r="K3" s="443"/>
      <c r="L3" s="441" t="s">
        <v>9</v>
      </c>
      <c r="M3" s="443"/>
      <c r="N3" s="444" t="s">
        <v>1442</v>
      </c>
      <c r="O3" s="444" t="s">
        <v>10</v>
      </c>
      <c r="P3" s="446" t="s">
        <v>11</v>
      </c>
      <c r="Q3" s="15"/>
    </row>
    <row r="4" spans="1:17" x14ac:dyDescent="0.15">
      <c r="A4" s="436"/>
      <c r="B4" s="437"/>
      <c r="C4" s="17" t="s">
        <v>12</v>
      </c>
      <c r="D4" s="369" t="s">
        <v>1433</v>
      </c>
      <c r="E4" s="18"/>
      <c r="F4" s="449" t="s">
        <v>13</v>
      </c>
      <c r="G4" s="450"/>
      <c r="H4" s="449" t="s">
        <v>14</v>
      </c>
      <c r="I4" s="450"/>
      <c r="J4" s="430" t="s">
        <v>1458</v>
      </c>
      <c r="K4" s="431" t="s">
        <v>16</v>
      </c>
      <c r="L4" s="431" t="s">
        <v>1440</v>
      </c>
      <c r="M4" s="431" t="s">
        <v>16</v>
      </c>
      <c r="N4" s="445"/>
      <c r="O4" s="445"/>
      <c r="P4" s="447"/>
      <c r="Q4" s="15"/>
    </row>
    <row r="5" spans="1:17" x14ac:dyDescent="0.15">
      <c r="A5" s="438"/>
      <c r="B5" s="439"/>
      <c r="C5" s="19" t="s">
        <v>30</v>
      </c>
      <c r="D5" s="19" t="s">
        <v>1457</v>
      </c>
      <c r="E5" s="19"/>
      <c r="F5" s="22" t="s">
        <v>1439</v>
      </c>
      <c r="G5" s="21" t="s">
        <v>20</v>
      </c>
      <c r="H5" s="22" t="s">
        <v>56</v>
      </c>
      <c r="I5" s="21" t="s">
        <v>58</v>
      </c>
      <c r="J5" s="430"/>
      <c r="K5" s="432"/>
      <c r="L5" s="432"/>
      <c r="M5" s="432"/>
      <c r="N5" s="432"/>
      <c r="O5" s="432"/>
      <c r="P5" s="448"/>
      <c r="Q5" s="15"/>
    </row>
    <row r="6" spans="1:17" x14ac:dyDescent="0.15">
      <c r="A6" s="23"/>
      <c r="B6" s="24"/>
      <c r="C6" s="19"/>
      <c r="D6" s="22" t="s">
        <v>21</v>
      </c>
      <c r="E6" s="21"/>
      <c r="F6" s="21" t="s">
        <v>22</v>
      </c>
      <c r="G6" s="22" t="s">
        <v>23</v>
      </c>
      <c r="H6" s="21" t="s">
        <v>24</v>
      </c>
      <c r="I6" s="21" t="s">
        <v>25</v>
      </c>
      <c r="J6" s="25" t="s">
        <v>62</v>
      </c>
      <c r="K6" s="22"/>
      <c r="L6" s="22" t="s">
        <v>27</v>
      </c>
      <c r="M6" s="26"/>
      <c r="N6" s="22" t="s">
        <v>28</v>
      </c>
      <c r="O6" s="22" t="s">
        <v>29</v>
      </c>
      <c r="P6" s="27"/>
      <c r="Q6" s="15"/>
    </row>
    <row r="7" spans="1:17" x14ac:dyDescent="0.15">
      <c r="A7" s="23"/>
      <c r="B7" s="24"/>
      <c r="C7" s="19"/>
      <c r="D7" s="22"/>
      <c r="E7" s="21"/>
      <c r="F7" s="21"/>
      <c r="G7" s="22"/>
      <c r="H7" s="21"/>
      <c r="I7" s="21"/>
      <c r="J7" s="25"/>
      <c r="K7" s="22"/>
      <c r="L7" s="22"/>
      <c r="M7" s="26"/>
      <c r="N7" s="22"/>
      <c r="O7" s="22"/>
      <c r="P7" s="27"/>
      <c r="Q7" s="15"/>
    </row>
    <row r="8" spans="1:17" x14ac:dyDescent="0.15">
      <c r="A8" s="1" t="s">
        <v>0</v>
      </c>
      <c r="B8" s="2" t="s">
        <v>1</v>
      </c>
      <c r="C8" s="3" t="s">
        <v>1434</v>
      </c>
      <c r="D8" s="3" t="s">
        <v>41</v>
      </c>
      <c r="E8" s="3" t="s">
        <v>42</v>
      </c>
      <c r="F8" s="3" t="s">
        <v>45</v>
      </c>
      <c r="G8" s="3" t="s">
        <v>54</v>
      </c>
      <c r="H8" s="3" t="s">
        <v>57</v>
      </c>
      <c r="I8" s="3" t="s">
        <v>60</v>
      </c>
      <c r="J8" s="3" t="s">
        <v>64</v>
      </c>
      <c r="K8" s="5" t="s">
        <v>74</v>
      </c>
      <c r="L8" s="3" t="s">
        <v>66</v>
      </c>
      <c r="M8" s="5" t="s">
        <v>74</v>
      </c>
      <c r="N8" s="3" t="s">
        <v>70</v>
      </c>
      <c r="O8" s="3" t="s">
        <v>71</v>
      </c>
      <c r="P8" s="5" t="s">
        <v>74</v>
      </c>
      <c r="Q8" s="6"/>
    </row>
    <row r="9" spans="1:17" x14ac:dyDescent="0.15">
      <c r="A9" s="7">
        <v>1.1000000000000001</v>
      </c>
      <c r="B9" s="8" t="s">
        <v>1436</v>
      </c>
      <c r="C9" s="9" t="s">
        <v>98</v>
      </c>
      <c r="D9" s="9" t="s">
        <v>1435</v>
      </c>
      <c r="E9" s="9" t="s">
        <v>44</v>
      </c>
      <c r="F9" s="9" t="s">
        <v>1438</v>
      </c>
      <c r="G9" s="9" t="s">
        <v>55</v>
      </c>
      <c r="H9" s="9" t="s">
        <v>55</v>
      </c>
      <c r="I9" s="9" t="s">
        <v>44</v>
      </c>
      <c r="J9" s="9" t="s">
        <v>59</v>
      </c>
      <c r="K9" s="11" t="s">
        <v>74</v>
      </c>
      <c r="L9" s="9" t="s">
        <v>55</v>
      </c>
      <c r="M9" s="11" t="s">
        <v>74</v>
      </c>
      <c r="N9" s="9" t="s">
        <v>1441</v>
      </c>
      <c r="O9" s="9" t="s">
        <v>1454</v>
      </c>
      <c r="P9" s="11" t="s">
        <v>74</v>
      </c>
      <c r="Q9" s="6"/>
    </row>
    <row r="10" spans="1:17" x14ac:dyDescent="0.15">
      <c r="A10" s="28" t="s">
        <v>76</v>
      </c>
      <c r="B10" s="29" t="s">
        <v>77</v>
      </c>
      <c r="C10" s="3" t="s">
        <v>96</v>
      </c>
      <c r="D10" s="3" t="s">
        <v>86</v>
      </c>
      <c r="E10" s="3" t="s">
        <v>87</v>
      </c>
      <c r="F10" s="3" t="s">
        <v>88</v>
      </c>
      <c r="G10" s="3" t="s">
        <v>89</v>
      </c>
      <c r="H10" s="3" t="s">
        <v>88</v>
      </c>
      <c r="I10" s="3" t="s">
        <v>89</v>
      </c>
      <c r="J10" s="3" t="s">
        <v>90</v>
      </c>
      <c r="K10" s="5" t="s">
        <v>74</v>
      </c>
      <c r="L10" s="3" t="s">
        <v>91</v>
      </c>
      <c r="M10" s="5" t="s">
        <v>74</v>
      </c>
      <c r="N10" s="3" t="s">
        <v>92</v>
      </c>
      <c r="O10" s="3" t="s">
        <v>93</v>
      </c>
      <c r="P10" s="5" t="s">
        <v>74</v>
      </c>
      <c r="Q10" s="6"/>
    </row>
    <row r="11" spans="1:17" x14ac:dyDescent="0.15">
      <c r="A11" s="30">
        <v>2.1</v>
      </c>
      <c r="B11" s="31" t="s">
        <v>1437</v>
      </c>
      <c r="C11" s="3" t="s">
        <v>1443</v>
      </c>
      <c r="D11" s="3" t="s">
        <v>1444</v>
      </c>
      <c r="E11" s="3" t="s">
        <v>1445</v>
      </c>
      <c r="F11" s="3" t="s">
        <v>1446</v>
      </c>
      <c r="G11" s="3" t="s">
        <v>1447</v>
      </c>
      <c r="H11" s="3" t="s">
        <v>1446</v>
      </c>
      <c r="I11" s="3" t="s">
        <v>1447</v>
      </c>
      <c r="J11" s="3" t="s">
        <v>1448</v>
      </c>
      <c r="K11" s="5" t="s">
        <v>74</v>
      </c>
      <c r="L11" s="3" t="s">
        <v>1449</v>
      </c>
      <c r="M11" s="5" t="s">
        <v>74</v>
      </c>
      <c r="N11" s="3" t="s">
        <v>1450</v>
      </c>
      <c r="O11" s="3" t="s">
        <v>1451</v>
      </c>
      <c r="P11" s="5" t="s">
        <v>74</v>
      </c>
      <c r="Q11" s="6"/>
    </row>
    <row r="12" spans="1:17" x14ac:dyDescent="0.15">
      <c r="A12" s="7" t="s">
        <v>94</v>
      </c>
      <c r="B12" s="8" t="s">
        <v>1452</v>
      </c>
      <c r="C12" s="9" t="s">
        <v>1453</v>
      </c>
      <c r="D12" s="9" t="s">
        <v>1435</v>
      </c>
      <c r="E12" s="9" t="s">
        <v>44</v>
      </c>
      <c r="F12" s="9" t="s">
        <v>1438</v>
      </c>
      <c r="G12" s="9" t="s">
        <v>55</v>
      </c>
      <c r="H12" s="9" t="s">
        <v>55</v>
      </c>
      <c r="I12" s="9" t="s">
        <v>55</v>
      </c>
      <c r="J12" s="9" t="s">
        <v>59</v>
      </c>
      <c r="K12" s="11" t="s">
        <v>74</v>
      </c>
      <c r="L12" s="9" t="s">
        <v>1459</v>
      </c>
      <c r="M12" s="11" t="s">
        <v>75</v>
      </c>
      <c r="N12" s="9" t="s">
        <v>1455</v>
      </c>
      <c r="O12" s="9" t="s">
        <v>1456</v>
      </c>
      <c r="P12" s="11" t="s">
        <v>75</v>
      </c>
      <c r="Q12" s="6"/>
    </row>
    <row r="13" spans="1:17" x14ac:dyDescent="0.15">
      <c r="A13" s="1" t="s">
        <v>342</v>
      </c>
      <c r="B13" s="2" t="s">
        <v>343</v>
      </c>
      <c r="C13" s="3" t="s">
        <v>359</v>
      </c>
      <c r="D13" s="3" t="s">
        <v>360</v>
      </c>
      <c r="E13" s="3" t="s">
        <v>361</v>
      </c>
      <c r="F13" s="3" t="s">
        <v>362</v>
      </c>
      <c r="G13" s="3" t="s">
        <v>363</v>
      </c>
      <c r="H13" s="3" t="s">
        <v>362</v>
      </c>
      <c r="I13" s="3" t="s">
        <v>363</v>
      </c>
      <c r="J13" s="3" t="s">
        <v>364</v>
      </c>
      <c r="K13" s="5" t="s">
        <v>74</v>
      </c>
      <c r="L13" s="3" t="s">
        <v>365</v>
      </c>
      <c r="M13" s="5" t="s">
        <v>74</v>
      </c>
      <c r="N13" s="3" t="s">
        <v>366</v>
      </c>
      <c r="O13" s="3" t="s">
        <v>367</v>
      </c>
      <c r="P13" s="5" t="s">
        <v>74</v>
      </c>
      <c r="Q13" s="6"/>
    </row>
    <row r="14" spans="1:17" x14ac:dyDescent="0.15">
      <c r="A14" s="1" t="s">
        <v>502</v>
      </c>
      <c r="B14" s="2" t="s">
        <v>503</v>
      </c>
      <c r="C14" s="3" t="s">
        <v>520</v>
      </c>
      <c r="D14" s="3" t="s">
        <v>521</v>
      </c>
      <c r="E14" s="3" t="s">
        <v>522</v>
      </c>
      <c r="F14" s="3" t="s">
        <v>523</v>
      </c>
      <c r="G14" s="3" t="s">
        <v>524</v>
      </c>
      <c r="H14" s="3" t="s">
        <v>523</v>
      </c>
      <c r="I14" s="3" t="s">
        <v>524</v>
      </c>
      <c r="J14" s="3" t="s">
        <v>525</v>
      </c>
      <c r="K14" s="5" t="s">
        <v>74</v>
      </c>
      <c r="L14" s="3" t="s">
        <v>526</v>
      </c>
      <c r="M14" s="5" t="s">
        <v>74</v>
      </c>
      <c r="N14" s="3" t="s">
        <v>527</v>
      </c>
      <c r="O14" s="3" t="s">
        <v>528</v>
      </c>
      <c r="P14" s="5" t="s">
        <v>74</v>
      </c>
      <c r="Q14" s="6"/>
    </row>
    <row r="15" spans="1:17" x14ac:dyDescent="0.15">
      <c r="A15" s="28" t="s">
        <v>822</v>
      </c>
      <c r="B15" s="29" t="s">
        <v>823</v>
      </c>
      <c r="C15" s="3" t="s">
        <v>837</v>
      </c>
      <c r="D15" s="3" t="s">
        <v>839</v>
      </c>
      <c r="E15" s="3" t="s">
        <v>44</v>
      </c>
      <c r="F15" s="3" t="s">
        <v>843</v>
      </c>
      <c r="G15" s="3" t="s">
        <v>846</v>
      </c>
      <c r="H15" s="3" t="s">
        <v>847</v>
      </c>
      <c r="I15" s="3" t="s">
        <v>848</v>
      </c>
      <c r="J15" s="3" t="s">
        <v>850</v>
      </c>
      <c r="K15" s="5" t="s">
        <v>74</v>
      </c>
      <c r="L15" s="3" t="s">
        <v>852</v>
      </c>
      <c r="M15" s="5" t="s">
        <v>74</v>
      </c>
      <c r="N15" s="3" t="s">
        <v>854</v>
      </c>
      <c r="O15" s="3" t="s">
        <v>856</v>
      </c>
      <c r="P15" s="5" t="s">
        <v>74</v>
      </c>
      <c r="Q15" s="6"/>
    </row>
    <row r="16" spans="1:17" x14ac:dyDescent="0.15">
      <c r="A16" s="1" t="s">
        <v>835</v>
      </c>
      <c r="B16" s="2" t="s">
        <v>840</v>
      </c>
      <c r="C16" s="3" t="s">
        <v>838</v>
      </c>
      <c r="D16" s="3" t="s">
        <v>841</v>
      </c>
      <c r="E16" s="3" t="s">
        <v>895</v>
      </c>
      <c r="F16" s="3" t="s">
        <v>845</v>
      </c>
      <c r="G16" s="3" t="s">
        <v>44</v>
      </c>
      <c r="H16" s="3" t="s">
        <v>44</v>
      </c>
      <c r="I16" s="3" t="s">
        <v>44</v>
      </c>
      <c r="J16" s="3" t="s">
        <v>851</v>
      </c>
      <c r="K16" s="5" t="s">
        <v>901</v>
      </c>
      <c r="L16" s="3" t="s">
        <v>853</v>
      </c>
      <c r="M16" s="5" t="s">
        <v>74</v>
      </c>
      <c r="N16" s="3" t="s">
        <v>855</v>
      </c>
      <c r="O16" s="3" t="s">
        <v>857</v>
      </c>
      <c r="P16" s="5" t="s">
        <v>75</v>
      </c>
      <c r="Q16" s="6"/>
    </row>
    <row r="17" spans="1:17" x14ac:dyDescent="0.15">
      <c r="A17" s="42" t="s">
        <v>858</v>
      </c>
      <c r="B17" s="43" t="s">
        <v>859</v>
      </c>
      <c r="C17" s="44" t="s">
        <v>893</v>
      </c>
      <c r="D17" s="44" t="s">
        <v>894</v>
      </c>
      <c r="E17" s="44" t="s">
        <v>44</v>
      </c>
      <c r="F17" s="44" t="s">
        <v>896</v>
      </c>
      <c r="G17" s="44" t="s">
        <v>897</v>
      </c>
      <c r="H17" s="44" t="s">
        <v>898</v>
      </c>
      <c r="I17" s="44" t="s">
        <v>899</v>
      </c>
      <c r="J17" s="44" t="s">
        <v>900</v>
      </c>
      <c r="K17" s="44" t="s">
        <v>75</v>
      </c>
      <c r="L17" s="44" t="s">
        <v>902</v>
      </c>
      <c r="M17" s="44" t="s">
        <v>903</v>
      </c>
      <c r="N17" s="44" t="s">
        <v>904</v>
      </c>
      <c r="O17" s="44" t="s">
        <v>905</v>
      </c>
      <c r="P17" s="45" t="s">
        <v>75</v>
      </c>
      <c r="Q17" s="6"/>
    </row>
    <row r="18" spans="1:17" x14ac:dyDescent="0.15">
      <c r="A18" s="46" t="s">
        <v>860</v>
      </c>
      <c r="B18" s="47" t="s">
        <v>861</v>
      </c>
      <c r="C18" s="48"/>
      <c r="D18" s="48"/>
      <c r="E18" s="48"/>
      <c r="F18" s="48"/>
      <c r="G18" s="48"/>
      <c r="H18" s="48"/>
      <c r="I18" s="48"/>
      <c r="J18" s="49" t="s">
        <v>63</v>
      </c>
      <c r="K18" s="50" t="s">
        <v>75</v>
      </c>
      <c r="L18" s="49" t="s">
        <v>906</v>
      </c>
      <c r="M18" s="50"/>
      <c r="N18" s="49" t="s">
        <v>907</v>
      </c>
      <c r="O18" s="50"/>
      <c r="P18" s="50"/>
      <c r="Q18" s="51"/>
    </row>
    <row r="19" spans="1:17" x14ac:dyDescent="0.15">
      <c r="A19" s="52" t="s">
        <v>862</v>
      </c>
      <c r="B19" s="53" t="s">
        <v>863</v>
      </c>
      <c r="C19" s="54"/>
      <c r="D19" s="54"/>
      <c r="E19" s="54"/>
      <c r="F19" s="54"/>
      <c r="G19" s="54"/>
      <c r="H19" s="54"/>
      <c r="I19" s="54"/>
      <c r="J19" s="55"/>
      <c r="K19" s="55" t="s">
        <v>75</v>
      </c>
      <c r="L19" s="55"/>
      <c r="M19" s="55"/>
      <c r="N19" s="55"/>
      <c r="O19" s="55"/>
      <c r="P19" s="55"/>
      <c r="Q19" s="51"/>
    </row>
    <row r="20" spans="1:17" x14ac:dyDescent="0.15">
      <c r="A20" s="56" t="s">
        <v>864</v>
      </c>
      <c r="B20" s="57" t="s">
        <v>865</v>
      </c>
      <c r="C20" s="58"/>
      <c r="D20" s="58"/>
      <c r="E20" s="58"/>
      <c r="F20" s="58"/>
      <c r="G20" s="58"/>
      <c r="H20" s="58"/>
      <c r="I20" s="58"/>
      <c r="J20" s="59" t="s">
        <v>63</v>
      </c>
      <c r="K20" s="44" t="s">
        <v>75</v>
      </c>
      <c r="L20" s="59" t="s">
        <v>63</v>
      </c>
      <c r="M20" s="60"/>
      <c r="N20" s="59" t="s">
        <v>908</v>
      </c>
      <c r="O20" s="61" t="s">
        <v>909</v>
      </c>
      <c r="P20" s="60"/>
      <c r="Q20" s="51"/>
    </row>
    <row r="21" spans="1:17" x14ac:dyDescent="0.15">
      <c r="A21" s="56" t="s">
        <v>866</v>
      </c>
      <c r="B21" s="57" t="s">
        <v>867</v>
      </c>
      <c r="C21" s="58"/>
      <c r="D21" s="58"/>
      <c r="E21" s="58"/>
      <c r="F21" s="58"/>
      <c r="G21" s="58"/>
      <c r="H21" s="58"/>
      <c r="I21" s="58"/>
      <c r="J21" s="59" t="s">
        <v>63</v>
      </c>
      <c r="K21" s="44" t="s">
        <v>75</v>
      </c>
      <c r="L21" s="62" t="s">
        <v>911</v>
      </c>
      <c r="M21" s="60"/>
      <c r="N21" s="59" t="s">
        <v>912</v>
      </c>
      <c r="O21" s="61" t="s">
        <v>913</v>
      </c>
      <c r="P21" s="60"/>
      <c r="Q21" s="51"/>
    </row>
    <row r="22" spans="1:17" x14ac:dyDescent="0.15">
      <c r="A22" s="56" t="s">
        <v>868</v>
      </c>
      <c r="B22" s="63" t="s">
        <v>869</v>
      </c>
      <c r="C22" s="58"/>
      <c r="D22" s="58"/>
      <c r="E22" s="58"/>
      <c r="F22" s="58"/>
      <c r="G22" s="58"/>
      <c r="H22" s="58"/>
      <c r="I22" s="58"/>
      <c r="J22" s="59" t="s">
        <v>910</v>
      </c>
      <c r="K22" s="44" t="s">
        <v>75</v>
      </c>
      <c r="L22" s="59" t="s">
        <v>63</v>
      </c>
      <c r="M22" s="60"/>
      <c r="N22" s="59" t="s">
        <v>914</v>
      </c>
      <c r="O22" s="60"/>
      <c r="P22" s="60"/>
      <c r="Q22" s="51"/>
    </row>
    <row r="23" spans="1:17" x14ac:dyDescent="0.15">
      <c r="A23" s="56" t="s">
        <v>870</v>
      </c>
      <c r="B23" s="57" t="s">
        <v>871</v>
      </c>
      <c r="C23" s="58"/>
      <c r="D23" s="58"/>
      <c r="E23" s="58"/>
      <c r="F23" s="58"/>
      <c r="G23" s="58"/>
      <c r="H23" s="58"/>
      <c r="I23" s="58"/>
      <c r="J23" s="59" t="s">
        <v>63</v>
      </c>
      <c r="K23" s="44" t="s">
        <v>75</v>
      </c>
      <c r="L23" s="62" t="s">
        <v>915</v>
      </c>
      <c r="M23" s="60"/>
      <c r="N23" s="59" t="s">
        <v>916</v>
      </c>
      <c r="O23" s="60"/>
      <c r="P23" s="60"/>
      <c r="Q23" s="51"/>
    </row>
    <row r="24" spans="1:17" x14ac:dyDescent="0.15">
      <c r="A24" s="56" t="s">
        <v>873</v>
      </c>
      <c r="B24" s="57" t="s">
        <v>874</v>
      </c>
      <c r="C24" s="58"/>
      <c r="D24" s="58"/>
      <c r="E24" s="58"/>
      <c r="F24" s="58"/>
      <c r="G24" s="58"/>
      <c r="H24" s="58"/>
      <c r="I24" s="58"/>
      <c r="J24" s="59" t="s">
        <v>63</v>
      </c>
      <c r="K24" s="44" t="s">
        <v>75</v>
      </c>
      <c r="L24" s="59" t="s">
        <v>63</v>
      </c>
      <c r="M24" s="60"/>
      <c r="N24" s="59" t="s">
        <v>919</v>
      </c>
      <c r="O24" s="60"/>
      <c r="P24" s="60"/>
      <c r="Q24" s="51"/>
    </row>
    <row r="25" spans="1:17" x14ac:dyDescent="0.15">
      <c r="A25" s="56" t="s">
        <v>875</v>
      </c>
      <c r="B25" s="57" t="s">
        <v>876</v>
      </c>
      <c r="C25" s="64"/>
      <c r="D25" s="64"/>
      <c r="E25" s="64"/>
      <c r="F25" s="64"/>
      <c r="G25" s="64"/>
      <c r="H25" s="64"/>
      <c r="I25" s="64"/>
      <c r="J25" s="65" t="s">
        <v>917</v>
      </c>
      <c r="K25" s="44" t="s">
        <v>75</v>
      </c>
      <c r="L25" s="66" t="s">
        <v>918</v>
      </c>
      <c r="M25" s="61"/>
      <c r="N25" s="66" t="s">
        <v>920</v>
      </c>
      <c r="O25" s="61"/>
      <c r="P25" s="61"/>
      <c r="Q25" s="51"/>
    </row>
    <row r="26" spans="1:17" x14ac:dyDescent="0.15">
      <c r="A26" s="56" t="s">
        <v>877</v>
      </c>
      <c r="B26" s="57" t="s">
        <v>878</v>
      </c>
      <c r="C26" s="64"/>
      <c r="D26" s="64"/>
      <c r="E26" s="64"/>
      <c r="F26" s="64"/>
      <c r="G26" s="64"/>
      <c r="H26" s="64"/>
      <c r="I26" s="64"/>
      <c r="J26" s="61"/>
      <c r="K26" s="44" t="s">
        <v>75</v>
      </c>
      <c r="L26" s="61"/>
      <c r="M26" s="61"/>
      <c r="N26" s="66" t="s">
        <v>921</v>
      </c>
      <c r="O26" s="61"/>
      <c r="P26" s="61"/>
      <c r="Q26" s="51"/>
    </row>
    <row r="27" spans="1:17" x14ac:dyDescent="0.15">
      <c r="A27" s="67" t="s">
        <v>879</v>
      </c>
      <c r="B27" s="68" t="s">
        <v>880</v>
      </c>
      <c r="C27" s="69"/>
      <c r="D27" s="69"/>
      <c r="E27" s="69"/>
      <c r="F27" s="69"/>
      <c r="G27" s="69"/>
      <c r="H27" s="69"/>
      <c r="I27" s="69"/>
      <c r="J27" s="70"/>
      <c r="K27" s="70"/>
      <c r="L27" s="70"/>
      <c r="M27" s="70"/>
      <c r="N27" s="79" t="s">
        <v>922</v>
      </c>
      <c r="O27" s="70"/>
      <c r="P27" s="70"/>
      <c r="Q27" s="51"/>
    </row>
    <row r="28" spans="1:17" x14ac:dyDescent="0.15">
      <c r="A28" s="56" t="s">
        <v>881</v>
      </c>
      <c r="B28" s="57" t="s">
        <v>882</v>
      </c>
      <c r="C28" s="71"/>
      <c r="D28" s="71"/>
      <c r="E28" s="71"/>
      <c r="F28" s="71"/>
      <c r="G28" s="71"/>
      <c r="H28" s="71"/>
      <c r="I28" s="71"/>
      <c r="J28" s="72"/>
      <c r="K28" s="72"/>
      <c r="L28" s="72"/>
      <c r="M28" s="72"/>
      <c r="N28" s="72" t="s">
        <v>923</v>
      </c>
      <c r="O28" s="72"/>
      <c r="P28" s="72"/>
      <c r="Q28" s="51"/>
    </row>
    <row r="29" spans="1:17" x14ac:dyDescent="0.15">
      <c r="A29" s="52" t="s">
        <v>883</v>
      </c>
      <c r="B29" s="53" t="s">
        <v>884</v>
      </c>
      <c r="C29" s="73"/>
      <c r="D29" s="73"/>
      <c r="E29" s="73"/>
      <c r="F29" s="73"/>
      <c r="G29" s="73"/>
      <c r="H29" s="73"/>
      <c r="I29" s="73"/>
      <c r="J29" s="74"/>
      <c r="K29" s="74"/>
      <c r="L29" s="74"/>
      <c r="M29" s="74"/>
      <c r="N29" s="75" t="s">
        <v>924</v>
      </c>
      <c r="O29" s="74"/>
      <c r="P29" s="74"/>
      <c r="Q29" s="51"/>
    </row>
    <row r="30" spans="1:17" x14ac:dyDescent="0.15">
      <c r="A30" s="56" t="s">
        <v>885</v>
      </c>
      <c r="B30" s="57" t="s">
        <v>886</v>
      </c>
      <c r="C30" s="64"/>
      <c r="D30" s="64"/>
      <c r="E30" s="64"/>
      <c r="F30" s="64"/>
      <c r="G30" s="64"/>
      <c r="H30" s="64"/>
      <c r="I30" s="64"/>
      <c r="J30" s="61"/>
      <c r="K30" s="61"/>
      <c r="L30" s="61"/>
      <c r="M30" s="61"/>
      <c r="N30" s="66" t="s">
        <v>925</v>
      </c>
      <c r="O30" s="61"/>
      <c r="P30" s="61"/>
      <c r="Q30" s="51"/>
    </row>
    <row r="31" spans="1:17" x14ac:dyDescent="0.15">
      <c r="A31" s="67" t="s">
        <v>887</v>
      </c>
      <c r="B31" s="68" t="s">
        <v>888</v>
      </c>
      <c r="C31" s="69"/>
      <c r="D31" s="69"/>
      <c r="E31" s="69"/>
      <c r="F31" s="69"/>
      <c r="G31" s="69"/>
      <c r="H31" s="69"/>
      <c r="I31" s="69"/>
      <c r="J31" s="70"/>
      <c r="K31" s="70"/>
      <c r="L31" s="70"/>
      <c r="M31" s="70"/>
      <c r="N31" s="70" t="s">
        <v>926</v>
      </c>
      <c r="O31" s="70"/>
      <c r="P31" s="70"/>
      <c r="Q31" s="51"/>
    </row>
    <row r="32" spans="1:17" x14ac:dyDescent="0.15">
      <c r="A32" s="56" t="s">
        <v>889</v>
      </c>
      <c r="B32" s="57" t="s">
        <v>890</v>
      </c>
      <c r="C32" s="76"/>
      <c r="D32" s="76"/>
      <c r="E32" s="76"/>
      <c r="F32" s="76"/>
      <c r="G32" s="76"/>
      <c r="H32" s="76"/>
      <c r="I32" s="76"/>
      <c r="J32" s="72"/>
      <c r="K32" s="72"/>
      <c r="L32" s="72"/>
      <c r="M32" s="72"/>
      <c r="N32" s="72" t="s">
        <v>927</v>
      </c>
      <c r="O32" s="72"/>
      <c r="P32" s="72"/>
      <c r="Q32" s="51"/>
    </row>
    <row r="33" spans="1:17" x14ac:dyDescent="0.15">
      <c r="A33" s="52" t="s">
        <v>891</v>
      </c>
      <c r="B33" s="53" t="s">
        <v>892</v>
      </c>
      <c r="C33" s="77"/>
      <c r="D33" s="77"/>
      <c r="E33" s="77"/>
      <c r="F33" s="77"/>
      <c r="G33" s="77"/>
      <c r="H33" s="77"/>
      <c r="I33" s="77"/>
      <c r="J33" s="74"/>
      <c r="K33" s="74"/>
      <c r="L33" s="74"/>
      <c r="M33" s="74"/>
      <c r="N33" s="78" t="s">
        <v>928</v>
      </c>
      <c r="O33" s="74"/>
      <c r="P33" s="74"/>
      <c r="Q33" s="51"/>
    </row>
  </sheetData>
  <mergeCells count="14">
    <mergeCell ref="J4:J5"/>
    <mergeCell ref="K4:K5"/>
    <mergeCell ref="L4:L5"/>
    <mergeCell ref="M4:M5"/>
    <mergeCell ref="A1:Q1"/>
    <mergeCell ref="A3:B5"/>
    <mergeCell ref="C3:D3"/>
    <mergeCell ref="F3:K3"/>
    <mergeCell ref="L3:M3"/>
    <mergeCell ref="N3:N5"/>
    <mergeCell ref="O3:O5"/>
    <mergeCell ref="P3:P5"/>
    <mergeCell ref="F4:G4"/>
    <mergeCell ref="H4:I4"/>
  </mergeCells>
  <phoneticPr fontId="3" type="noConversion"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3" type="noConversion"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销售价格测算</vt:lpstr>
      <vt:lpstr>成本明细</vt:lpstr>
      <vt:lpstr>动态成本</vt:lpstr>
      <vt:lpstr>Sheet1</vt:lpstr>
      <vt:lpstr>Sheet2</vt:lpstr>
      <vt:lpstr>Sheet3</vt:lpstr>
      <vt:lpstr>成本明细!Print_Titles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2016-10-28T00:51:49Z</dcterms:created>
  <dcterms:modified xsi:type="dcterms:W3CDTF">2016-10-28T09:01:26Z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2052-8.1.0.2424</vt:lpwstr>
  </property>
</Properties>
</file>