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8800" windowHeight="5505" activeTab="5"/>
  </bookViews>
  <sheets>
    <sheet name="封面" sheetId="1" r:id="rId1"/>
    <sheet name="台帐使用说明" sheetId="2" r:id="rId2"/>
    <sheet name="拨款台帐" sheetId="18" r:id="rId3"/>
    <sheet name="合同台帐" sheetId="15" r:id="rId4"/>
    <sheet name="销售价格测算" sheetId="8" r:id="rId5"/>
    <sheet name="动态成本" sheetId="16" r:id="rId6"/>
    <sheet name="动态成本基本结构" sheetId="14" r:id="rId7"/>
    <sheet name="成本明细" sheetId="17" r:id="rId8"/>
    <sheet name="往来款台账" sheetId="19" r:id="rId9"/>
    <sheet name="Sheet1" sheetId="20" r:id="rId10"/>
    <sheet name="Sheet2" sheetId="21" r:id="rId11"/>
  </sheets>
  <externalReferences>
    <externalReference r:id="rId12"/>
  </externalReferences>
  <definedNames>
    <definedName name="_xlnm._FilterDatabase" localSheetId="2" hidden="1">拨款台帐!$A$1:$IU$257</definedName>
    <definedName name="_xlnm._FilterDatabase" localSheetId="7" hidden="1">成本明细!$D$535:$J$538</definedName>
    <definedName name="_xlnm._FilterDatabase" localSheetId="3" hidden="1">合同台帐!$A$3:$O$195</definedName>
    <definedName name="_xlnm.Print_Area" localSheetId="0">封面!$A$1:$M$4</definedName>
    <definedName name="_xlnm.Print_Titles" localSheetId="2">拨款台帐!$1:1</definedName>
    <definedName name="_xlnm.Print_Titles" localSheetId="7">成本明细!$1:2</definedName>
    <definedName name="_xlnm.Print_Titles" localSheetId="3">合同台帐!$1:3</definedName>
  </definedNames>
  <calcPr calcId="145621" concurrentCalc="0"/>
</workbook>
</file>

<file path=xl/calcChain.xml><?xml version="1.0" encoding="utf-8"?>
<calcChain xmlns="http://schemas.openxmlformats.org/spreadsheetml/2006/main">
  <c r="B32" i="17" l="1"/>
  <c r="E13" i="19"/>
  <c r="K13" i="19"/>
  <c r="K11" i="19"/>
  <c r="K10" i="19"/>
  <c r="K9" i="19"/>
  <c r="K8" i="19"/>
  <c r="K7" i="19"/>
  <c r="K6" i="19"/>
  <c r="K5" i="19"/>
  <c r="K4" i="19"/>
  <c r="K3" i="19"/>
  <c r="C260" i="18"/>
  <c r="I256" i="18"/>
  <c r="G256" i="18"/>
  <c r="F256" i="18"/>
  <c r="E256" i="18"/>
  <c r="I255" i="18"/>
  <c r="G255" i="18"/>
  <c r="F255" i="18"/>
  <c r="E255" i="18"/>
  <c r="I254" i="18"/>
  <c r="G254" i="18"/>
  <c r="F254" i="18"/>
  <c r="E254" i="18"/>
  <c r="I253" i="18"/>
  <c r="G253" i="18"/>
  <c r="F253" i="18"/>
  <c r="E253" i="18"/>
  <c r="I252" i="18"/>
  <c r="G252" i="18"/>
  <c r="F252" i="18"/>
  <c r="E252" i="18"/>
  <c r="I251" i="18"/>
  <c r="G251" i="18"/>
  <c r="F251" i="18"/>
  <c r="E251" i="18"/>
  <c r="I250" i="18"/>
  <c r="G250" i="18"/>
  <c r="F250" i="18"/>
  <c r="E250" i="18"/>
  <c r="I249" i="18"/>
  <c r="G249" i="18"/>
  <c r="F249" i="18"/>
  <c r="E249" i="18"/>
  <c r="I248" i="18"/>
  <c r="G248" i="18"/>
  <c r="F248" i="18"/>
  <c r="E248" i="18"/>
  <c r="I247" i="18"/>
  <c r="G247" i="18"/>
  <c r="F247" i="18"/>
  <c r="E247" i="18"/>
  <c r="I246" i="18"/>
  <c r="G246" i="18"/>
  <c r="F246" i="18"/>
  <c r="E246" i="18"/>
  <c r="I245" i="18"/>
  <c r="G245" i="18"/>
  <c r="F245" i="18"/>
  <c r="E245" i="18"/>
  <c r="I244" i="18"/>
  <c r="G244" i="18"/>
  <c r="F244" i="18"/>
  <c r="E244" i="18"/>
  <c r="I243" i="18"/>
  <c r="G243" i="18"/>
  <c r="F243" i="18"/>
  <c r="E243" i="18"/>
  <c r="I242" i="18"/>
  <c r="G242" i="18"/>
  <c r="F242" i="18"/>
  <c r="E242" i="18"/>
  <c r="I241" i="18"/>
  <c r="G241" i="18"/>
  <c r="F241" i="18"/>
  <c r="G144" i="15"/>
  <c r="E241" i="18"/>
  <c r="I240" i="18"/>
  <c r="G240" i="18"/>
  <c r="F240" i="18"/>
  <c r="G110" i="15"/>
  <c r="E240" i="18"/>
  <c r="I239" i="18"/>
  <c r="G239" i="18"/>
  <c r="F239" i="18"/>
  <c r="G18" i="15"/>
  <c r="E239" i="18"/>
  <c r="I238" i="18"/>
  <c r="G238" i="18"/>
  <c r="F238" i="18"/>
  <c r="G178" i="15"/>
  <c r="E238" i="18"/>
  <c r="I237" i="18"/>
  <c r="G237" i="18"/>
  <c r="F237" i="18"/>
  <c r="G126" i="15"/>
  <c r="E237" i="18"/>
  <c r="I236" i="18"/>
  <c r="G236" i="18"/>
  <c r="F236" i="18"/>
  <c r="G140" i="15"/>
  <c r="E236" i="18"/>
  <c r="I235" i="18"/>
  <c r="G235" i="18"/>
  <c r="F235" i="18"/>
  <c r="G136" i="15"/>
  <c r="E235" i="18"/>
  <c r="I234" i="18"/>
  <c r="G234" i="18"/>
  <c r="F234" i="18"/>
  <c r="G128" i="15"/>
  <c r="E234" i="18"/>
  <c r="I233" i="18"/>
  <c r="G233" i="18"/>
  <c r="F233" i="18"/>
  <c r="G156" i="15"/>
  <c r="E233" i="18"/>
  <c r="I232" i="18"/>
  <c r="G232" i="18"/>
  <c r="F232" i="18"/>
  <c r="G81" i="15"/>
  <c r="E232" i="18"/>
  <c r="I231" i="18"/>
  <c r="G231" i="18"/>
  <c r="F231" i="18"/>
  <c r="G36" i="15"/>
  <c r="E231" i="18"/>
  <c r="I230" i="18"/>
  <c r="G230" i="18"/>
  <c r="F230" i="18"/>
  <c r="G111" i="15"/>
  <c r="E230" i="18"/>
  <c r="I229" i="18"/>
  <c r="G229" i="18"/>
  <c r="F229" i="18"/>
  <c r="G56" i="15"/>
  <c r="E229" i="18"/>
  <c r="I228" i="18"/>
  <c r="G228" i="18"/>
  <c r="F228" i="18"/>
  <c r="G60" i="15"/>
  <c r="E228" i="18"/>
  <c r="I227" i="18"/>
  <c r="G227" i="18"/>
  <c r="F227" i="18"/>
  <c r="G139" i="15"/>
  <c r="E227" i="18"/>
  <c r="I226" i="18"/>
  <c r="G226" i="18"/>
  <c r="F226" i="18"/>
  <c r="G118" i="15"/>
  <c r="E226" i="18"/>
  <c r="I225" i="18"/>
  <c r="G225" i="18"/>
  <c r="F225" i="18"/>
  <c r="G124" i="15"/>
  <c r="E225" i="18"/>
  <c r="I224" i="18"/>
  <c r="G224" i="18"/>
  <c r="F224" i="18"/>
  <c r="G132" i="15"/>
  <c r="E224" i="18"/>
  <c r="I223" i="18"/>
  <c r="G223" i="18"/>
  <c r="F223" i="18"/>
  <c r="G143" i="15"/>
  <c r="E223" i="18"/>
  <c r="I222" i="18"/>
  <c r="G222" i="18"/>
  <c r="F222" i="18"/>
  <c r="G116" i="15"/>
  <c r="E222" i="18"/>
  <c r="I221" i="18"/>
  <c r="G221" i="18"/>
  <c r="F221" i="18"/>
  <c r="G45" i="15"/>
  <c r="E221" i="18"/>
  <c r="I220" i="18"/>
  <c r="G220" i="18"/>
  <c r="F220" i="18"/>
  <c r="E220" i="18"/>
  <c r="I219" i="18"/>
  <c r="G219" i="18"/>
  <c r="F219" i="18"/>
  <c r="G150" i="15"/>
  <c r="E219" i="18"/>
  <c r="I218" i="18"/>
  <c r="G218" i="18"/>
  <c r="F218" i="18"/>
  <c r="G177" i="15"/>
  <c r="E218" i="18"/>
  <c r="I217" i="18"/>
  <c r="G217" i="18"/>
  <c r="F217" i="18"/>
  <c r="G176" i="15"/>
  <c r="E217" i="18"/>
  <c r="I216" i="18"/>
  <c r="G216" i="18"/>
  <c r="F216" i="18"/>
  <c r="G43" i="15"/>
  <c r="E216" i="18"/>
  <c r="I215" i="18"/>
  <c r="G215" i="18"/>
  <c r="F215" i="18"/>
  <c r="G158" i="15"/>
  <c r="E215" i="18"/>
  <c r="I214" i="18"/>
  <c r="G214" i="18"/>
  <c r="F214" i="18"/>
  <c r="G173" i="15"/>
  <c r="E214" i="18"/>
  <c r="I213" i="18"/>
  <c r="G213" i="18"/>
  <c r="F213" i="18"/>
  <c r="G167" i="15"/>
  <c r="E213" i="18"/>
  <c r="I212" i="18"/>
  <c r="G212" i="18"/>
  <c r="F212" i="18"/>
  <c r="G171" i="15"/>
  <c r="E212" i="18"/>
  <c r="I211" i="18"/>
  <c r="G211" i="18"/>
  <c r="F211" i="18"/>
  <c r="G104" i="15"/>
  <c r="E211" i="18"/>
  <c r="I210" i="18"/>
  <c r="G210" i="18"/>
  <c r="F210" i="18"/>
  <c r="G170" i="15"/>
  <c r="E210" i="18"/>
  <c r="I209" i="18"/>
  <c r="G209" i="18"/>
  <c r="F209" i="18"/>
  <c r="G168" i="15"/>
  <c r="E209" i="18"/>
  <c r="I208" i="18"/>
  <c r="G208" i="18"/>
  <c r="F208" i="18"/>
  <c r="G169" i="15"/>
  <c r="E208" i="18"/>
  <c r="I207" i="18"/>
  <c r="G207" i="18"/>
  <c r="F207" i="18"/>
  <c r="G162" i="15"/>
  <c r="E207" i="18"/>
  <c r="I206" i="18"/>
  <c r="G206" i="18"/>
  <c r="F206" i="18"/>
  <c r="E206" i="18"/>
  <c r="I205" i="18"/>
  <c r="G205" i="18"/>
  <c r="F205" i="18"/>
  <c r="E205" i="18"/>
  <c r="I204" i="18"/>
  <c r="G204" i="18"/>
  <c r="F204" i="18"/>
  <c r="G77" i="15"/>
  <c r="E204" i="18"/>
  <c r="I203" i="18"/>
  <c r="G203" i="18"/>
  <c r="F203" i="18"/>
  <c r="G127" i="15"/>
  <c r="E203" i="18"/>
  <c r="I202" i="18"/>
  <c r="G202" i="18"/>
  <c r="F202" i="18"/>
  <c r="E202" i="18"/>
  <c r="I201" i="18"/>
  <c r="G201" i="18"/>
  <c r="F201" i="18"/>
  <c r="E201" i="18"/>
  <c r="I200" i="18"/>
  <c r="G200" i="18"/>
  <c r="F200" i="18"/>
  <c r="G141" i="15"/>
  <c r="E200" i="18"/>
  <c r="I199" i="18"/>
  <c r="G199" i="18"/>
  <c r="F199" i="18"/>
  <c r="G120" i="15"/>
  <c r="E199" i="18"/>
  <c r="I198" i="18"/>
  <c r="G198" i="18"/>
  <c r="F198" i="18"/>
  <c r="E198" i="18"/>
  <c r="I197" i="18"/>
  <c r="G197" i="18"/>
  <c r="F197" i="18"/>
  <c r="G115" i="15"/>
  <c r="E197" i="18"/>
  <c r="I196" i="18"/>
  <c r="G196" i="18"/>
  <c r="F196" i="18"/>
  <c r="E196" i="18"/>
  <c r="I195" i="18"/>
  <c r="G195" i="18"/>
  <c r="F195" i="18"/>
  <c r="G40" i="15"/>
  <c r="E195" i="18"/>
  <c r="I194" i="18"/>
  <c r="G194" i="18"/>
  <c r="F194" i="18"/>
  <c r="G123" i="15"/>
  <c r="E194" i="18"/>
  <c r="I193" i="18"/>
  <c r="G193" i="18"/>
  <c r="F193" i="18"/>
  <c r="E193" i="18"/>
  <c r="I192" i="18"/>
  <c r="G192" i="18"/>
  <c r="F192" i="18"/>
  <c r="G148" i="15"/>
  <c r="E192" i="18"/>
  <c r="I191" i="18"/>
  <c r="G191" i="18"/>
  <c r="F191" i="18"/>
  <c r="E191" i="18"/>
  <c r="I190" i="18"/>
  <c r="G190" i="18"/>
  <c r="F190" i="18"/>
  <c r="G7" i="15"/>
  <c r="E190" i="18"/>
  <c r="I189" i="18"/>
  <c r="G189" i="18"/>
  <c r="F189" i="18"/>
  <c r="E189" i="18"/>
  <c r="I188" i="18"/>
  <c r="G188" i="18"/>
  <c r="F188" i="18"/>
  <c r="G49" i="15"/>
  <c r="E188" i="18"/>
  <c r="I187" i="18"/>
  <c r="G187" i="18"/>
  <c r="F187" i="18"/>
  <c r="G44" i="15"/>
  <c r="E187" i="18"/>
  <c r="I186" i="18"/>
  <c r="G186" i="18"/>
  <c r="F186" i="18"/>
  <c r="E186" i="18"/>
  <c r="I185" i="18"/>
  <c r="G185" i="18"/>
  <c r="F185" i="18"/>
  <c r="E185" i="18"/>
  <c r="I184" i="18"/>
  <c r="G184" i="18"/>
  <c r="F184" i="18"/>
  <c r="E184" i="18"/>
  <c r="I183" i="18"/>
  <c r="G183" i="18"/>
  <c r="F183" i="18"/>
  <c r="G146" i="15"/>
  <c r="E183" i="18"/>
  <c r="I182" i="18"/>
  <c r="G182" i="18"/>
  <c r="F182" i="18"/>
  <c r="G142" i="15"/>
  <c r="E182" i="18"/>
  <c r="I181" i="18"/>
  <c r="G181" i="18"/>
  <c r="F181" i="18"/>
  <c r="E181" i="18"/>
  <c r="I180" i="18"/>
  <c r="G180" i="18"/>
  <c r="F180" i="18"/>
  <c r="E180" i="18"/>
  <c r="I179" i="18"/>
  <c r="G179" i="18"/>
  <c r="F179" i="18"/>
  <c r="E179" i="18"/>
  <c r="I178" i="18"/>
  <c r="G178" i="18"/>
  <c r="F178" i="18"/>
  <c r="G109" i="15"/>
  <c r="E178" i="18"/>
  <c r="I177" i="18"/>
  <c r="G177" i="18"/>
  <c r="F177" i="18"/>
  <c r="E177" i="18"/>
  <c r="I176" i="18"/>
  <c r="G176" i="18"/>
  <c r="F176" i="18"/>
  <c r="E176" i="18"/>
  <c r="I175" i="18"/>
  <c r="G175" i="18"/>
  <c r="F175" i="18"/>
  <c r="E175" i="18"/>
  <c r="I174" i="18"/>
  <c r="G174" i="18"/>
  <c r="F174" i="18"/>
  <c r="G74" i="15"/>
  <c r="E174" i="18"/>
  <c r="I173" i="18"/>
  <c r="G173" i="18"/>
  <c r="F173" i="18"/>
  <c r="G80" i="15"/>
  <c r="E173" i="18"/>
  <c r="I172" i="18"/>
  <c r="G172" i="18"/>
  <c r="F172" i="18"/>
  <c r="G106" i="15"/>
  <c r="E172" i="18"/>
  <c r="I171" i="18"/>
  <c r="G171" i="18"/>
  <c r="F171" i="18"/>
  <c r="E171" i="18"/>
  <c r="I170" i="18"/>
  <c r="G170" i="18"/>
  <c r="F170" i="18"/>
  <c r="E170" i="18"/>
  <c r="I169" i="18"/>
  <c r="G169" i="18"/>
  <c r="F169" i="18"/>
  <c r="G27" i="15"/>
  <c r="E169" i="18"/>
  <c r="I168" i="18"/>
  <c r="G168" i="18"/>
  <c r="F168" i="18"/>
  <c r="E168" i="18"/>
  <c r="I167" i="18"/>
  <c r="G167" i="18"/>
  <c r="F167" i="18"/>
  <c r="E167" i="18"/>
  <c r="I166" i="18"/>
  <c r="G166" i="18"/>
  <c r="F166" i="18"/>
  <c r="G129" i="15"/>
  <c r="E166" i="18"/>
  <c r="I165" i="18"/>
  <c r="G165" i="18"/>
  <c r="F165" i="18"/>
  <c r="E165" i="18"/>
  <c r="I164" i="18"/>
  <c r="G164" i="18"/>
  <c r="F164" i="18"/>
  <c r="G138" i="15"/>
  <c r="E164" i="18"/>
  <c r="I163" i="18"/>
  <c r="G163" i="18"/>
  <c r="F163" i="18"/>
  <c r="E163" i="18"/>
  <c r="I162" i="18"/>
  <c r="G162" i="18"/>
  <c r="F162" i="18"/>
  <c r="G119" i="15"/>
  <c r="E162" i="18"/>
  <c r="I161" i="18"/>
  <c r="G161" i="18"/>
  <c r="F161" i="18"/>
  <c r="E161" i="18"/>
  <c r="I160" i="18"/>
  <c r="G160" i="18"/>
  <c r="F160" i="18"/>
  <c r="G131" i="15"/>
  <c r="E160" i="18"/>
  <c r="I159" i="18"/>
  <c r="G159" i="18"/>
  <c r="F159" i="18"/>
  <c r="E159" i="18"/>
  <c r="I158" i="18"/>
  <c r="G158" i="18"/>
  <c r="F158" i="18"/>
  <c r="G135" i="15"/>
  <c r="E158" i="18"/>
  <c r="I157" i="18"/>
  <c r="G157" i="18"/>
  <c r="F157" i="18"/>
  <c r="E157" i="18"/>
  <c r="I156" i="18"/>
  <c r="G156" i="18"/>
  <c r="F156" i="18"/>
  <c r="E156" i="18"/>
  <c r="I155" i="18"/>
  <c r="G155" i="18"/>
  <c r="F155" i="18"/>
  <c r="G134" i="15"/>
  <c r="E155" i="18"/>
  <c r="I154" i="18"/>
  <c r="G154" i="18"/>
  <c r="F154" i="18"/>
  <c r="G133" i="15"/>
  <c r="E154" i="18"/>
  <c r="I153" i="18"/>
  <c r="G153" i="18"/>
  <c r="F153" i="18"/>
  <c r="E153" i="18"/>
  <c r="I152" i="18"/>
  <c r="G152" i="18"/>
  <c r="F152" i="18"/>
  <c r="E152" i="18"/>
  <c r="I151" i="18"/>
  <c r="G151" i="18"/>
  <c r="F151" i="18"/>
  <c r="E151" i="18"/>
  <c r="I150" i="18"/>
  <c r="G150" i="18"/>
  <c r="F150" i="18"/>
  <c r="G73" i="15"/>
  <c r="E150" i="18"/>
  <c r="I149" i="18"/>
  <c r="G149" i="18"/>
  <c r="F149" i="18"/>
  <c r="E149" i="18"/>
  <c r="I148" i="18"/>
  <c r="G148" i="18"/>
  <c r="F148" i="18"/>
  <c r="G75" i="15"/>
  <c r="E148" i="18"/>
  <c r="I147" i="18"/>
  <c r="G147" i="18"/>
  <c r="F147" i="18"/>
  <c r="E147" i="18"/>
  <c r="I146" i="18"/>
  <c r="G146" i="18"/>
  <c r="F146" i="18"/>
  <c r="G125" i="15"/>
  <c r="E146" i="18"/>
  <c r="I145" i="18"/>
  <c r="G145" i="18"/>
  <c r="F145" i="18"/>
  <c r="E145" i="18"/>
  <c r="I144" i="18"/>
  <c r="G144" i="18"/>
  <c r="F144" i="18"/>
  <c r="G117" i="15"/>
  <c r="E144" i="18"/>
  <c r="I143" i="18"/>
  <c r="G143" i="18"/>
  <c r="F143" i="18"/>
  <c r="E143" i="18"/>
  <c r="I142" i="18"/>
  <c r="G142" i="18"/>
  <c r="F142" i="18"/>
  <c r="G122" i="15"/>
  <c r="E142" i="18"/>
  <c r="I141" i="18"/>
  <c r="G141" i="18"/>
  <c r="F141" i="18"/>
  <c r="E141" i="18"/>
  <c r="I140" i="18"/>
  <c r="G140" i="18"/>
  <c r="F140" i="18"/>
  <c r="E140" i="18"/>
  <c r="I139" i="18"/>
  <c r="G139" i="18"/>
  <c r="F139" i="18"/>
  <c r="E139" i="18"/>
  <c r="I138" i="18"/>
  <c r="G138" i="18"/>
  <c r="F138" i="18"/>
  <c r="E138" i="18"/>
  <c r="I137" i="18"/>
  <c r="G137" i="18"/>
  <c r="F137" i="18"/>
  <c r="G121" i="15"/>
  <c r="E137" i="18"/>
  <c r="I136" i="18"/>
  <c r="G136" i="18"/>
  <c r="F136" i="18"/>
  <c r="E136" i="18"/>
  <c r="I135" i="18"/>
  <c r="G135" i="18"/>
  <c r="F135" i="18"/>
  <c r="G113" i="15"/>
  <c r="E135" i="18"/>
  <c r="I134" i="18"/>
  <c r="G134" i="18"/>
  <c r="F134" i="18"/>
  <c r="E134" i="18"/>
  <c r="I133" i="18"/>
  <c r="G133" i="18"/>
  <c r="F133" i="18"/>
  <c r="E133" i="18"/>
  <c r="I132" i="18"/>
  <c r="G132" i="18"/>
  <c r="F132" i="18"/>
  <c r="E132" i="18"/>
  <c r="I131" i="18"/>
  <c r="G131" i="18"/>
  <c r="F131" i="18"/>
  <c r="G64" i="15"/>
  <c r="E131" i="18"/>
  <c r="I130" i="18"/>
  <c r="G130" i="18"/>
  <c r="F130" i="18"/>
  <c r="E130" i="18"/>
  <c r="I129" i="18"/>
  <c r="G129" i="18"/>
  <c r="F129" i="18"/>
  <c r="G94" i="15"/>
  <c r="E129" i="18"/>
  <c r="I128" i="18"/>
  <c r="G128" i="18"/>
  <c r="F128" i="18"/>
  <c r="G72" i="15"/>
  <c r="E128" i="18"/>
  <c r="I127" i="18"/>
  <c r="G127" i="18"/>
  <c r="F127" i="18"/>
  <c r="E127" i="18"/>
  <c r="I126" i="18"/>
  <c r="G126" i="18"/>
  <c r="F126" i="18"/>
  <c r="E126" i="18"/>
  <c r="I125" i="18"/>
  <c r="G125" i="18"/>
  <c r="F125" i="18"/>
  <c r="E125" i="18"/>
  <c r="I124" i="18"/>
  <c r="G124" i="18"/>
  <c r="F124" i="18"/>
  <c r="G105" i="15"/>
  <c r="E124" i="18"/>
  <c r="I123" i="18"/>
  <c r="G123" i="18"/>
  <c r="F123" i="18"/>
  <c r="G67" i="15"/>
  <c r="E123" i="18"/>
  <c r="I122" i="18"/>
  <c r="G122" i="18"/>
  <c r="F122" i="18"/>
  <c r="E122" i="18"/>
  <c r="I121" i="18"/>
  <c r="G121" i="18"/>
  <c r="F121" i="18"/>
  <c r="E121" i="18"/>
  <c r="I120" i="18"/>
  <c r="G120" i="18"/>
  <c r="F120" i="18"/>
  <c r="E120" i="18"/>
  <c r="I119" i="18"/>
  <c r="G119" i="18"/>
  <c r="F119" i="18"/>
  <c r="G51" i="15"/>
  <c r="E119" i="18"/>
  <c r="I118" i="18"/>
  <c r="G118" i="18"/>
  <c r="F118" i="18"/>
  <c r="E118" i="18"/>
  <c r="I117" i="18"/>
  <c r="G117" i="18"/>
  <c r="F117" i="18"/>
  <c r="G98" i="15"/>
  <c r="E117" i="18"/>
  <c r="I116" i="18"/>
  <c r="G116" i="18"/>
  <c r="F116" i="18"/>
  <c r="G35" i="15"/>
  <c r="E116" i="18"/>
  <c r="I115" i="18"/>
  <c r="G115" i="18"/>
  <c r="F115" i="18"/>
  <c r="G34" i="15"/>
  <c r="E115" i="18"/>
  <c r="I114" i="18"/>
  <c r="G114" i="18"/>
  <c r="F114" i="18"/>
  <c r="E114" i="18"/>
  <c r="I113" i="18"/>
  <c r="G113" i="18"/>
  <c r="F113" i="18"/>
  <c r="E113" i="18"/>
  <c r="I112" i="18"/>
  <c r="G112" i="18"/>
  <c r="F112" i="18"/>
  <c r="G108" i="15"/>
  <c r="E112" i="18"/>
  <c r="I111" i="18"/>
  <c r="G111" i="18"/>
  <c r="F111" i="18"/>
  <c r="G33" i="15"/>
  <c r="E111" i="18"/>
  <c r="I110" i="18"/>
  <c r="G110" i="18"/>
  <c r="F110" i="18"/>
  <c r="G32" i="15"/>
  <c r="E110" i="18"/>
  <c r="I109" i="18"/>
  <c r="G109" i="18"/>
  <c r="F109" i="18"/>
  <c r="G31" i="15"/>
  <c r="E109" i="18"/>
  <c r="I108" i="18"/>
  <c r="G108" i="18"/>
  <c r="F108" i="18"/>
  <c r="G30" i="15"/>
  <c r="E108" i="18"/>
  <c r="I107" i="18"/>
  <c r="G107" i="18"/>
  <c r="F107" i="18"/>
  <c r="E107" i="18"/>
  <c r="I106" i="18"/>
  <c r="G106" i="18"/>
  <c r="F106" i="18"/>
  <c r="E106" i="18"/>
  <c r="I105" i="18"/>
  <c r="G105" i="18"/>
  <c r="F105" i="18"/>
  <c r="E105" i="18"/>
  <c r="I104" i="18"/>
  <c r="G104" i="18"/>
  <c r="F104" i="18"/>
  <c r="E104" i="18"/>
  <c r="I103" i="18"/>
  <c r="G103" i="18"/>
  <c r="F103" i="18"/>
  <c r="E103" i="18"/>
  <c r="I102" i="18"/>
  <c r="G102" i="18"/>
  <c r="F102" i="18"/>
  <c r="E102" i="18"/>
  <c r="I101" i="18"/>
  <c r="G101" i="18"/>
  <c r="F101" i="18"/>
  <c r="G41" i="15"/>
  <c r="E101" i="18"/>
  <c r="I100" i="18"/>
  <c r="G100" i="18"/>
  <c r="F100" i="18"/>
  <c r="E100" i="18"/>
  <c r="I99" i="18"/>
  <c r="G99" i="18"/>
  <c r="F99" i="18"/>
  <c r="G29" i="15"/>
  <c r="E99" i="18"/>
  <c r="I98" i="18"/>
  <c r="G98" i="18"/>
  <c r="F98" i="18"/>
  <c r="E98" i="18"/>
  <c r="I97" i="18"/>
  <c r="G97" i="18"/>
  <c r="F97" i="18"/>
  <c r="G91" i="15"/>
  <c r="E97" i="18"/>
  <c r="I96" i="18"/>
  <c r="G96" i="18"/>
  <c r="F96" i="18"/>
  <c r="G28" i="15"/>
  <c r="E96" i="18"/>
  <c r="I95" i="18"/>
  <c r="G95" i="18"/>
  <c r="F95" i="18"/>
  <c r="E95" i="18"/>
  <c r="I94" i="18"/>
  <c r="G94" i="18"/>
  <c r="F94" i="18"/>
  <c r="G96" i="15"/>
  <c r="E94" i="18"/>
  <c r="I93" i="18"/>
  <c r="G93" i="18"/>
  <c r="F93" i="18"/>
  <c r="G39" i="15"/>
  <c r="E93" i="18"/>
  <c r="I92" i="18"/>
  <c r="G92" i="18"/>
  <c r="F92" i="18"/>
  <c r="E92" i="18"/>
  <c r="I91" i="18"/>
  <c r="G91" i="18"/>
  <c r="F91" i="18"/>
  <c r="E91" i="18"/>
  <c r="I90" i="18"/>
  <c r="G90" i="18"/>
  <c r="F90" i="18"/>
  <c r="E90" i="18"/>
  <c r="I89" i="18"/>
  <c r="G89" i="18"/>
  <c r="F89" i="18"/>
  <c r="E89" i="18"/>
  <c r="I88" i="18"/>
  <c r="G88" i="18"/>
  <c r="F88" i="18"/>
  <c r="G103" i="15"/>
  <c r="E88" i="18"/>
  <c r="I87" i="18"/>
  <c r="G87" i="18"/>
  <c r="F87" i="18"/>
  <c r="G54" i="15"/>
  <c r="E87" i="18"/>
  <c r="I86" i="18"/>
  <c r="G86" i="18"/>
  <c r="F86" i="18"/>
  <c r="G47" i="15"/>
  <c r="E86" i="18"/>
  <c r="I85" i="18"/>
  <c r="G85" i="18"/>
  <c r="F85" i="18"/>
  <c r="E85" i="18"/>
  <c r="I84" i="18"/>
  <c r="G84" i="18"/>
  <c r="F84" i="18"/>
  <c r="G100" i="15"/>
  <c r="E84" i="18"/>
  <c r="I83" i="18"/>
  <c r="G83" i="18"/>
  <c r="F83" i="18"/>
  <c r="G102" i="15"/>
  <c r="E83" i="18"/>
  <c r="I82" i="18"/>
  <c r="G82" i="18"/>
  <c r="F82" i="18"/>
  <c r="E82" i="18"/>
  <c r="I81" i="18"/>
  <c r="G81" i="18"/>
  <c r="F81" i="18"/>
  <c r="G92" i="15"/>
  <c r="E81" i="18"/>
  <c r="I80" i="18"/>
  <c r="G80" i="18"/>
  <c r="F80" i="18"/>
  <c r="E80" i="18"/>
  <c r="I79" i="18"/>
  <c r="G79" i="18"/>
  <c r="F79" i="18"/>
  <c r="E79" i="18"/>
  <c r="I78" i="18"/>
  <c r="G78" i="18"/>
  <c r="F78" i="18"/>
  <c r="G97" i="15"/>
  <c r="E78" i="18"/>
  <c r="I77" i="18"/>
  <c r="G77" i="18"/>
  <c r="F77" i="18"/>
  <c r="G95" i="15"/>
  <c r="E77" i="18"/>
  <c r="I76" i="18"/>
  <c r="G76" i="18"/>
  <c r="F76" i="18"/>
  <c r="G93" i="15"/>
  <c r="E76" i="18"/>
  <c r="I75" i="18"/>
  <c r="G75" i="18"/>
  <c r="F75" i="18"/>
  <c r="G84" i="15"/>
  <c r="E75" i="18"/>
  <c r="I74" i="18"/>
  <c r="G74" i="18"/>
  <c r="F74" i="18"/>
  <c r="G90" i="15"/>
  <c r="E74" i="18"/>
  <c r="I73" i="18"/>
  <c r="G73" i="18"/>
  <c r="F73" i="18"/>
  <c r="G89" i="15"/>
  <c r="E73" i="18"/>
  <c r="I72" i="18"/>
  <c r="G72" i="18"/>
  <c r="F72" i="18"/>
  <c r="G37" i="15"/>
  <c r="E72" i="18"/>
  <c r="I71" i="18"/>
  <c r="G71" i="18"/>
  <c r="F71" i="18"/>
  <c r="G88" i="15"/>
  <c r="E71" i="18"/>
  <c r="I70" i="18"/>
  <c r="G70" i="18"/>
  <c r="F70" i="18"/>
  <c r="G86" i="15"/>
  <c r="E70" i="18"/>
  <c r="I69" i="18"/>
  <c r="G69" i="18"/>
  <c r="F69" i="18"/>
  <c r="G87" i="15"/>
  <c r="E69" i="18"/>
  <c r="I68" i="18"/>
  <c r="G68" i="18"/>
  <c r="F68" i="18"/>
  <c r="G46" i="15"/>
  <c r="E68" i="18"/>
  <c r="I67" i="18"/>
  <c r="G67" i="18"/>
  <c r="F67" i="18"/>
  <c r="E67" i="18"/>
  <c r="I66" i="18"/>
  <c r="G66" i="18"/>
  <c r="F66" i="18"/>
  <c r="G85" i="15"/>
  <c r="E66" i="18"/>
  <c r="I65" i="18"/>
  <c r="G65" i="18"/>
  <c r="F65" i="18"/>
  <c r="G38" i="15"/>
  <c r="E65" i="18"/>
  <c r="I64" i="18"/>
  <c r="G64" i="18"/>
  <c r="F64" i="18"/>
  <c r="E64" i="18"/>
  <c r="I63" i="18"/>
  <c r="G63" i="18"/>
  <c r="F63" i="18"/>
  <c r="G26" i="15"/>
  <c r="E63" i="18"/>
  <c r="I62" i="18"/>
  <c r="G62" i="18"/>
  <c r="F62" i="18"/>
  <c r="G83" i="15"/>
  <c r="E62" i="18"/>
  <c r="I61" i="18"/>
  <c r="G61" i="18"/>
  <c r="F61" i="18"/>
  <c r="G82" i="15"/>
  <c r="E61" i="18"/>
  <c r="I60" i="18"/>
  <c r="G60" i="18"/>
  <c r="F60" i="18"/>
  <c r="G79" i="15"/>
  <c r="E60" i="18"/>
  <c r="I59" i="18"/>
  <c r="G59" i="18"/>
  <c r="F59" i="18"/>
  <c r="G78" i="15"/>
  <c r="E59" i="18"/>
  <c r="I58" i="18"/>
  <c r="G58" i="18"/>
  <c r="F58" i="18"/>
  <c r="E58" i="18"/>
  <c r="I57" i="18"/>
  <c r="G57" i="18"/>
  <c r="F57" i="18"/>
  <c r="G71" i="15"/>
  <c r="E57" i="18"/>
  <c r="I56" i="18"/>
  <c r="G56" i="18"/>
  <c r="F56" i="18"/>
  <c r="G69" i="15"/>
  <c r="E56" i="18"/>
  <c r="I55" i="18"/>
  <c r="G55" i="18"/>
  <c r="F55" i="18"/>
  <c r="G70" i="15"/>
  <c r="E55" i="18"/>
  <c r="I54" i="18"/>
  <c r="G54" i="18"/>
  <c r="F54" i="18"/>
  <c r="G53" i="15"/>
  <c r="E54" i="18"/>
  <c r="I53" i="18"/>
  <c r="G53" i="18"/>
  <c r="F53" i="18"/>
  <c r="E53" i="18"/>
  <c r="I52" i="18"/>
  <c r="G52" i="18"/>
  <c r="F52" i="18"/>
  <c r="G68" i="15"/>
  <c r="E52" i="18"/>
  <c r="I51" i="18"/>
  <c r="G51" i="18"/>
  <c r="F51" i="18"/>
  <c r="G66" i="15"/>
  <c r="E51" i="18"/>
  <c r="I50" i="18"/>
  <c r="G50" i="18"/>
  <c r="F50" i="18"/>
  <c r="G65" i="15"/>
  <c r="E50" i="18"/>
  <c r="I49" i="18"/>
  <c r="G49" i="18"/>
  <c r="F49" i="18"/>
  <c r="G63" i="15"/>
  <c r="E49" i="18"/>
  <c r="I48" i="18"/>
  <c r="G48" i="18"/>
  <c r="F48" i="18"/>
  <c r="G61" i="15"/>
  <c r="E48" i="18"/>
  <c r="I47" i="18"/>
  <c r="G47" i="18"/>
  <c r="F47" i="18"/>
  <c r="E47" i="18"/>
  <c r="I46" i="18"/>
  <c r="G46" i="18"/>
  <c r="F46" i="18"/>
  <c r="G52" i="15"/>
  <c r="E46" i="18"/>
  <c r="I45" i="18"/>
  <c r="G45" i="18"/>
  <c r="F45" i="18"/>
  <c r="E45" i="18"/>
  <c r="I44" i="18"/>
  <c r="G44" i="18"/>
  <c r="F44" i="18"/>
  <c r="G58" i="15"/>
  <c r="E44" i="18"/>
  <c r="I43" i="18"/>
  <c r="G43" i="18"/>
  <c r="F43" i="18"/>
  <c r="G57" i="15"/>
  <c r="E43" i="18"/>
  <c r="I42" i="18"/>
  <c r="G42" i="18"/>
  <c r="F42" i="18"/>
  <c r="G42" i="15"/>
  <c r="E42" i="18"/>
  <c r="I41" i="18"/>
  <c r="G41" i="18"/>
  <c r="F41" i="18"/>
  <c r="E41" i="18"/>
  <c r="I40" i="18"/>
  <c r="G40" i="18"/>
  <c r="F40" i="18"/>
  <c r="G55" i="15"/>
  <c r="E40" i="18"/>
  <c r="I39" i="18"/>
  <c r="G39" i="18"/>
  <c r="F39" i="18"/>
  <c r="G48" i="15"/>
  <c r="E39" i="18"/>
  <c r="I38" i="18"/>
  <c r="G38" i="18"/>
  <c r="F38" i="18"/>
  <c r="G50" i="15"/>
  <c r="E38" i="18"/>
  <c r="I37" i="18"/>
  <c r="G37" i="18"/>
  <c r="F37" i="18"/>
  <c r="E37" i="18"/>
  <c r="I36" i="18"/>
  <c r="G36" i="18"/>
  <c r="F36" i="18"/>
  <c r="E36" i="18"/>
  <c r="I35" i="18"/>
  <c r="G35" i="18"/>
  <c r="F35" i="18"/>
  <c r="E35" i="18"/>
  <c r="I34" i="18"/>
  <c r="G34" i="18"/>
  <c r="F34" i="18"/>
  <c r="E34" i="18"/>
  <c r="I33" i="18"/>
  <c r="G33" i="18"/>
  <c r="F33" i="18"/>
  <c r="E33" i="18"/>
  <c r="I32" i="18"/>
  <c r="G32" i="18"/>
  <c r="F32" i="18"/>
  <c r="E32" i="18"/>
  <c r="I31" i="18"/>
  <c r="G31" i="18"/>
  <c r="F31" i="18"/>
  <c r="E31" i="18"/>
  <c r="I30" i="18"/>
  <c r="G30" i="18"/>
  <c r="F30" i="18"/>
  <c r="E30" i="18"/>
  <c r="I29" i="18"/>
  <c r="G29" i="18"/>
  <c r="F29" i="18"/>
  <c r="E29" i="18"/>
  <c r="I28" i="18"/>
  <c r="G28" i="18"/>
  <c r="F28" i="18"/>
  <c r="E28" i="18"/>
  <c r="I27" i="18"/>
  <c r="G27" i="18"/>
  <c r="F27" i="18"/>
  <c r="E27" i="18"/>
  <c r="I26" i="18"/>
  <c r="G26" i="18"/>
  <c r="F26" i="18"/>
  <c r="G25" i="15"/>
  <c r="E26" i="18"/>
  <c r="I25" i="18"/>
  <c r="G25" i="18"/>
  <c r="F25" i="18"/>
  <c r="E25" i="18"/>
  <c r="I24" i="18"/>
  <c r="G24" i="18"/>
  <c r="F24" i="18"/>
  <c r="E24" i="18"/>
  <c r="I23" i="18"/>
  <c r="G23" i="18"/>
  <c r="F23" i="18"/>
  <c r="E23" i="18"/>
  <c r="I22" i="18"/>
  <c r="G22" i="18"/>
  <c r="F22" i="18"/>
  <c r="G20" i="15"/>
  <c r="E22" i="18"/>
  <c r="I21" i="18"/>
  <c r="G21" i="18"/>
  <c r="F21" i="18"/>
  <c r="E21" i="18"/>
  <c r="I20" i="18"/>
  <c r="G20" i="18"/>
  <c r="F20" i="18"/>
  <c r="G17" i="15"/>
  <c r="E20" i="18"/>
  <c r="I19" i="18"/>
  <c r="G19" i="18"/>
  <c r="F19" i="18"/>
  <c r="G16" i="15"/>
  <c r="E19" i="18"/>
  <c r="I18" i="18"/>
  <c r="G18" i="18"/>
  <c r="F18" i="18"/>
  <c r="E18" i="18"/>
  <c r="I17" i="18"/>
  <c r="G17" i="18"/>
  <c r="F17" i="18"/>
  <c r="G15" i="15"/>
  <c r="E17" i="18"/>
  <c r="I16" i="18"/>
  <c r="G16" i="18"/>
  <c r="F16" i="18"/>
  <c r="G14" i="15"/>
  <c r="E16" i="18"/>
  <c r="I15" i="18"/>
  <c r="G15" i="18"/>
  <c r="F15" i="18"/>
  <c r="G13" i="15"/>
  <c r="E15" i="18"/>
  <c r="I14" i="18"/>
  <c r="G14" i="18"/>
  <c r="F14" i="18"/>
  <c r="G12" i="15"/>
  <c r="E14" i="18"/>
  <c r="I13" i="18"/>
  <c r="G13" i="18"/>
  <c r="F13" i="18"/>
  <c r="G11" i="15"/>
  <c r="E13" i="18"/>
  <c r="I12" i="18"/>
  <c r="G12" i="18"/>
  <c r="F12" i="18"/>
  <c r="G10" i="15"/>
  <c r="E12" i="18"/>
  <c r="I11" i="18"/>
  <c r="G11" i="18"/>
  <c r="F11" i="18"/>
  <c r="G9" i="15"/>
  <c r="E11" i="18"/>
  <c r="I10" i="18"/>
  <c r="G10" i="18"/>
  <c r="F10" i="18"/>
  <c r="G8" i="15"/>
  <c r="E10" i="18"/>
  <c r="I9" i="18"/>
  <c r="G9" i="18"/>
  <c r="F9" i="18"/>
  <c r="E9" i="18"/>
  <c r="I8" i="18"/>
  <c r="G8" i="18"/>
  <c r="F8" i="18"/>
  <c r="E8" i="18"/>
  <c r="I7" i="18"/>
  <c r="G7" i="18"/>
  <c r="F7" i="18"/>
  <c r="E7" i="18"/>
  <c r="I6" i="18"/>
  <c r="G6" i="18"/>
  <c r="F6" i="18"/>
  <c r="E6" i="18"/>
  <c r="I5" i="18"/>
  <c r="G5" i="18"/>
  <c r="F5" i="18"/>
  <c r="E5" i="18"/>
  <c r="I4" i="18"/>
  <c r="G4" i="18"/>
  <c r="F4" i="18"/>
  <c r="G6" i="15"/>
  <c r="E4" i="18"/>
  <c r="I3" i="18"/>
  <c r="G3" i="18"/>
  <c r="F3" i="18"/>
  <c r="G5" i="15"/>
  <c r="E3" i="18"/>
  <c r="I2" i="18"/>
  <c r="G2" i="18"/>
  <c r="F2" i="18"/>
  <c r="G4" i="15"/>
  <c r="E2" i="18"/>
  <c r="D201" i="18"/>
  <c r="C259" i="18"/>
  <c r="F257" i="18"/>
  <c r="D2"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100" i="18"/>
  <c r="D101" i="18"/>
  <c r="D102" i="18"/>
  <c r="D103" i="18"/>
  <c r="D104" i="18"/>
  <c r="D105" i="18"/>
  <c r="D106" i="18"/>
  <c r="D107" i="18"/>
  <c r="D108" i="18"/>
  <c r="D109" i="18"/>
  <c r="D110" i="18"/>
  <c r="D111" i="18"/>
  <c r="D112" i="18"/>
  <c r="D113" i="18"/>
  <c r="D114" i="18"/>
  <c r="D115" i="18"/>
  <c r="D116" i="18"/>
  <c r="D117" i="18"/>
  <c r="D118" i="18"/>
  <c r="D119" i="18"/>
  <c r="D120" i="18"/>
  <c r="D121" i="18"/>
  <c r="D122" i="18"/>
  <c r="D123" i="18"/>
  <c r="D124" i="18"/>
  <c r="D125" i="18"/>
  <c r="D126" i="18"/>
  <c r="D127" i="18"/>
  <c r="D128" i="18"/>
  <c r="D129" i="18"/>
  <c r="D130" i="18"/>
  <c r="D131" i="18"/>
  <c r="D132" i="18"/>
  <c r="D133" i="18"/>
  <c r="D134" i="18"/>
  <c r="D135" i="18"/>
  <c r="D136" i="18"/>
  <c r="D137" i="18"/>
  <c r="D138" i="18"/>
  <c r="D139" i="18"/>
  <c r="D140" i="18"/>
  <c r="D141" i="18"/>
  <c r="D142" i="18"/>
  <c r="D143" i="18"/>
  <c r="D144" i="18"/>
  <c r="D145" i="18"/>
  <c r="D146" i="18"/>
  <c r="D147" i="18"/>
  <c r="D148" i="18"/>
  <c r="D149" i="18"/>
  <c r="D150" i="18"/>
  <c r="D151" i="18"/>
  <c r="D152" i="18"/>
  <c r="D153" i="18"/>
  <c r="D154" i="18"/>
  <c r="D155" i="18"/>
  <c r="D156" i="18"/>
  <c r="D157" i="18"/>
  <c r="D158" i="18"/>
  <c r="D159" i="18"/>
  <c r="D160" i="18"/>
  <c r="D161" i="18"/>
  <c r="D162" i="18"/>
  <c r="D163" i="18"/>
  <c r="D164" i="18"/>
  <c r="D165" i="18"/>
  <c r="D166" i="18"/>
  <c r="D167" i="18"/>
  <c r="D168" i="18"/>
  <c r="D169" i="18"/>
  <c r="D170" i="18"/>
  <c r="D171" i="18"/>
  <c r="D172" i="18"/>
  <c r="D173" i="18"/>
  <c r="D174" i="18"/>
  <c r="D175" i="18"/>
  <c r="D176" i="18"/>
  <c r="D177" i="18"/>
  <c r="D178" i="18"/>
  <c r="D179" i="18"/>
  <c r="D180" i="18"/>
  <c r="D181" i="18"/>
  <c r="D182" i="18"/>
  <c r="D183" i="18"/>
  <c r="D184" i="18"/>
  <c r="D185" i="18"/>
  <c r="D186" i="18"/>
  <c r="D187" i="18"/>
  <c r="D188" i="18"/>
  <c r="D189" i="18"/>
  <c r="D190" i="18"/>
  <c r="D191" i="18"/>
  <c r="D192" i="18"/>
  <c r="D193" i="18"/>
  <c r="D194" i="18"/>
  <c r="D195" i="18"/>
  <c r="D196" i="18"/>
  <c r="D197" i="18"/>
  <c r="D198" i="18"/>
  <c r="D199" i="18"/>
  <c r="D200" i="18"/>
  <c r="D202" i="18"/>
  <c r="D203" i="18"/>
  <c r="D204" i="18"/>
  <c r="D205" i="18"/>
  <c r="D206" i="18"/>
  <c r="D207" i="18"/>
  <c r="D208" i="18"/>
  <c r="D209" i="18"/>
  <c r="D210" i="18"/>
  <c r="D211" i="18"/>
  <c r="D212" i="18"/>
  <c r="D213" i="18"/>
  <c r="D214" i="18"/>
  <c r="D215" i="18"/>
  <c r="D216" i="18"/>
  <c r="D217" i="18"/>
  <c r="D218" i="18"/>
  <c r="D219" i="18"/>
  <c r="D220" i="18"/>
  <c r="D221" i="18"/>
  <c r="D222" i="18"/>
  <c r="D223" i="18"/>
  <c r="D224" i="18"/>
  <c r="D225" i="18"/>
  <c r="D226" i="18"/>
  <c r="D227" i="18"/>
  <c r="D228" i="18"/>
  <c r="D229" i="18"/>
  <c r="D230" i="18"/>
  <c r="D231" i="18"/>
  <c r="D232" i="18"/>
  <c r="D233" i="18"/>
  <c r="D234" i="18"/>
  <c r="D235" i="18"/>
  <c r="D236" i="18"/>
  <c r="D237" i="18"/>
  <c r="D238" i="18"/>
  <c r="D239" i="18"/>
  <c r="D240" i="18"/>
  <c r="D241" i="18"/>
  <c r="E257" i="18"/>
  <c r="D242" i="18"/>
  <c r="D243" i="18"/>
  <c r="D244" i="18"/>
  <c r="D245" i="18"/>
  <c r="D246" i="18"/>
  <c r="D247" i="18"/>
  <c r="D248" i="18"/>
  <c r="D249" i="18"/>
  <c r="D250" i="18"/>
  <c r="D251" i="18"/>
  <c r="D252" i="18"/>
  <c r="D253" i="18"/>
  <c r="D254" i="18"/>
  <c r="D255" i="18"/>
  <c r="D256" i="18"/>
  <c r="D257" i="18"/>
  <c r="C257" i="18"/>
  <c r="K640" i="17"/>
  <c r="J640" i="17"/>
  <c r="I640" i="17"/>
  <c r="H640" i="17"/>
  <c r="H639" i="17"/>
  <c r="H636" i="17"/>
  <c r="F636" i="17"/>
  <c r="B636" i="17"/>
  <c r="H629" i="17"/>
  <c r="K36" i="15"/>
  <c r="H533" i="17"/>
  <c r="F533" i="17"/>
  <c r="B533" i="17"/>
  <c r="H530" i="17"/>
  <c r="F530" i="17"/>
  <c r="B530" i="17"/>
  <c r="K157" i="15"/>
  <c r="H516" i="17"/>
  <c r="G157" i="15"/>
  <c r="F516" i="17"/>
  <c r="B516" i="17"/>
  <c r="K156" i="15"/>
  <c r="H515" i="17"/>
  <c r="F515" i="17"/>
  <c r="B515" i="17"/>
  <c r="K151" i="15"/>
  <c r="H514" i="17"/>
  <c r="G151" i="15"/>
  <c r="F514" i="17"/>
  <c r="B514" i="17"/>
  <c r="K136" i="15"/>
  <c r="H513" i="17"/>
  <c r="F513" i="17"/>
  <c r="B513" i="17"/>
  <c r="K32" i="15"/>
  <c r="H512" i="17"/>
  <c r="F512" i="17"/>
  <c r="B512" i="17"/>
  <c r="K42" i="15"/>
  <c r="H511" i="17"/>
  <c r="F511" i="17"/>
  <c r="B511" i="17"/>
  <c r="K167" i="15"/>
  <c r="H488" i="17"/>
  <c r="F488" i="17"/>
  <c r="B488" i="17"/>
  <c r="K65" i="15"/>
  <c r="H487" i="17"/>
  <c r="F487" i="17"/>
  <c r="B487" i="17"/>
  <c r="K182" i="15"/>
  <c r="H464" i="17"/>
  <c r="F464" i="17"/>
  <c r="B464" i="17"/>
  <c r="K123" i="15"/>
  <c r="H463" i="17"/>
  <c r="F463" i="17"/>
  <c r="B463" i="17"/>
  <c r="K114" i="15"/>
  <c r="H457" i="17"/>
  <c r="F457" i="17"/>
  <c r="B457" i="17"/>
  <c r="K180" i="15"/>
  <c r="H447" i="17"/>
  <c r="F447" i="17"/>
  <c r="B447" i="17"/>
  <c r="K117" i="15"/>
  <c r="H441" i="17"/>
  <c r="F441" i="17"/>
  <c r="B441" i="17"/>
  <c r="K171" i="15"/>
  <c r="H438" i="17"/>
  <c r="F438" i="17"/>
  <c r="B438" i="17"/>
  <c r="K88" i="15"/>
  <c r="H437" i="17"/>
  <c r="F437" i="17"/>
  <c r="B437" i="17"/>
  <c r="K76" i="15"/>
  <c r="H433" i="17"/>
  <c r="F433" i="17"/>
  <c r="B433" i="17"/>
  <c r="K127" i="15"/>
  <c r="H431" i="17"/>
  <c r="F431" i="17"/>
  <c r="B431" i="17"/>
  <c r="K77" i="15"/>
  <c r="H430" i="17"/>
  <c r="F430" i="17"/>
  <c r="B430" i="17"/>
  <c r="K75" i="15"/>
  <c r="H427" i="17"/>
  <c r="F427" i="17"/>
  <c r="B427" i="17"/>
  <c r="H421" i="17"/>
  <c r="B421" i="17"/>
  <c r="K135" i="15"/>
  <c r="H420" i="17"/>
  <c r="F420" i="17"/>
  <c r="B420" i="17"/>
  <c r="K122" i="15"/>
  <c r="H419" i="17"/>
  <c r="F419" i="17"/>
  <c r="B419" i="17"/>
  <c r="K120" i="15"/>
  <c r="H418" i="17"/>
  <c r="F418" i="17"/>
  <c r="B418" i="17"/>
  <c r="H408" i="17"/>
  <c r="F408" i="17"/>
  <c r="B408" i="17"/>
  <c r="H405" i="17"/>
  <c r="F405" i="17"/>
  <c r="B405" i="17"/>
  <c r="K184" i="15"/>
  <c r="H401" i="17"/>
  <c r="F401" i="17"/>
  <c r="B401" i="17"/>
  <c r="K179" i="15"/>
  <c r="H400" i="17"/>
  <c r="F400" i="17"/>
  <c r="B400" i="17"/>
  <c r="K78" i="15"/>
  <c r="H397" i="17"/>
  <c r="F397" i="17"/>
  <c r="B397" i="17"/>
  <c r="K79" i="15"/>
  <c r="H394" i="17"/>
  <c r="F394" i="17"/>
  <c r="B394" i="17"/>
  <c r="K82" i="15"/>
  <c r="H391" i="17"/>
  <c r="F391" i="17"/>
  <c r="B391" i="17"/>
  <c r="K83" i="15"/>
  <c r="H387" i="17"/>
  <c r="F387" i="17"/>
  <c r="B387" i="17"/>
  <c r="K141" i="15"/>
  <c r="H378" i="17"/>
  <c r="F378" i="17"/>
  <c r="B378" i="17"/>
  <c r="K113" i="15"/>
  <c r="H375" i="17"/>
  <c r="F375" i="17"/>
  <c r="B375" i="17"/>
  <c r="K175" i="15"/>
  <c r="H368" i="17"/>
  <c r="F368" i="17"/>
  <c r="B368" i="17"/>
  <c r="K64" i="15"/>
  <c r="H367" i="17"/>
  <c r="F367" i="17"/>
  <c r="B367" i="17"/>
  <c r="H359" i="17"/>
  <c r="H358" i="17"/>
  <c r="K49" i="15"/>
  <c r="H353" i="17"/>
  <c r="F353" i="17"/>
  <c r="B353" i="17"/>
  <c r="K44" i="15"/>
  <c r="H352" i="17"/>
  <c r="F352" i="17"/>
  <c r="B352" i="17"/>
  <c r="H348" i="17"/>
  <c r="F348" i="17"/>
  <c r="B348" i="17"/>
  <c r="H341" i="17"/>
  <c r="F341" i="17"/>
  <c r="B341" i="17"/>
  <c r="K51" i="15"/>
  <c r="H339" i="17"/>
  <c r="F339" i="17"/>
  <c r="B339" i="17"/>
  <c r="K109" i="15"/>
  <c r="H334" i="17"/>
  <c r="F334" i="17"/>
  <c r="B334" i="17"/>
  <c r="K153" i="15"/>
  <c r="H331" i="17"/>
  <c r="G153" i="15"/>
  <c r="F331" i="17"/>
  <c r="B331" i="17"/>
  <c r="K56" i="15"/>
  <c r="H330" i="17"/>
  <c r="F330" i="17"/>
  <c r="B330" i="17"/>
  <c r="K39" i="15"/>
  <c r="H329" i="17"/>
  <c r="F329" i="17"/>
  <c r="B329" i="17"/>
  <c r="K130" i="15"/>
  <c r="H327" i="17"/>
  <c r="F327" i="17"/>
  <c r="B327" i="17"/>
  <c r="K116" i="15"/>
  <c r="H326" i="17"/>
  <c r="F326" i="17"/>
  <c r="B326" i="17"/>
  <c r="K27" i="15"/>
  <c r="H325" i="17"/>
  <c r="F325" i="17"/>
  <c r="B325" i="17"/>
  <c r="K16" i="15"/>
  <c r="H324" i="17"/>
  <c r="F324" i="17"/>
  <c r="B324" i="17"/>
  <c r="K119" i="15"/>
  <c r="H312" i="17"/>
  <c r="F312" i="17"/>
  <c r="B312" i="17"/>
  <c r="K115" i="15"/>
  <c r="H311" i="17"/>
  <c r="F311" i="17"/>
  <c r="B311" i="17"/>
  <c r="K128" i="15"/>
  <c r="H302" i="17"/>
  <c r="F302" i="17"/>
  <c r="B302" i="17"/>
  <c r="H296" i="17"/>
  <c r="H294" i="17"/>
  <c r="K106" i="15"/>
  <c r="H293" i="17"/>
  <c r="F293" i="17"/>
  <c r="B293" i="17"/>
  <c r="H291" i="17"/>
  <c r="K186" i="15"/>
  <c r="H289" i="17"/>
  <c r="G186" i="15"/>
  <c r="F289" i="17"/>
  <c r="B289" i="17"/>
  <c r="K143" i="15"/>
  <c r="H288" i="17"/>
  <c r="F288" i="17"/>
  <c r="B288" i="17"/>
  <c r="K132" i="15"/>
  <c r="H287" i="17"/>
  <c r="F287" i="17"/>
  <c r="B287" i="17"/>
  <c r="K137" i="15"/>
  <c r="H286" i="17"/>
  <c r="G137" i="15"/>
  <c r="F286" i="17"/>
  <c r="B286" i="17"/>
  <c r="H284" i="17"/>
  <c r="K144" i="15"/>
  <c r="H283" i="17"/>
  <c r="F283" i="17"/>
  <c r="B283" i="17"/>
  <c r="H281" i="17"/>
  <c r="K111" i="15"/>
  <c r="H280" i="17"/>
  <c r="F280" i="17"/>
  <c r="B280" i="17"/>
  <c r="H278" i="17"/>
  <c r="K139" i="15"/>
  <c r="H277" i="17"/>
  <c r="F277" i="17"/>
  <c r="B277" i="17"/>
  <c r="K124" i="15"/>
  <c r="H276" i="17"/>
  <c r="F276" i="17"/>
  <c r="B276" i="17"/>
  <c r="K118" i="15"/>
  <c r="H275" i="17"/>
  <c r="F275" i="17"/>
  <c r="B275" i="17"/>
  <c r="H273" i="17"/>
  <c r="F273" i="17"/>
  <c r="B273" i="17"/>
  <c r="K129" i="15"/>
  <c r="H272" i="17"/>
  <c r="F272" i="17"/>
  <c r="B272" i="17"/>
  <c r="K126" i="15"/>
  <c r="H271" i="17"/>
  <c r="F271" i="17"/>
  <c r="B271" i="17"/>
  <c r="H269" i="17"/>
  <c r="H268" i="17"/>
  <c r="K140" i="15"/>
  <c r="H267" i="17"/>
  <c r="F267" i="17"/>
  <c r="B267" i="17"/>
  <c r="H265" i="17"/>
  <c r="K155" i="15"/>
  <c r="H264" i="17"/>
  <c r="G155" i="15"/>
  <c r="F264" i="17"/>
  <c r="B264" i="17"/>
  <c r="K154" i="15"/>
  <c r="H263" i="17"/>
  <c r="G154" i="15"/>
  <c r="F263" i="17"/>
  <c r="B263" i="17"/>
  <c r="H262" i="17"/>
  <c r="F262" i="17"/>
  <c r="B262" i="17"/>
  <c r="K178" i="15"/>
  <c r="H261" i="17"/>
  <c r="F261" i="17"/>
  <c r="B261" i="17"/>
  <c r="K60" i="15"/>
  <c r="H260" i="17"/>
  <c r="F260" i="17"/>
  <c r="B260" i="17"/>
  <c r="K110" i="15"/>
  <c r="H259" i="17"/>
  <c r="F259" i="17"/>
  <c r="B259" i="17"/>
  <c r="K131" i="15"/>
  <c r="H255" i="17"/>
  <c r="F255" i="17"/>
  <c r="B255" i="17"/>
  <c r="K67" i="15"/>
  <c r="H254" i="17"/>
  <c r="F254" i="17"/>
  <c r="B254" i="17"/>
  <c r="K63" i="15"/>
  <c r="H253" i="17"/>
  <c r="F253" i="17"/>
  <c r="B253" i="17"/>
  <c r="K107" i="15"/>
  <c r="H249" i="17"/>
  <c r="G107" i="15"/>
  <c r="F249" i="17"/>
  <c r="B249" i="17"/>
  <c r="H247" i="17"/>
  <c r="H246" i="17"/>
  <c r="F246" i="17"/>
  <c r="B246" i="17"/>
  <c r="K164" i="15"/>
  <c r="H243" i="17"/>
  <c r="G164" i="15"/>
  <c r="F243" i="17"/>
  <c r="B243" i="17"/>
  <c r="K101" i="15"/>
  <c r="H242" i="17"/>
  <c r="G101" i="15"/>
  <c r="F242" i="17"/>
  <c r="B242" i="17"/>
  <c r="K81" i="15"/>
  <c r="H241" i="17"/>
  <c r="F241" i="17"/>
  <c r="B241" i="17"/>
  <c r="K80" i="15"/>
  <c r="H240" i="17"/>
  <c r="F240" i="17"/>
  <c r="B240" i="17"/>
  <c r="H237" i="17"/>
  <c r="F237" i="17"/>
  <c r="B237" i="17"/>
  <c r="H235" i="17"/>
  <c r="H234" i="17"/>
  <c r="K163" i="15"/>
  <c r="H233" i="17"/>
  <c r="G163" i="15"/>
  <c r="F233" i="17"/>
  <c r="B233" i="17"/>
  <c r="H231" i="17"/>
  <c r="K152" i="15"/>
  <c r="H230" i="17"/>
  <c r="G152" i="15"/>
  <c r="F230" i="17"/>
  <c r="B230" i="17"/>
  <c r="H226" i="17"/>
  <c r="F226" i="17"/>
  <c r="B226" i="17"/>
  <c r="H225" i="17"/>
  <c r="F225" i="17"/>
  <c r="B225" i="17"/>
  <c r="H224" i="17"/>
  <c r="F224" i="17"/>
  <c r="B224" i="17"/>
  <c r="H223" i="17"/>
  <c r="F223" i="17"/>
  <c r="B223" i="17"/>
  <c r="K33" i="15"/>
  <c r="H222" i="17"/>
  <c r="F222" i="17"/>
  <c r="B222" i="17"/>
  <c r="K31" i="15"/>
  <c r="H221" i="17"/>
  <c r="F221" i="17"/>
  <c r="B221" i="17"/>
  <c r="K23" i="15"/>
  <c r="H220" i="17"/>
  <c r="F220" i="17"/>
  <c r="B220" i="17"/>
  <c r="K22" i="15"/>
  <c r="H219" i="17"/>
  <c r="F219" i="17"/>
  <c r="B219" i="17"/>
  <c r="K166" i="15"/>
  <c r="H216" i="17"/>
  <c r="G166" i="15"/>
  <c r="F216" i="17"/>
  <c r="B216" i="17"/>
  <c r="K159" i="15"/>
  <c r="H215" i="17"/>
  <c r="G159" i="15"/>
  <c r="F215" i="17"/>
  <c r="B215" i="17"/>
  <c r="K138" i="15"/>
  <c r="H214" i="17"/>
  <c r="F214" i="17"/>
  <c r="B214" i="17"/>
  <c r="K125" i="15"/>
  <c r="H211" i="17"/>
  <c r="F211" i="17"/>
  <c r="B211" i="17"/>
  <c r="K103" i="15"/>
  <c r="H210" i="17"/>
  <c r="F210" i="17"/>
  <c r="B210" i="17"/>
  <c r="K161" i="15"/>
  <c r="H201" i="17"/>
  <c r="G161" i="15"/>
  <c r="F201" i="17"/>
  <c r="B201" i="17"/>
  <c r="K148" i="15"/>
  <c r="H200" i="17"/>
  <c r="F200" i="17"/>
  <c r="B200" i="17"/>
  <c r="K133" i="15"/>
  <c r="H199" i="17"/>
  <c r="F199" i="17"/>
  <c r="B199" i="17"/>
  <c r="K160" i="15"/>
  <c r="H196" i="17"/>
  <c r="G160" i="15"/>
  <c r="F196" i="17"/>
  <c r="B196" i="17"/>
  <c r="K147" i="15"/>
  <c r="H195" i="17"/>
  <c r="G147" i="15"/>
  <c r="F195" i="17"/>
  <c r="B195" i="17"/>
  <c r="K134" i="15"/>
  <c r="H194" i="17"/>
  <c r="F194" i="17"/>
  <c r="B194" i="17"/>
  <c r="K162" i="15"/>
  <c r="H190" i="17"/>
  <c r="F190" i="17"/>
  <c r="B190" i="17"/>
  <c r="K4" i="15"/>
  <c r="H189" i="17"/>
  <c r="F189" i="17"/>
  <c r="B189" i="17"/>
  <c r="K142" i="15"/>
  <c r="H185" i="17"/>
  <c r="F185" i="17"/>
  <c r="B185" i="17"/>
  <c r="K69" i="15"/>
  <c r="H182" i="17"/>
  <c r="F182" i="17"/>
  <c r="B182" i="17"/>
  <c r="K70" i="15"/>
  <c r="H160" i="17"/>
  <c r="F160" i="17"/>
  <c r="B160" i="17"/>
  <c r="K68" i="15"/>
  <c r="H157" i="17"/>
  <c r="F157" i="17"/>
  <c r="B157" i="17"/>
  <c r="K170" i="15"/>
  <c r="H154" i="17"/>
  <c r="F154" i="17"/>
  <c r="B154" i="17"/>
  <c r="K86" i="15"/>
  <c r="H153" i="17"/>
  <c r="F153" i="17"/>
  <c r="B153" i="17"/>
  <c r="K149" i="15"/>
  <c r="H150" i="17"/>
  <c r="F150" i="17"/>
  <c r="B150" i="17"/>
  <c r="K66" i="15"/>
  <c r="H149" i="17"/>
  <c r="F149" i="17"/>
  <c r="B149" i="17"/>
  <c r="K46" i="15"/>
  <c r="H145" i="17"/>
  <c r="F145" i="17"/>
  <c r="B145" i="17"/>
  <c r="H139" i="17"/>
  <c r="F139" i="17"/>
  <c r="B139" i="17"/>
  <c r="K84" i="15"/>
  <c r="H136" i="17"/>
  <c r="F136" i="17"/>
  <c r="B136" i="17"/>
  <c r="K47" i="15"/>
  <c r="H135" i="17"/>
  <c r="F135" i="17"/>
  <c r="B135" i="17"/>
  <c r="K158" i="15"/>
  <c r="H131" i="17"/>
  <c r="F131" i="17"/>
  <c r="B131" i="17"/>
  <c r="K18" i="15"/>
  <c r="H130" i="17"/>
  <c r="F130" i="17"/>
  <c r="B130" i="17"/>
  <c r="K177" i="15"/>
  <c r="H127" i="17"/>
  <c r="F127" i="17"/>
  <c r="B127" i="17"/>
  <c r="K176" i="15"/>
  <c r="H126" i="17"/>
  <c r="F126" i="17"/>
  <c r="B126" i="17"/>
  <c r="K85" i="15"/>
  <c r="H125" i="17"/>
  <c r="F125" i="17"/>
  <c r="B125" i="17"/>
  <c r="K169" i="15"/>
  <c r="H122" i="17"/>
  <c r="F122" i="17"/>
  <c r="B122" i="17"/>
  <c r="K168" i="15"/>
  <c r="H121" i="17"/>
  <c r="F121" i="17"/>
  <c r="B121" i="17"/>
  <c r="K146" i="15"/>
  <c r="H120" i="17"/>
  <c r="F120" i="17"/>
  <c r="B120" i="17"/>
  <c r="K91" i="15"/>
  <c r="H119" i="17"/>
  <c r="F119" i="17"/>
  <c r="B119" i="17"/>
  <c r="K97" i="15"/>
  <c r="H118" i="17"/>
  <c r="F118" i="17"/>
  <c r="B118" i="17"/>
  <c r="K90" i="15"/>
  <c r="H117" i="17"/>
  <c r="F117" i="17"/>
  <c r="B117" i="17"/>
  <c r="K89" i="15"/>
  <c r="H116" i="17"/>
  <c r="F116" i="17"/>
  <c r="B116" i="17"/>
  <c r="K55" i="15"/>
  <c r="H115" i="17"/>
  <c r="F115" i="17"/>
  <c r="B115" i="17"/>
  <c r="H113" i="17"/>
  <c r="F113" i="17"/>
  <c r="B113" i="17"/>
  <c r="K150" i="15"/>
  <c r="H112" i="17"/>
  <c r="F112" i="17"/>
  <c r="B112" i="17"/>
  <c r="K108" i="15"/>
  <c r="H111" i="17"/>
  <c r="F111" i="17"/>
  <c r="B111" i="17"/>
  <c r="K45" i="15"/>
  <c r="H110" i="17"/>
  <c r="F110" i="17"/>
  <c r="B110" i="17"/>
  <c r="H107" i="17"/>
  <c r="H106" i="17"/>
  <c r="K53" i="15"/>
  <c r="H105" i="17"/>
  <c r="F105" i="17"/>
  <c r="B105" i="17"/>
  <c r="K26" i="15"/>
  <c r="H104" i="17"/>
  <c r="F104" i="17"/>
  <c r="B104" i="17"/>
  <c r="H102" i="17"/>
  <c r="K29" i="15"/>
  <c r="H100" i="17"/>
  <c r="F100" i="17"/>
  <c r="B100" i="17"/>
  <c r="K28" i="15"/>
  <c r="H99" i="17"/>
  <c r="F99" i="17"/>
  <c r="B99" i="17"/>
  <c r="K52" i="15"/>
  <c r="H96" i="17"/>
  <c r="F96" i="17"/>
  <c r="B96" i="17"/>
  <c r="K43" i="15"/>
  <c r="H95" i="17"/>
  <c r="F95" i="17"/>
  <c r="B95" i="17"/>
  <c r="H93" i="17"/>
  <c r="K19" i="15"/>
  <c r="H92" i="17"/>
  <c r="F92" i="17"/>
  <c r="B92" i="17"/>
  <c r="H90" i="17"/>
  <c r="H89" i="17"/>
  <c r="H87" i="17"/>
  <c r="K100" i="15"/>
  <c r="H86" i="17"/>
  <c r="F86" i="17"/>
  <c r="B86" i="17"/>
  <c r="K92" i="15"/>
  <c r="H85" i="17"/>
  <c r="F85" i="17"/>
  <c r="B85" i="17"/>
  <c r="K59" i="15"/>
  <c r="H82" i="17"/>
  <c r="G59" i="15"/>
  <c r="F82" i="17"/>
  <c r="B82" i="17"/>
  <c r="K62" i="15"/>
  <c r="H81" i="17"/>
  <c r="G62" i="15"/>
  <c r="F81" i="17"/>
  <c r="B81" i="17"/>
  <c r="K58" i="15"/>
  <c r="H80" i="17"/>
  <c r="F80" i="17"/>
  <c r="B80" i="17"/>
  <c r="K57" i="15"/>
  <c r="H79" i="17"/>
  <c r="F79" i="17"/>
  <c r="B79" i="17"/>
  <c r="K54" i="15"/>
  <c r="H78" i="17"/>
  <c r="F78" i="17"/>
  <c r="B78" i="17"/>
  <c r="K50" i="15"/>
  <c r="H77" i="17"/>
  <c r="F77" i="17"/>
  <c r="B77" i="17"/>
  <c r="K37" i="15"/>
  <c r="H74" i="17"/>
  <c r="F74" i="17"/>
  <c r="B74" i="17"/>
  <c r="K25" i="15"/>
  <c r="H73" i="17"/>
  <c r="F73" i="17"/>
  <c r="B73" i="17"/>
  <c r="K24" i="15"/>
  <c r="H72" i="17"/>
  <c r="F72" i="17"/>
  <c r="B72" i="17"/>
  <c r="K17" i="15"/>
  <c r="H71" i="17"/>
  <c r="F71" i="17"/>
  <c r="B71" i="17"/>
  <c r="K121" i="15"/>
  <c r="H69" i="17"/>
  <c r="F69" i="17"/>
  <c r="B69" i="17"/>
  <c r="K74" i="15"/>
  <c r="H68" i="17"/>
  <c r="F68" i="17"/>
  <c r="B68" i="17"/>
  <c r="K73" i="15"/>
  <c r="H67" i="17"/>
  <c r="F67" i="17"/>
  <c r="B67" i="17"/>
  <c r="K72" i="15"/>
  <c r="H66" i="17"/>
  <c r="F66" i="17"/>
  <c r="B66" i="17"/>
  <c r="K71" i="15"/>
  <c r="H65" i="17"/>
  <c r="F65" i="17"/>
  <c r="B65" i="17"/>
  <c r="H63" i="17"/>
  <c r="K99" i="15"/>
  <c r="H62" i="17"/>
  <c r="G99" i="15"/>
  <c r="F62" i="17"/>
  <c r="B62" i="17"/>
  <c r="K98" i="15"/>
  <c r="H61" i="17"/>
  <c r="F61" i="17"/>
  <c r="B61" i="17"/>
  <c r="K40" i="15"/>
  <c r="H60" i="17"/>
  <c r="F60" i="17"/>
  <c r="B60" i="17"/>
  <c r="H58" i="17"/>
  <c r="K105" i="15"/>
  <c r="H57" i="17"/>
  <c r="F57" i="17"/>
  <c r="B57" i="17"/>
  <c r="K96" i="15"/>
  <c r="H56" i="17"/>
  <c r="F56" i="17"/>
  <c r="B56" i="17"/>
  <c r="H54" i="17"/>
  <c r="K41" i="15"/>
  <c r="H53" i="17"/>
  <c r="F53" i="17"/>
  <c r="B53" i="17"/>
  <c r="H51" i="17"/>
  <c r="K104" i="15"/>
  <c r="H50" i="17"/>
  <c r="F50" i="17"/>
  <c r="B50" i="17"/>
  <c r="K145" i="15"/>
  <c r="H48" i="17"/>
  <c r="G145" i="15"/>
  <c r="F48" i="17"/>
  <c r="B48" i="17"/>
  <c r="K7" i="15"/>
  <c r="H47" i="17"/>
  <c r="F47" i="17"/>
  <c r="B47" i="17"/>
  <c r="H44" i="17"/>
  <c r="F44" i="17"/>
  <c r="B44" i="17"/>
  <c r="H43" i="17"/>
  <c r="F43" i="17"/>
  <c r="B43" i="17"/>
  <c r="K10" i="15"/>
  <c r="H42" i="17"/>
  <c r="F42" i="17"/>
  <c r="B42" i="17"/>
  <c r="K165" i="15"/>
  <c r="H39" i="17"/>
  <c r="G165" i="15"/>
  <c r="F39" i="17"/>
  <c r="B39" i="17"/>
  <c r="K48" i="15"/>
  <c r="H38" i="17"/>
  <c r="F38" i="17"/>
  <c r="B38" i="17"/>
  <c r="K15" i="15"/>
  <c r="H37" i="17"/>
  <c r="F37" i="17"/>
  <c r="B37" i="17"/>
  <c r="K14" i="15"/>
  <c r="H36" i="17"/>
  <c r="F36" i="17"/>
  <c r="B36" i="17"/>
  <c r="K5" i="15"/>
  <c r="H35" i="17"/>
  <c r="F35" i="17"/>
  <c r="B35" i="17"/>
  <c r="H33" i="17"/>
  <c r="F33" i="17"/>
  <c r="B33" i="17"/>
  <c r="K38" i="15"/>
  <c r="H32" i="17"/>
  <c r="F32" i="17"/>
  <c r="K6" i="15"/>
  <c r="H31" i="17"/>
  <c r="F31" i="17"/>
  <c r="B31" i="17"/>
  <c r="H27" i="17"/>
  <c r="K13" i="15"/>
  <c r="H26" i="17"/>
  <c r="F26" i="17"/>
  <c r="B26" i="17"/>
  <c r="H24" i="17"/>
  <c r="K12" i="15"/>
  <c r="H23" i="17"/>
  <c r="F23" i="17"/>
  <c r="B23" i="17"/>
  <c r="H21" i="17"/>
  <c r="H20" i="17"/>
  <c r="K11" i="15"/>
  <c r="H18" i="17"/>
  <c r="F18" i="17"/>
  <c r="B18" i="17"/>
  <c r="K9" i="15"/>
  <c r="H17" i="17"/>
  <c r="F17" i="17"/>
  <c r="B17" i="17"/>
  <c r="H15" i="17"/>
  <c r="J14" i="17"/>
  <c r="I14" i="17"/>
  <c r="K20" i="15"/>
  <c r="H14" i="17"/>
  <c r="F14" i="17"/>
  <c r="B14" i="17"/>
  <c r="H12" i="17"/>
  <c r="J11" i="17"/>
  <c r="I11" i="17"/>
  <c r="K173" i="15"/>
  <c r="H11" i="17"/>
  <c r="F11" i="17"/>
  <c r="B11" i="17"/>
  <c r="J10" i="17"/>
  <c r="I10" i="17"/>
  <c r="K87" i="15"/>
  <c r="H10" i="17"/>
  <c r="F10" i="17"/>
  <c r="B10" i="17"/>
  <c r="H8" i="17"/>
  <c r="H7" i="17"/>
  <c r="K8" i="15"/>
  <c r="H6" i="17"/>
  <c r="F6" i="17"/>
  <c r="B6" i="17"/>
  <c r="N165" i="16"/>
  <c r="F510" i="17"/>
  <c r="F163" i="16"/>
  <c r="D163" i="16"/>
  <c r="D162" i="16"/>
  <c r="F161" i="16"/>
  <c r="D161" i="16"/>
  <c r="F160" i="16"/>
  <c r="D160" i="16"/>
  <c r="F159" i="16"/>
  <c r="D159" i="16"/>
  <c r="F158" i="16"/>
  <c r="D158" i="16"/>
  <c r="F486" i="17"/>
  <c r="F156" i="16"/>
  <c r="D156" i="16"/>
  <c r="F154" i="16"/>
  <c r="D154" i="16"/>
  <c r="F153" i="16"/>
  <c r="D153" i="16"/>
  <c r="F152" i="16"/>
  <c r="D152" i="16"/>
  <c r="F150" i="16"/>
  <c r="D150" i="16"/>
  <c r="F149" i="16"/>
  <c r="D149" i="16"/>
  <c r="F148" i="16"/>
  <c r="D148" i="16"/>
  <c r="F462" i="17"/>
  <c r="F146" i="16"/>
  <c r="D146" i="16"/>
  <c r="F145" i="16"/>
  <c r="D145" i="16"/>
  <c r="F456" i="17"/>
  <c r="F144" i="16"/>
  <c r="D144" i="16"/>
  <c r="F142" i="16"/>
  <c r="D142" i="16"/>
  <c r="F141" i="16"/>
  <c r="D141" i="16"/>
  <c r="F446" i="17"/>
  <c r="F140" i="16"/>
  <c r="D140" i="16"/>
  <c r="F139" i="16"/>
  <c r="D139" i="16"/>
  <c r="F440" i="17"/>
  <c r="F138" i="16"/>
  <c r="D138" i="16"/>
  <c r="F436" i="17"/>
  <c r="F137" i="16"/>
  <c r="D137" i="16"/>
  <c r="F432" i="17"/>
  <c r="F135" i="16"/>
  <c r="D135" i="16"/>
  <c r="F429" i="17"/>
  <c r="F134" i="16"/>
  <c r="D134" i="16"/>
  <c r="F426" i="17"/>
  <c r="F133" i="16"/>
  <c r="D133" i="16"/>
  <c r="F131" i="16"/>
  <c r="D131" i="16"/>
  <c r="F417" i="17"/>
  <c r="F130" i="16"/>
  <c r="D130" i="16"/>
  <c r="F128" i="16"/>
  <c r="D128" i="16"/>
  <c r="D127" i="16"/>
  <c r="D126" i="16"/>
  <c r="D125" i="16"/>
  <c r="F399" i="17"/>
  <c r="F123" i="16"/>
  <c r="D123" i="16"/>
  <c r="F396" i="17"/>
  <c r="F122" i="16"/>
  <c r="D122" i="16"/>
  <c r="F393" i="17"/>
  <c r="F121" i="16"/>
  <c r="D121" i="16"/>
  <c r="F390" i="17"/>
  <c r="F120" i="16"/>
  <c r="D120" i="16"/>
  <c r="F386" i="17"/>
  <c r="F119" i="16"/>
  <c r="D119" i="16"/>
  <c r="D118" i="16"/>
  <c r="D117" i="16"/>
  <c r="F377" i="17"/>
  <c r="F116" i="16"/>
  <c r="D116" i="16"/>
  <c r="F374" i="17"/>
  <c r="F115" i="16"/>
  <c r="D115" i="16"/>
  <c r="F113" i="16"/>
  <c r="D113" i="16"/>
  <c r="F366" i="17"/>
  <c r="F112" i="16"/>
  <c r="D112" i="16"/>
  <c r="F111" i="16"/>
  <c r="D111" i="16"/>
  <c r="F110" i="16"/>
  <c r="D110" i="16"/>
  <c r="F109" i="16"/>
  <c r="D109" i="16"/>
  <c r="F108" i="16"/>
  <c r="D108" i="16"/>
  <c r="F351" i="17"/>
  <c r="F107" i="16"/>
  <c r="D107" i="16"/>
  <c r="F104" i="16"/>
  <c r="D104" i="16"/>
  <c r="F340" i="17"/>
  <c r="F103" i="16"/>
  <c r="D103" i="16"/>
  <c r="F338" i="17"/>
  <c r="F102" i="16"/>
  <c r="D102" i="16"/>
  <c r="F333" i="17"/>
  <c r="F100" i="16"/>
  <c r="D100" i="16"/>
  <c r="F328" i="17"/>
  <c r="F99" i="16"/>
  <c r="D99" i="16"/>
  <c r="F323" i="17"/>
  <c r="F98" i="16"/>
  <c r="D98" i="16"/>
  <c r="F96" i="16"/>
  <c r="D96" i="16"/>
  <c r="F95" i="16"/>
  <c r="D95" i="16"/>
  <c r="F94" i="16"/>
  <c r="D94" i="16"/>
  <c r="F310" i="17"/>
  <c r="F93" i="16"/>
  <c r="D93" i="16"/>
  <c r="F92" i="16"/>
  <c r="D92" i="16"/>
  <c r="F91" i="16"/>
  <c r="D91" i="16"/>
  <c r="F301" i="17"/>
  <c r="F90" i="16"/>
  <c r="D90" i="16"/>
  <c r="F89" i="16"/>
  <c r="D89" i="16"/>
  <c r="F292" i="17"/>
  <c r="F87" i="16"/>
  <c r="D87" i="16"/>
  <c r="F285" i="17"/>
  <c r="F86" i="16"/>
  <c r="D86" i="16"/>
  <c r="F282" i="17"/>
  <c r="F85" i="16"/>
  <c r="D85" i="16"/>
  <c r="F279" i="17"/>
  <c r="F84" i="16"/>
  <c r="D84" i="16"/>
  <c r="F274" i="17"/>
  <c r="F83" i="16"/>
  <c r="D83" i="16"/>
  <c r="F270" i="17"/>
  <c r="F82" i="16"/>
  <c r="D82" i="16"/>
  <c r="F266" i="17"/>
  <c r="F81" i="16"/>
  <c r="D81" i="16"/>
  <c r="F258" i="17"/>
  <c r="F80" i="16"/>
  <c r="D80" i="16"/>
  <c r="F252" i="17"/>
  <c r="F78" i="16"/>
  <c r="D78" i="16"/>
  <c r="F248" i="17"/>
  <c r="F77" i="16"/>
  <c r="D77" i="16"/>
  <c r="F245" i="17"/>
  <c r="F76" i="16"/>
  <c r="D76" i="16"/>
  <c r="F239" i="17"/>
  <c r="F75" i="16"/>
  <c r="D75" i="16"/>
  <c r="F236" i="17"/>
  <c r="F74" i="16"/>
  <c r="D74" i="16"/>
  <c r="F232" i="17"/>
  <c r="F73" i="16"/>
  <c r="D73" i="16"/>
  <c r="F229" i="17"/>
  <c r="F72" i="16"/>
  <c r="D72" i="16"/>
  <c r="F213" i="17"/>
  <c r="F69" i="16"/>
  <c r="D69" i="16"/>
  <c r="F209" i="17"/>
  <c r="F68" i="16"/>
  <c r="D68" i="16"/>
  <c r="F67" i="16"/>
  <c r="D67" i="16"/>
  <c r="F66" i="16"/>
  <c r="D66" i="16"/>
  <c r="F198" i="17"/>
  <c r="F65" i="16"/>
  <c r="D65" i="16"/>
  <c r="F193" i="17"/>
  <c r="F64" i="16"/>
  <c r="D64" i="16"/>
  <c r="F188" i="17"/>
  <c r="F63" i="16"/>
  <c r="D63" i="16"/>
  <c r="F184" i="17"/>
  <c r="F61" i="16"/>
  <c r="D61" i="16"/>
  <c r="F181" i="17"/>
  <c r="F60" i="16"/>
  <c r="D60" i="16"/>
  <c r="F59" i="16"/>
  <c r="D59" i="16"/>
  <c r="F58" i="16"/>
  <c r="D58" i="16"/>
  <c r="F57" i="16"/>
  <c r="D57" i="16"/>
  <c r="F56" i="16"/>
  <c r="D56" i="16"/>
  <c r="F54" i="16"/>
  <c r="D54" i="16"/>
  <c r="F53" i="16"/>
  <c r="D53" i="16"/>
  <c r="F159" i="17"/>
  <c r="F52" i="16"/>
  <c r="D52" i="16"/>
  <c r="F156" i="17"/>
  <c r="F51" i="16"/>
  <c r="D51" i="16"/>
  <c r="F152" i="17"/>
  <c r="F50" i="16"/>
  <c r="D50" i="16"/>
  <c r="F148" i="17"/>
  <c r="F49" i="16"/>
  <c r="D49" i="16"/>
  <c r="F47" i="16"/>
  <c r="D47" i="16"/>
  <c r="F46" i="16"/>
  <c r="D46" i="16"/>
  <c r="F144" i="17"/>
  <c r="F45" i="16"/>
  <c r="D45" i="16"/>
  <c r="F44" i="16"/>
  <c r="D44" i="16"/>
  <c r="F138" i="17"/>
  <c r="F43" i="16"/>
  <c r="D43" i="16"/>
  <c r="F134" i="17"/>
  <c r="F42" i="16"/>
  <c r="D42" i="16"/>
  <c r="F129" i="17"/>
  <c r="F40" i="16"/>
  <c r="D40" i="16"/>
  <c r="F124" i="17"/>
  <c r="F39" i="16"/>
  <c r="D39" i="16"/>
  <c r="F114" i="17"/>
  <c r="F38" i="16"/>
  <c r="D38" i="16"/>
  <c r="F109" i="17"/>
  <c r="F37" i="16"/>
  <c r="D37" i="16"/>
  <c r="F103" i="17"/>
  <c r="F35" i="16"/>
  <c r="D35" i="16"/>
  <c r="F98" i="17"/>
  <c r="F34" i="16"/>
  <c r="D34" i="16"/>
  <c r="F94" i="17"/>
  <c r="F33" i="16"/>
  <c r="D33" i="16"/>
  <c r="F91" i="17"/>
  <c r="F32" i="16"/>
  <c r="D32" i="16"/>
  <c r="F31" i="16"/>
  <c r="D31" i="16"/>
  <c r="F84" i="17"/>
  <c r="F30" i="16"/>
  <c r="D30" i="16"/>
  <c r="F76" i="17"/>
  <c r="F29" i="16"/>
  <c r="D29" i="16"/>
  <c r="F64" i="17"/>
  <c r="F27" i="16"/>
  <c r="D27" i="16"/>
  <c r="F59" i="17"/>
  <c r="F26" i="16"/>
  <c r="D26" i="16"/>
  <c r="F55" i="17"/>
  <c r="F25" i="16"/>
  <c r="D25" i="16"/>
  <c r="F52" i="17"/>
  <c r="F24" i="16"/>
  <c r="D24" i="16"/>
  <c r="F49" i="17"/>
  <c r="F23" i="16"/>
  <c r="D23" i="16"/>
  <c r="F46" i="17"/>
  <c r="F22" i="16"/>
  <c r="D22" i="16"/>
  <c r="F41" i="17"/>
  <c r="F20" i="16"/>
  <c r="D20" i="16"/>
  <c r="F34" i="17"/>
  <c r="F19" i="16"/>
  <c r="D19" i="16"/>
  <c r="F30" i="17"/>
  <c r="F18" i="16"/>
  <c r="D18" i="16"/>
  <c r="F25" i="17"/>
  <c r="F15" i="16"/>
  <c r="D15" i="16"/>
  <c r="F22" i="17"/>
  <c r="F14" i="16"/>
  <c r="D14" i="16"/>
  <c r="F13" i="16"/>
  <c r="D13" i="16"/>
  <c r="F16" i="17"/>
  <c r="F12" i="16"/>
  <c r="D12" i="16"/>
  <c r="F13" i="17"/>
  <c r="F11" i="16"/>
  <c r="D11" i="16"/>
  <c r="F9" i="17"/>
  <c r="F10" i="16"/>
  <c r="D10" i="16"/>
  <c r="F5" i="17"/>
  <c r="F9" i="16"/>
  <c r="D9" i="16"/>
  <c r="J646" i="17"/>
  <c r="H646" i="17"/>
  <c r="F609" i="17"/>
  <c r="F612" i="17"/>
  <c r="F615" i="17"/>
  <c r="F618" i="17"/>
  <c r="F608" i="17"/>
  <c r="F19" i="17"/>
  <c r="F4" i="17"/>
  <c r="F29" i="17"/>
  <c r="F70" i="17"/>
  <c r="F45" i="17"/>
  <c r="F88" i="17"/>
  <c r="F75" i="17"/>
  <c r="F108" i="17"/>
  <c r="F141" i="17"/>
  <c r="F133" i="17"/>
  <c r="F162" i="17"/>
  <c r="F165" i="17"/>
  <c r="F147" i="17"/>
  <c r="F169" i="17"/>
  <c r="F172" i="17"/>
  <c r="F175" i="17"/>
  <c r="F178" i="17"/>
  <c r="F168" i="17"/>
  <c r="F203" i="17"/>
  <c r="F206" i="17"/>
  <c r="F187" i="17"/>
  <c r="F218" i="17"/>
  <c r="F28" i="17"/>
  <c r="F228" i="17"/>
  <c r="F257" i="17"/>
  <c r="F298" i="17"/>
  <c r="F304" i="17"/>
  <c r="F307" i="17"/>
  <c r="F313" i="17"/>
  <c r="F316" i="17"/>
  <c r="F319" i="17"/>
  <c r="F297" i="17"/>
  <c r="F322" i="17"/>
  <c r="F337" i="17"/>
  <c r="F344" i="17"/>
  <c r="F347" i="17"/>
  <c r="F227" i="17"/>
  <c r="F354" i="17"/>
  <c r="F357" i="17"/>
  <c r="F360" i="17"/>
  <c r="F363" i="17"/>
  <c r="F370" i="17"/>
  <c r="F350" i="17"/>
  <c r="F380" i="17"/>
  <c r="F383" i="17"/>
  <c r="F373" i="17"/>
  <c r="F404" i="17"/>
  <c r="F407" i="17"/>
  <c r="F410" i="17"/>
  <c r="F413" i="17"/>
  <c r="F403" i="17"/>
  <c r="F422" i="17"/>
  <c r="F416" i="17"/>
  <c r="F425" i="17"/>
  <c r="F443" i="17"/>
  <c r="F449" i="17"/>
  <c r="F452" i="17"/>
  <c r="F435" i="17"/>
  <c r="F459" i="17"/>
  <c r="F455" i="17"/>
  <c r="F467" i="17"/>
  <c r="F470" i="17"/>
  <c r="F473" i="17"/>
  <c r="F466" i="17"/>
  <c r="F477" i="17"/>
  <c r="F480" i="17"/>
  <c r="F483" i="17"/>
  <c r="F476" i="17"/>
  <c r="F349" i="17"/>
  <c r="F491" i="17"/>
  <c r="F494" i="17"/>
  <c r="F497" i="17"/>
  <c r="F500" i="17"/>
  <c r="F490" i="17"/>
  <c r="F507" i="17"/>
  <c r="F503" i="17"/>
  <c r="F485" i="17"/>
  <c r="F521" i="17"/>
  <c r="F526" i="17"/>
  <c r="F529" i="17"/>
  <c r="F532" i="17"/>
  <c r="F525" i="17"/>
  <c r="F524" i="17"/>
  <c r="F557" i="17"/>
  <c r="F565" i="17"/>
  <c r="F549" i="17"/>
  <c r="F571" i="17"/>
  <c r="F574" i="17"/>
  <c r="F582" i="17"/>
  <c r="F590" i="17"/>
  <c r="F548" i="17"/>
  <c r="F602" i="17"/>
  <c r="F605" i="17"/>
  <c r="F601" i="17"/>
  <c r="F523" i="17"/>
  <c r="F622" i="17"/>
  <c r="F625" i="17"/>
  <c r="F628" i="17"/>
  <c r="F632" i="17"/>
  <c r="F635" i="17"/>
  <c r="F638" i="17"/>
  <c r="F621" i="17"/>
  <c r="F641" i="17"/>
  <c r="F644" i="17"/>
  <c r="F645" i="17"/>
  <c r="F646" i="17"/>
  <c r="G646" i="17"/>
  <c r="J645" i="17"/>
  <c r="H645" i="17"/>
  <c r="G645" i="17"/>
  <c r="E4" i="17"/>
  <c r="E29" i="17"/>
  <c r="E45" i="17"/>
  <c r="E75" i="17"/>
  <c r="E108" i="17"/>
  <c r="E133" i="17"/>
  <c r="E147" i="17"/>
  <c r="E168" i="17"/>
  <c r="E187" i="17"/>
  <c r="E28" i="17"/>
  <c r="E228" i="17"/>
  <c r="E257" i="17"/>
  <c r="E297" i="17"/>
  <c r="E322" i="17"/>
  <c r="E337" i="17"/>
  <c r="E227" i="17"/>
  <c r="E350" i="17"/>
  <c r="E373" i="17"/>
  <c r="E403" i="17"/>
  <c r="E416" i="17"/>
  <c r="E425" i="17"/>
  <c r="E435" i="17"/>
  <c r="E455" i="17"/>
  <c r="E466" i="17"/>
  <c r="E476" i="17"/>
  <c r="E349" i="17"/>
  <c r="E490" i="17"/>
  <c r="E485" i="17"/>
  <c r="E521" i="17"/>
  <c r="E645" i="17"/>
  <c r="D645" i="17"/>
  <c r="J644" i="17"/>
  <c r="H644" i="17"/>
  <c r="G644" i="17"/>
  <c r="D644" i="17"/>
  <c r="J643" i="17"/>
  <c r="F642" i="17"/>
  <c r="F643" i="17"/>
  <c r="H643" i="17"/>
  <c r="G643" i="17"/>
  <c r="D643" i="17"/>
  <c r="J642" i="17"/>
  <c r="H642" i="17"/>
  <c r="G642" i="17"/>
  <c r="D642" i="17"/>
  <c r="D641" i="17"/>
  <c r="J641" i="17"/>
  <c r="H641" i="17"/>
  <c r="G640" i="17"/>
  <c r="G639" i="17"/>
  <c r="G638" i="17"/>
  <c r="D638" i="17"/>
  <c r="J638" i="17"/>
  <c r="H638" i="17"/>
  <c r="G636" i="17"/>
  <c r="G635" i="17"/>
  <c r="D635" i="17"/>
  <c r="J635" i="17"/>
  <c r="H635" i="17"/>
  <c r="G632" i="17"/>
  <c r="D632" i="17"/>
  <c r="J632" i="17"/>
  <c r="H632" i="17"/>
  <c r="G631" i="17"/>
  <c r="G630" i="17"/>
  <c r="G629" i="17"/>
  <c r="K628" i="17"/>
  <c r="J628" i="17"/>
  <c r="I628" i="17"/>
  <c r="H628" i="17"/>
  <c r="G628" i="17"/>
  <c r="D628" i="17"/>
  <c r="G625" i="17"/>
  <c r="D625" i="17"/>
  <c r="J625" i="17"/>
  <c r="H625" i="17"/>
  <c r="G622" i="17"/>
  <c r="D622" i="17"/>
  <c r="J622" i="17"/>
  <c r="H622" i="17"/>
  <c r="G621" i="17"/>
  <c r="D621" i="17"/>
  <c r="J621" i="17"/>
  <c r="I621" i="17"/>
  <c r="H621" i="17"/>
  <c r="G618" i="17"/>
  <c r="D618" i="17"/>
  <c r="J618" i="17"/>
  <c r="H618" i="17"/>
  <c r="G615" i="17"/>
  <c r="D615" i="17"/>
  <c r="J615" i="17"/>
  <c r="H615" i="17"/>
  <c r="G612" i="17"/>
  <c r="D612" i="17"/>
  <c r="J612" i="17"/>
  <c r="H612" i="17"/>
  <c r="G609" i="17"/>
  <c r="D609" i="17"/>
  <c r="J609" i="17"/>
  <c r="H609" i="17"/>
  <c r="G608" i="17"/>
  <c r="D608" i="17"/>
  <c r="J608" i="17"/>
  <c r="I608" i="17"/>
  <c r="H608" i="17"/>
  <c r="G605" i="17"/>
  <c r="E605" i="17"/>
  <c r="D605" i="17"/>
  <c r="J605" i="17"/>
  <c r="I605" i="17"/>
  <c r="H605" i="17"/>
  <c r="G602" i="17"/>
  <c r="E602" i="17"/>
  <c r="D602" i="17"/>
  <c r="J602" i="17"/>
  <c r="I602" i="17"/>
  <c r="H602" i="17"/>
  <c r="I601" i="17"/>
  <c r="H601" i="17"/>
  <c r="G601" i="17"/>
  <c r="J598" i="17"/>
  <c r="I598" i="17"/>
  <c r="H598" i="17"/>
  <c r="G598" i="17"/>
  <c r="F598" i="17"/>
  <c r="G590" i="17"/>
  <c r="E590" i="17"/>
  <c r="D590" i="17"/>
  <c r="J590" i="17"/>
  <c r="I590" i="17"/>
  <c r="H590" i="17"/>
  <c r="G582" i="17"/>
  <c r="E582" i="17"/>
  <c r="D582" i="17"/>
  <c r="J582" i="17"/>
  <c r="I582" i="17"/>
  <c r="H582" i="17"/>
  <c r="G574" i="17"/>
  <c r="E574" i="17"/>
  <c r="D574" i="17"/>
  <c r="J574" i="17"/>
  <c r="I574" i="17"/>
  <c r="H574" i="17"/>
  <c r="G571" i="17"/>
  <c r="E571" i="17"/>
  <c r="D571" i="17"/>
  <c r="J571" i="17"/>
  <c r="I571" i="17"/>
  <c r="H571" i="17"/>
  <c r="G565" i="17"/>
  <c r="E565" i="17"/>
  <c r="D565" i="17"/>
  <c r="J565" i="17"/>
  <c r="I565" i="17"/>
  <c r="H565" i="17"/>
  <c r="G557" i="17"/>
  <c r="E557" i="17"/>
  <c r="D557" i="17"/>
  <c r="J557" i="17"/>
  <c r="I557" i="17"/>
  <c r="H557" i="17"/>
  <c r="G549" i="17"/>
  <c r="E549" i="17"/>
  <c r="D549" i="17"/>
  <c r="J549" i="17"/>
  <c r="I549" i="17"/>
  <c r="H549" i="17"/>
  <c r="G548" i="17"/>
  <c r="D548" i="17"/>
  <c r="J548" i="17"/>
  <c r="I548" i="17"/>
  <c r="H548" i="17"/>
  <c r="G542" i="17"/>
  <c r="D542" i="17"/>
  <c r="J542" i="17"/>
  <c r="H542" i="17"/>
  <c r="F542" i="17"/>
  <c r="G539" i="17"/>
  <c r="D539" i="17"/>
  <c r="J539" i="17"/>
  <c r="H539" i="17"/>
  <c r="F539" i="17"/>
  <c r="G536" i="17"/>
  <c r="D536" i="17"/>
  <c r="J536" i="17"/>
  <c r="H536" i="17"/>
  <c r="F536" i="17"/>
  <c r="G535" i="17"/>
  <c r="E535" i="17"/>
  <c r="D535" i="17"/>
  <c r="J535" i="17"/>
  <c r="F535" i="17"/>
  <c r="I535" i="17"/>
  <c r="H535" i="17"/>
  <c r="G533" i="17"/>
  <c r="G532" i="17"/>
  <c r="D532" i="17"/>
  <c r="J532" i="17"/>
  <c r="H532" i="17"/>
  <c r="G530" i="17"/>
  <c r="G529" i="17"/>
  <c r="D529" i="17"/>
  <c r="J529" i="17"/>
  <c r="H529" i="17"/>
  <c r="G526" i="17"/>
  <c r="D526" i="17"/>
  <c r="J526" i="17"/>
  <c r="H526" i="17"/>
  <c r="G525" i="17"/>
  <c r="E525" i="17"/>
  <c r="D525" i="17"/>
  <c r="J525" i="17"/>
  <c r="I525" i="17"/>
  <c r="H525" i="17"/>
  <c r="I524" i="17"/>
  <c r="H524" i="17"/>
  <c r="G524" i="17"/>
  <c r="G523" i="17"/>
  <c r="D523" i="17"/>
  <c r="J523" i="17"/>
  <c r="I523" i="17"/>
  <c r="H523" i="17"/>
  <c r="H522" i="17"/>
  <c r="G522" i="17"/>
  <c r="D522" i="17"/>
  <c r="G6" i="17"/>
  <c r="G5" i="17"/>
  <c r="G10" i="17"/>
  <c r="G11" i="17"/>
  <c r="G9" i="17"/>
  <c r="G14" i="17"/>
  <c r="G13" i="17"/>
  <c r="G17" i="17"/>
  <c r="G18" i="17"/>
  <c r="G19" i="17"/>
  <c r="G23" i="17"/>
  <c r="G22" i="17"/>
  <c r="G16" i="17"/>
  <c r="G26" i="17"/>
  <c r="G25" i="17"/>
  <c r="G4" i="17"/>
  <c r="G31" i="17"/>
  <c r="G32" i="17"/>
  <c r="G33" i="17"/>
  <c r="G30" i="17"/>
  <c r="G35" i="17"/>
  <c r="G36" i="17"/>
  <c r="G37" i="17"/>
  <c r="G38" i="17"/>
  <c r="G39" i="17"/>
  <c r="G34" i="17"/>
  <c r="G42" i="17"/>
  <c r="G43" i="17"/>
  <c r="G44" i="17"/>
  <c r="G41" i="17"/>
  <c r="G29" i="17"/>
  <c r="G47" i="17"/>
  <c r="G48" i="17"/>
  <c r="G46" i="17"/>
  <c r="G50" i="17"/>
  <c r="G49" i="17"/>
  <c r="G53" i="17"/>
  <c r="G52" i="17"/>
  <c r="G56" i="17"/>
  <c r="G57" i="17"/>
  <c r="G55" i="17"/>
  <c r="G60" i="17"/>
  <c r="G61" i="17"/>
  <c r="G62" i="17"/>
  <c r="G59" i="17"/>
  <c r="G65" i="17"/>
  <c r="G66" i="17"/>
  <c r="G67" i="17"/>
  <c r="G68" i="17"/>
  <c r="G69" i="17"/>
  <c r="G64" i="17"/>
  <c r="G71" i="17"/>
  <c r="G72" i="17"/>
  <c r="G73" i="17"/>
  <c r="G74" i="17"/>
  <c r="G70" i="17"/>
  <c r="G45" i="17"/>
  <c r="G99" i="17"/>
  <c r="G100" i="17"/>
  <c r="G98" i="17"/>
  <c r="G85" i="17"/>
  <c r="G86" i="17"/>
  <c r="G84" i="17"/>
  <c r="G88" i="17"/>
  <c r="G77" i="17"/>
  <c r="G78" i="17"/>
  <c r="G79" i="17"/>
  <c r="G80" i="17"/>
  <c r="G81" i="17"/>
  <c r="G82" i="17"/>
  <c r="G76" i="17"/>
  <c r="G91" i="17"/>
  <c r="G103" i="17"/>
  <c r="G95" i="17"/>
  <c r="G96" i="17"/>
  <c r="G94" i="17"/>
  <c r="G75" i="17"/>
  <c r="G110" i="17"/>
  <c r="G111" i="17"/>
  <c r="G112" i="17"/>
  <c r="G109" i="17"/>
  <c r="G115" i="17"/>
  <c r="G116" i="17"/>
  <c r="G117" i="17"/>
  <c r="G118" i="17"/>
  <c r="G119" i="17"/>
  <c r="G120" i="17"/>
  <c r="G121" i="17"/>
  <c r="G122" i="17"/>
  <c r="G114" i="17"/>
  <c r="G125" i="17"/>
  <c r="G126" i="17"/>
  <c r="G127" i="17"/>
  <c r="G124" i="17"/>
  <c r="G130" i="17"/>
  <c r="G131" i="17"/>
  <c r="G129" i="17"/>
  <c r="G108" i="17"/>
  <c r="G135" i="17"/>
  <c r="G136" i="17"/>
  <c r="G134" i="17"/>
  <c r="G138" i="17"/>
  <c r="G141" i="17"/>
  <c r="G145" i="17"/>
  <c r="G144" i="17"/>
  <c r="G133" i="17"/>
  <c r="G149" i="17"/>
  <c r="G150" i="17"/>
  <c r="G148" i="17"/>
  <c r="G153" i="17"/>
  <c r="G154" i="17"/>
  <c r="G152" i="17"/>
  <c r="G157" i="17"/>
  <c r="G156" i="17"/>
  <c r="G160" i="17"/>
  <c r="G159" i="17"/>
  <c r="G162" i="17"/>
  <c r="G165" i="17"/>
  <c r="G147" i="17"/>
  <c r="G169" i="17"/>
  <c r="G172" i="17"/>
  <c r="G175" i="17"/>
  <c r="G178" i="17"/>
  <c r="G182" i="17"/>
  <c r="G181" i="17"/>
  <c r="G185" i="17"/>
  <c r="G184" i="17"/>
  <c r="G168" i="17"/>
  <c r="G189" i="17"/>
  <c r="G190" i="17"/>
  <c r="G188" i="17"/>
  <c r="G194" i="17"/>
  <c r="G195" i="17"/>
  <c r="G196" i="17"/>
  <c r="G193" i="17"/>
  <c r="G199" i="17"/>
  <c r="G200" i="17"/>
  <c r="G201" i="17"/>
  <c r="G198" i="17"/>
  <c r="G203" i="17"/>
  <c r="G206" i="17"/>
  <c r="G210" i="17"/>
  <c r="G211" i="17"/>
  <c r="G209" i="17"/>
  <c r="G214" i="17"/>
  <c r="G215" i="17"/>
  <c r="G216" i="17"/>
  <c r="G213" i="17"/>
  <c r="G187" i="17"/>
  <c r="G219" i="17"/>
  <c r="G220" i="17"/>
  <c r="G221" i="17"/>
  <c r="G222" i="17"/>
  <c r="G223" i="17"/>
  <c r="G224" i="17"/>
  <c r="G225" i="17"/>
  <c r="G226" i="17"/>
  <c r="G218" i="17"/>
  <c r="G28" i="17"/>
  <c r="G230" i="17"/>
  <c r="G229" i="17"/>
  <c r="G233" i="17"/>
  <c r="G232" i="17"/>
  <c r="G236" i="17"/>
  <c r="G240" i="17"/>
  <c r="G241" i="17"/>
  <c r="G242" i="17"/>
  <c r="G243" i="17"/>
  <c r="G239" i="17"/>
  <c r="G245" i="17"/>
  <c r="G249" i="17"/>
  <c r="G248" i="17"/>
  <c r="G253" i="17"/>
  <c r="G254" i="17"/>
  <c r="G255" i="17"/>
  <c r="G252" i="17"/>
  <c r="G228" i="17"/>
  <c r="G259" i="17"/>
  <c r="G260" i="17"/>
  <c r="G261" i="17"/>
  <c r="G262" i="17"/>
  <c r="G263" i="17"/>
  <c r="G264" i="17"/>
  <c r="G258" i="17"/>
  <c r="G267" i="17"/>
  <c r="G266" i="17"/>
  <c r="G271" i="17"/>
  <c r="G272" i="17"/>
  <c r="G273" i="17"/>
  <c r="G270" i="17"/>
  <c r="G275" i="17"/>
  <c r="G276" i="17"/>
  <c r="G277" i="17"/>
  <c r="G274" i="17"/>
  <c r="G280" i="17"/>
  <c r="G279" i="17"/>
  <c r="G283" i="17"/>
  <c r="G282" i="17"/>
  <c r="G286" i="17"/>
  <c r="G287" i="17"/>
  <c r="G288" i="17"/>
  <c r="G285" i="17"/>
  <c r="G293" i="17"/>
  <c r="G292" i="17"/>
  <c r="G257" i="17"/>
  <c r="G298" i="17"/>
  <c r="G302" i="17"/>
  <c r="G301" i="17"/>
  <c r="G304" i="17"/>
  <c r="G307" i="17"/>
  <c r="G311" i="17"/>
  <c r="G312" i="17"/>
  <c r="G310" i="17"/>
  <c r="G313" i="17"/>
  <c r="G316" i="17"/>
  <c r="G319" i="17"/>
  <c r="G297" i="17"/>
  <c r="G324" i="17"/>
  <c r="G325" i="17"/>
  <c r="G326" i="17"/>
  <c r="G327" i="17"/>
  <c r="G323" i="17"/>
  <c r="G329" i="17"/>
  <c r="G330" i="17"/>
  <c r="G331" i="17"/>
  <c r="G328" i="17"/>
  <c r="G334" i="17"/>
  <c r="G333" i="17"/>
  <c r="G322" i="17"/>
  <c r="G339" i="17"/>
  <c r="G338" i="17"/>
  <c r="G341" i="17"/>
  <c r="G340" i="17"/>
  <c r="G337" i="17"/>
  <c r="G344" i="17"/>
  <c r="G227" i="17"/>
  <c r="G352" i="17"/>
  <c r="G353" i="17"/>
  <c r="G351" i="17"/>
  <c r="G354" i="17"/>
  <c r="G357" i="17"/>
  <c r="G360" i="17"/>
  <c r="G363" i="17"/>
  <c r="G367" i="17"/>
  <c r="G368" i="17"/>
  <c r="G366" i="17"/>
  <c r="G370" i="17"/>
  <c r="G350" i="17"/>
  <c r="G375" i="17"/>
  <c r="G374" i="17"/>
  <c r="G378" i="17"/>
  <c r="G377" i="17"/>
  <c r="G380" i="17"/>
  <c r="G383" i="17"/>
  <c r="G400" i="17"/>
  <c r="G399" i="17"/>
  <c r="G387" i="17"/>
  <c r="G386" i="17"/>
  <c r="G391" i="17"/>
  <c r="G390" i="17"/>
  <c r="G394" i="17"/>
  <c r="G393" i="17"/>
  <c r="G397" i="17"/>
  <c r="G396" i="17"/>
  <c r="G373" i="17"/>
  <c r="G405" i="17"/>
  <c r="G404" i="17"/>
  <c r="G407" i="17"/>
  <c r="G410" i="17"/>
  <c r="G413" i="17"/>
  <c r="G403" i="17"/>
  <c r="G418" i="17"/>
  <c r="G419" i="17"/>
  <c r="G420" i="17"/>
  <c r="G421" i="17"/>
  <c r="G417" i="17"/>
  <c r="G422" i="17"/>
  <c r="G416" i="17"/>
  <c r="G427" i="17"/>
  <c r="G426" i="17"/>
  <c r="G430" i="17"/>
  <c r="G431" i="17"/>
  <c r="G429" i="17"/>
  <c r="G433" i="17"/>
  <c r="G432" i="17"/>
  <c r="G425" i="17"/>
  <c r="G437" i="17"/>
  <c r="G438" i="17"/>
  <c r="G436" i="17"/>
  <c r="G441" i="17"/>
  <c r="G440" i="17"/>
  <c r="G443" i="17"/>
  <c r="G447" i="17"/>
  <c r="G446" i="17"/>
  <c r="G449" i="17"/>
  <c r="G452" i="17"/>
  <c r="G435" i="17"/>
  <c r="G457" i="17"/>
  <c r="G456" i="17"/>
  <c r="G459" i="17"/>
  <c r="G463" i="17"/>
  <c r="G464" i="17"/>
  <c r="G462" i="17"/>
  <c r="G455" i="17"/>
  <c r="G467" i="17"/>
  <c r="G470" i="17"/>
  <c r="G473" i="17"/>
  <c r="G466" i="17"/>
  <c r="G477" i="17"/>
  <c r="G480" i="17"/>
  <c r="G483" i="17"/>
  <c r="G476" i="17"/>
  <c r="G349" i="17"/>
  <c r="G487" i="17"/>
  <c r="G488" i="17"/>
  <c r="G486" i="17"/>
  <c r="G491" i="17"/>
  <c r="G494" i="17"/>
  <c r="G497" i="17"/>
  <c r="G500" i="17"/>
  <c r="G490" i="17"/>
  <c r="G507" i="17"/>
  <c r="G503" i="17"/>
  <c r="G485" i="17"/>
  <c r="G511" i="17"/>
  <c r="G512" i="17"/>
  <c r="G513" i="17"/>
  <c r="G514" i="17"/>
  <c r="G515" i="17"/>
  <c r="G516" i="17"/>
  <c r="G510" i="17"/>
  <c r="G521" i="17"/>
  <c r="D5" i="17"/>
  <c r="D9" i="17"/>
  <c r="D13" i="17"/>
  <c r="D16" i="17"/>
  <c r="D19" i="17"/>
  <c r="D22" i="17"/>
  <c r="D25" i="17"/>
  <c r="D4" i="17"/>
  <c r="D30" i="17"/>
  <c r="D34" i="17"/>
  <c r="D41" i="17"/>
  <c r="D29" i="17"/>
  <c r="D46" i="17"/>
  <c r="D49" i="17"/>
  <c r="D52" i="17"/>
  <c r="D55" i="17"/>
  <c r="D59" i="17"/>
  <c r="D64" i="17"/>
  <c r="D70" i="17"/>
  <c r="D45" i="17"/>
  <c r="D98" i="17"/>
  <c r="D84" i="17"/>
  <c r="D88" i="17"/>
  <c r="D76" i="17"/>
  <c r="D91" i="17"/>
  <c r="D103" i="17"/>
  <c r="D94" i="17"/>
  <c r="D75" i="17"/>
  <c r="D109" i="17"/>
  <c r="D114" i="17"/>
  <c r="D124" i="17"/>
  <c r="D129" i="17"/>
  <c r="D108" i="17"/>
  <c r="D134" i="17"/>
  <c r="D138" i="17"/>
  <c r="D141" i="17"/>
  <c r="D144" i="17"/>
  <c r="D133" i="17"/>
  <c r="D148" i="17"/>
  <c r="D152" i="17"/>
  <c r="D156" i="17"/>
  <c r="D159" i="17"/>
  <c r="D162" i="17"/>
  <c r="D165" i="17"/>
  <c r="D147" i="17"/>
  <c r="D169" i="17"/>
  <c r="D172" i="17"/>
  <c r="D175" i="17"/>
  <c r="D178" i="17"/>
  <c r="D181" i="17"/>
  <c r="D184" i="17"/>
  <c r="D168" i="17"/>
  <c r="D188" i="17"/>
  <c r="D193" i="17"/>
  <c r="D198" i="17"/>
  <c r="D203" i="17"/>
  <c r="D206" i="17"/>
  <c r="D209" i="17"/>
  <c r="D213" i="17"/>
  <c r="D187" i="17"/>
  <c r="D28" i="17"/>
  <c r="D229" i="17"/>
  <c r="D232" i="17"/>
  <c r="D236" i="17"/>
  <c r="D239" i="17"/>
  <c r="D245" i="17"/>
  <c r="D248" i="17"/>
  <c r="D252" i="17"/>
  <c r="D228" i="17"/>
  <c r="D258" i="17"/>
  <c r="D266" i="17"/>
  <c r="D270" i="17"/>
  <c r="D274" i="17"/>
  <c r="D279" i="17"/>
  <c r="D282" i="17"/>
  <c r="D285" i="17"/>
  <c r="D292" i="17"/>
  <c r="D257" i="17"/>
  <c r="D298" i="17"/>
  <c r="D301" i="17"/>
  <c r="D304" i="17"/>
  <c r="D307" i="17"/>
  <c r="D310" i="17"/>
  <c r="D313" i="17"/>
  <c r="D316" i="17"/>
  <c r="D319" i="17"/>
  <c r="D297" i="17"/>
  <c r="D323" i="17"/>
  <c r="D328" i="17"/>
  <c r="D333" i="17"/>
  <c r="D322" i="17"/>
  <c r="D337" i="17"/>
  <c r="D344" i="17"/>
  <c r="D227" i="17"/>
  <c r="D351" i="17"/>
  <c r="D354" i="17"/>
  <c r="D357" i="17"/>
  <c r="D360" i="17"/>
  <c r="D363" i="17"/>
  <c r="D366" i="17"/>
  <c r="D370" i="17"/>
  <c r="D350" i="17"/>
  <c r="D374" i="17"/>
  <c r="D377" i="17"/>
  <c r="D380" i="17"/>
  <c r="D383" i="17"/>
  <c r="D399" i="17"/>
  <c r="D386" i="17"/>
  <c r="D390" i="17"/>
  <c r="D393" i="17"/>
  <c r="D396" i="17"/>
  <c r="D373" i="17"/>
  <c r="D404" i="17"/>
  <c r="D407" i="17"/>
  <c r="D410" i="17"/>
  <c r="D413" i="17"/>
  <c r="D403" i="17"/>
  <c r="D417" i="17"/>
  <c r="D422" i="17"/>
  <c r="D416" i="17"/>
  <c r="D426" i="17"/>
  <c r="D429" i="17"/>
  <c r="D432" i="17"/>
  <c r="D425" i="17"/>
  <c r="D436" i="17"/>
  <c r="D440" i="17"/>
  <c r="D443" i="17"/>
  <c r="D446" i="17"/>
  <c r="D449" i="17"/>
  <c r="D452" i="17"/>
  <c r="D435" i="17"/>
  <c r="D456" i="17"/>
  <c r="D459" i="17"/>
  <c r="D462" i="17"/>
  <c r="D455" i="17"/>
  <c r="D467" i="17"/>
  <c r="D470" i="17"/>
  <c r="D473" i="17"/>
  <c r="D466" i="17"/>
  <c r="D477" i="17"/>
  <c r="D480" i="17"/>
  <c r="D483" i="17"/>
  <c r="D476" i="17"/>
  <c r="D349" i="17"/>
  <c r="D486" i="17"/>
  <c r="D491" i="17"/>
  <c r="D494" i="17"/>
  <c r="D497" i="17"/>
  <c r="D500" i="17"/>
  <c r="D490" i="17"/>
  <c r="D503" i="17"/>
  <c r="D485" i="17"/>
  <c r="D510" i="17"/>
  <c r="D521" i="17"/>
  <c r="J521" i="17"/>
  <c r="I521" i="17"/>
  <c r="H5" i="17"/>
  <c r="H9" i="17"/>
  <c r="H13" i="17"/>
  <c r="H19" i="17"/>
  <c r="H22" i="17"/>
  <c r="H16" i="17"/>
  <c r="H25" i="17"/>
  <c r="H4" i="17"/>
  <c r="H30" i="17"/>
  <c r="H34" i="17"/>
  <c r="H41" i="17"/>
  <c r="H29" i="17"/>
  <c r="H46" i="17"/>
  <c r="H49" i="17"/>
  <c r="H52" i="17"/>
  <c r="H55" i="17"/>
  <c r="H59" i="17"/>
  <c r="H64" i="17"/>
  <c r="H70" i="17"/>
  <c r="H45" i="17"/>
  <c r="H98" i="17"/>
  <c r="H84" i="17"/>
  <c r="H88" i="17"/>
  <c r="H76" i="17"/>
  <c r="H91" i="17"/>
  <c r="H103" i="17"/>
  <c r="H94" i="17"/>
  <c r="H75" i="17"/>
  <c r="H109" i="17"/>
  <c r="H114" i="17"/>
  <c r="H124" i="17"/>
  <c r="H129" i="17"/>
  <c r="H108" i="17"/>
  <c r="H134" i="17"/>
  <c r="H138" i="17"/>
  <c r="H141" i="17"/>
  <c r="H144" i="17"/>
  <c r="H133" i="17"/>
  <c r="H148" i="17"/>
  <c r="H152" i="17"/>
  <c r="H156" i="17"/>
  <c r="H159" i="17"/>
  <c r="H162" i="17"/>
  <c r="H165" i="17"/>
  <c r="H147" i="17"/>
  <c r="H169" i="17"/>
  <c r="H172" i="17"/>
  <c r="H175" i="17"/>
  <c r="H178" i="17"/>
  <c r="H181" i="17"/>
  <c r="H184" i="17"/>
  <c r="H168" i="17"/>
  <c r="H188" i="17"/>
  <c r="H193" i="17"/>
  <c r="H198" i="17"/>
  <c r="H203" i="17"/>
  <c r="H206" i="17"/>
  <c r="H209" i="17"/>
  <c r="H213" i="17"/>
  <c r="H187" i="17"/>
  <c r="H218" i="17"/>
  <c r="H28" i="17"/>
  <c r="H229" i="17"/>
  <c r="H232" i="17"/>
  <c r="H236" i="17"/>
  <c r="H239" i="17"/>
  <c r="H245" i="17"/>
  <c r="H248" i="17"/>
  <c r="H252" i="17"/>
  <c r="H228" i="17"/>
  <c r="H258" i="17"/>
  <c r="H266" i="17"/>
  <c r="H270" i="17"/>
  <c r="H274" i="17"/>
  <c r="H279" i="17"/>
  <c r="H282" i="17"/>
  <c r="H285" i="17"/>
  <c r="H292" i="17"/>
  <c r="H257" i="17"/>
  <c r="H298" i="17"/>
  <c r="H301" i="17"/>
  <c r="H304" i="17"/>
  <c r="H307" i="17"/>
  <c r="H310" i="17"/>
  <c r="H313" i="17"/>
  <c r="H316" i="17"/>
  <c r="H319" i="17"/>
  <c r="H297" i="17"/>
  <c r="H323" i="17"/>
  <c r="H328" i="17"/>
  <c r="H333" i="17"/>
  <c r="H322" i="17"/>
  <c r="H338" i="17"/>
  <c r="H340" i="17"/>
  <c r="H337" i="17"/>
  <c r="H344" i="17"/>
  <c r="H347" i="17"/>
  <c r="H227" i="17"/>
  <c r="H351" i="17"/>
  <c r="H354" i="17"/>
  <c r="H357" i="17"/>
  <c r="H360" i="17"/>
  <c r="H363" i="17"/>
  <c r="H366" i="17"/>
  <c r="H370" i="17"/>
  <c r="H350" i="17"/>
  <c r="H374" i="17"/>
  <c r="H377" i="17"/>
  <c r="H380" i="17"/>
  <c r="H383" i="17"/>
  <c r="H399" i="17"/>
  <c r="H386" i="17"/>
  <c r="H390" i="17"/>
  <c r="H393" i="17"/>
  <c r="H396" i="17"/>
  <c r="H373" i="17"/>
  <c r="H404" i="17"/>
  <c r="H407" i="17"/>
  <c r="H410" i="17"/>
  <c r="H413" i="17"/>
  <c r="H403" i="17"/>
  <c r="H417" i="17"/>
  <c r="H422" i="17"/>
  <c r="H416" i="17"/>
  <c r="H426" i="17"/>
  <c r="H429" i="17"/>
  <c r="H432" i="17"/>
  <c r="H425" i="17"/>
  <c r="H436" i="17"/>
  <c r="H440" i="17"/>
  <c r="H443" i="17"/>
  <c r="H446" i="17"/>
  <c r="H449" i="17"/>
  <c r="H452" i="17"/>
  <c r="H435" i="17"/>
  <c r="H456" i="17"/>
  <c r="H459" i="17"/>
  <c r="H462" i="17"/>
  <c r="H455" i="17"/>
  <c r="H467" i="17"/>
  <c r="H470" i="17"/>
  <c r="H473" i="17"/>
  <c r="H466" i="17"/>
  <c r="H477" i="17"/>
  <c r="H480" i="17"/>
  <c r="H483" i="17"/>
  <c r="H476" i="17"/>
  <c r="H349" i="17"/>
  <c r="H486" i="17"/>
  <c r="H491" i="17"/>
  <c r="H494" i="17"/>
  <c r="H497" i="17"/>
  <c r="H500" i="17"/>
  <c r="H490" i="17"/>
  <c r="H507" i="17"/>
  <c r="H503" i="17"/>
  <c r="H485" i="17"/>
  <c r="H510" i="17"/>
  <c r="H521" i="17"/>
  <c r="J510" i="17"/>
  <c r="J486" i="17"/>
  <c r="J490" i="17"/>
  <c r="J507" i="17"/>
  <c r="J503" i="17"/>
  <c r="J485" i="17"/>
  <c r="J349" i="17"/>
  <c r="J227" i="17"/>
  <c r="J29" i="17"/>
  <c r="J45" i="17"/>
  <c r="J75" i="17"/>
  <c r="J114" i="17"/>
  <c r="J124" i="17"/>
  <c r="J129" i="17"/>
  <c r="J108" i="17"/>
  <c r="J218" i="17"/>
  <c r="J28" i="17"/>
  <c r="J520" i="17"/>
  <c r="I510" i="17"/>
  <c r="I486" i="17"/>
  <c r="I490" i="17"/>
  <c r="I507" i="17"/>
  <c r="I503" i="17"/>
  <c r="I485" i="17"/>
  <c r="I349" i="17"/>
  <c r="I227" i="17"/>
  <c r="I29" i="17"/>
  <c r="I45" i="17"/>
  <c r="I75" i="17"/>
  <c r="I114" i="17"/>
  <c r="I124" i="17"/>
  <c r="I129" i="17"/>
  <c r="I108" i="17"/>
  <c r="I218" i="17"/>
  <c r="I28" i="17"/>
  <c r="I520" i="17"/>
  <c r="H520" i="17"/>
  <c r="G520" i="17"/>
  <c r="F520" i="17"/>
  <c r="E520" i="17"/>
  <c r="D520" i="17"/>
  <c r="M507" i="17"/>
  <c r="J497" i="17"/>
  <c r="I497" i="17"/>
  <c r="J476" i="17"/>
  <c r="I476" i="17"/>
  <c r="J466" i="17"/>
  <c r="I466" i="17"/>
  <c r="J459" i="17"/>
  <c r="I459" i="17"/>
  <c r="J455" i="17"/>
  <c r="I455" i="17"/>
  <c r="J452" i="17"/>
  <c r="I452" i="17"/>
  <c r="J440" i="17"/>
  <c r="I440" i="17"/>
  <c r="J435" i="17"/>
  <c r="I435" i="17"/>
  <c r="J425" i="17"/>
  <c r="I425" i="17"/>
  <c r="J416" i="17"/>
  <c r="I416" i="17"/>
  <c r="J403" i="17"/>
  <c r="I403" i="17"/>
  <c r="G401" i="17"/>
  <c r="J377" i="17"/>
  <c r="I377" i="17"/>
  <c r="J374" i="17"/>
  <c r="I374" i="17"/>
  <c r="J373" i="17"/>
  <c r="I373" i="17"/>
  <c r="J351" i="17"/>
  <c r="I351" i="17"/>
  <c r="J350" i="17"/>
  <c r="I350" i="17"/>
  <c r="J344" i="17"/>
  <c r="I344" i="17"/>
  <c r="D340" i="17"/>
  <c r="D338" i="17"/>
  <c r="J337" i="17"/>
  <c r="I337" i="17"/>
  <c r="J322" i="17"/>
  <c r="I322" i="17"/>
  <c r="I319" i="17"/>
  <c r="I316" i="17"/>
  <c r="I313" i="17"/>
  <c r="I310" i="17"/>
  <c r="I307" i="17"/>
  <c r="I304" i="17"/>
  <c r="I301" i="17"/>
  <c r="I298" i="17"/>
  <c r="J297" i="17"/>
  <c r="I297" i="17"/>
  <c r="I292" i="17"/>
  <c r="G289" i="17"/>
  <c r="I285" i="17"/>
  <c r="I282" i="17"/>
  <c r="I279" i="17"/>
  <c r="I274" i="17"/>
  <c r="I270" i="17"/>
  <c r="I266" i="17"/>
  <c r="I258" i="17"/>
  <c r="J257" i="17"/>
  <c r="I257" i="17"/>
  <c r="J228" i="17"/>
  <c r="I228" i="17"/>
  <c r="K218" i="17"/>
  <c r="J203" i="17"/>
  <c r="I203" i="17"/>
  <c r="J187" i="17"/>
  <c r="I187" i="17"/>
  <c r="J178" i="17"/>
  <c r="I178" i="17"/>
  <c r="J168" i="17"/>
  <c r="I168" i="17"/>
  <c r="J147" i="17"/>
  <c r="I147" i="17"/>
  <c r="J144" i="17"/>
  <c r="I144" i="17"/>
  <c r="J134" i="17"/>
  <c r="I134" i="17"/>
  <c r="J133" i="17"/>
  <c r="I133" i="17"/>
  <c r="J107" i="17"/>
  <c r="J106" i="17"/>
  <c r="J103" i="17"/>
  <c r="I103" i="17"/>
  <c r="J94" i="17"/>
  <c r="I94" i="17"/>
  <c r="J88" i="17"/>
  <c r="I88" i="17"/>
  <c r="J70" i="17"/>
  <c r="I70" i="17"/>
  <c r="J64" i="17"/>
  <c r="I64" i="17"/>
  <c r="J49" i="17"/>
  <c r="I49" i="17"/>
  <c r="J25" i="17"/>
  <c r="I25" i="17"/>
  <c r="J22" i="17"/>
  <c r="I22" i="17"/>
  <c r="J19" i="17"/>
  <c r="I19" i="17"/>
  <c r="J16" i="17"/>
  <c r="I16" i="17"/>
  <c r="J13" i="17"/>
  <c r="I13" i="17"/>
  <c r="J9" i="17"/>
  <c r="I9" i="17"/>
  <c r="J5" i="17"/>
  <c r="I5" i="17"/>
  <c r="J4" i="17"/>
  <c r="I4" i="17"/>
  <c r="J9" i="16"/>
  <c r="N9" i="16"/>
  <c r="J10" i="16"/>
  <c r="L10" i="16"/>
  <c r="N10" i="16"/>
  <c r="J11" i="16"/>
  <c r="L11" i="16"/>
  <c r="N11" i="16"/>
  <c r="J12" i="16"/>
  <c r="N12" i="16"/>
  <c r="J13" i="16"/>
  <c r="L13" i="16"/>
  <c r="N13" i="16"/>
  <c r="J14" i="16"/>
  <c r="N14" i="16"/>
  <c r="J15" i="16"/>
  <c r="N15" i="16"/>
  <c r="N8" i="16"/>
  <c r="J18" i="16"/>
  <c r="L18" i="16"/>
  <c r="N18" i="16"/>
  <c r="J19" i="16"/>
  <c r="N19" i="16"/>
  <c r="J20" i="16"/>
  <c r="N20" i="16"/>
  <c r="N17" i="16"/>
  <c r="J22" i="16"/>
  <c r="L22" i="16"/>
  <c r="N22" i="16"/>
  <c r="J23" i="16"/>
  <c r="N23" i="16"/>
  <c r="J24" i="16"/>
  <c r="N24" i="16"/>
  <c r="J25" i="16"/>
  <c r="N25" i="16"/>
  <c r="J26" i="16"/>
  <c r="N26" i="16"/>
  <c r="J27" i="16"/>
  <c r="L27" i="16"/>
  <c r="N27" i="16"/>
  <c r="N21" i="16"/>
  <c r="J29" i="16"/>
  <c r="N29" i="16"/>
  <c r="J30" i="16"/>
  <c r="N30" i="16"/>
  <c r="J31" i="16"/>
  <c r="N31" i="16"/>
  <c r="J32" i="16"/>
  <c r="N32" i="16"/>
  <c r="J33" i="16"/>
  <c r="L33" i="16"/>
  <c r="N33" i="16"/>
  <c r="J34" i="16"/>
  <c r="N34" i="16"/>
  <c r="J35" i="16"/>
  <c r="N35" i="16"/>
  <c r="N28" i="16"/>
  <c r="J37" i="16"/>
  <c r="N37" i="16"/>
  <c r="J38" i="16"/>
  <c r="L38" i="16"/>
  <c r="N38" i="16"/>
  <c r="J39" i="16"/>
  <c r="L39" i="16"/>
  <c r="N39" i="16"/>
  <c r="J40" i="16"/>
  <c r="L40" i="16"/>
  <c r="N40" i="16"/>
  <c r="N36" i="16"/>
  <c r="J42" i="16"/>
  <c r="N42" i="16"/>
  <c r="J43" i="16"/>
  <c r="L43" i="16"/>
  <c r="N43" i="16"/>
  <c r="J44" i="16"/>
  <c r="N44" i="16"/>
  <c r="J45" i="16"/>
  <c r="N45" i="16"/>
  <c r="N41" i="16"/>
  <c r="J49" i="16"/>
  <c r="N49" i="16"/>
  <c r="J50" i="16"/>
  <c r="L50" i="16"/>
  <c r="N50" i="16"/>
  <c r="J51" i="16"/>
  <c r="N51" i="16"/>
  <c r="J52" i="16"/>
  <c r="N52" i="16"/>
  <c r="J53" i="16"/>
  <c r="N53" i="16"/>
  <c r="J54" i="16"/>
  <c r="L54" i="16"/>
  <c r="N54" i="16"/>
  <c r="N48" i="16"/>
  <c r="J56" i="16"/>
  <c r="L56" i="16"/>
  <c r="N56" i="16"/>
  <c r="J57" i="16"/>
  <c r="L57" i="16"/>
  <c r="N57" i="16"/>
  <c r="J58" i="16"/>
  <c r="L58" i="16"/>
  <c r="N58" i="16"/>
  <c r="J59" i="16"/>
  <c r="L59" i="16"/>
  <c r="N59" i="16"/>
  <c r="J60" i="16"/>
  <c r="L60" i="16"/>
  <c r="N60" i="16"/>
  <c r="J61" i="16"/>
  <c r="L61" i="16"/>
  <c r="N61" i="16"/>
  <c r="N55" i="16"/>
  <c r="J63" i="16"/>
  <c r="L63" i="16"/>
  <c r="N63" i="16"/>
  <c r="J64" i="16"/>
  <c r="L64" i="16"/>
  <c r="N64" i="16"/>
  <c r="J65" i="16"/>
  <c r="L65" i="16"/>
  <c r="N65" i="16"/>
  <c r="J66" i="16"/>
  <c r="L66" i="16"/>
  <c r="N66" i="16"/>
  <c r="J67" i="16"/>
  <c r="L67" i="16"/>
  <c r="N67" i="16"/>
  <c r="J68" i="16"/>
  <c r="L68" i="16"/>
  <c r="N68" i="16"/>
  <c r="J69" i="16"/>
  <c r="L69" i="16"/>
  <c r="N69" i="16"/>
  <c r="N62" i="16"/>
  <c r="N16" i="16"/>
  <c r="J72" i="16"/>
  <c r="N72" i="16"/>
  <c r="J73" i="16"/>
  <c r="N73" i="16"/>
  <c r="J74" i="16"/>
  <c r="L74" i="16"/>
  <c r="N74" i="16"/>
  <c r="J75" i="16"/>
  <c r="L75" i="16"/>
  <c r="N75" i="16"/>
  <c r="J76" i="16"/>
  <c r="L76" i="16"/>
  <c r="N76" i="16"/>
  <c r="J77" i="16"/>
  <c r="N77" i="16"/>
  <c r="J78" i="16"/>
  <c r="N78" i="16"/>
  <c r="N71" i="16"/>
  <c r="J80" i="16"/>
  <c r="L80" i="16"/>
  <c r="N80" i="16"/>
  <c r="J81" i="16"/>
  <c r="L81" i="16"/>
  <c r="N81" i="16"/>
  <c r="J82" i="16"/>
  <c r="N82" i="16"/>
  <c r="J83" i="16"/>
  <c r="L83" i="16"/>
  <c r="N83" i="16"/>
  <c r="J84" i="16"/>
  <c r="L84" i="16"/>
  <c r="N84" i="16"/>
  <c r="J85" i="16"/>
  <c r="L85" i="16"/>
  <c r="N85" i="16"/>
  <c r="J86" i="16"/>
  <c r="L86" i="16"/>
  <c r="N86" i="16"/>
  <c r="J87" i="16"/>
  <c r="L87" i="16"/>
  <c r="N87" i="16"/>
  <c r="N79" i="16"/>
  <c r="J89" i="16"/>
  <c r="L89" i="16"/>
  <c r="N89" i="16"/>
  <c r="J90" i="16"/>
  <c r="L90" i="16"/>
  <c r="N90" i="16"/>
  <c r="J91" i="16"/>
  <c r="L91" i="16"/>
  <c r="N91" i="16"/>
  <c r="J92" i="16"/>
  <c r="L92" i="16"/>
  <c r="N92" i="16"/>
  <c r="J93" i="16"/>
  <c r="N93" i="16"/>
  <c r="J94" i="16"/>
  <c r="N94" i="16"/>
  <c r="J95" i="16"/>
  <c r="L95" i="16"/>
  <c r="N95" i="16"/>
  <c r="J96" i="16"/>
  <c r="L96" i="16"/>
  <c r="N96" i="16"/>
  <c r="N88" i="16"/>
  <c r="J98" i="16"/>
  <c r="L98" i="16"/>
  <c r="N98" i="16"/>
  <c r="J99" i="16"/>
  <c r="L99" i="16"/>
  <c r="N99" i="16"/>
  <c r="J100" i="16"/>
  <c r="L100" i="16"/>
  <c r="N100" i="16"/>
  <c r="N97" i="16"/>
  <c r="J102" i="16"/>
  <c r="N102" i="16"/>
  <c r="J103" i="16"/>
  <c r="N103" i="16"/>
  <c r="N101" i="16"/>
  <c r="J104" i="16"/>
  <c r="N104" i="16"/>
  <c r="N70" i="16"/>
  <c r="J107" i="16"/>
  <c r="L107" i="16"/>
  <c r="N107" i="16"/>
  <c r="J108" i="16"/>
  <c r="L108" i="16"/>
  <c r="N108" i="16"/>
  <c r="J109" i="16"/>
  <c r="L109" i="16"/>
  <c r="N109" i="16"/>
  <c r="J110" i="16"/>
  <c r="L110" i="16"/>
  <c r="N110" i="16"/>
  <c r="J111" i="16"/>
  <c r="L111" i="16"/>
  <c r="N111" i="16"/>
  <c r="J112" i="16"/>
  <c r="L112" i="16"/>
  <c r="N112" i="16"/>
  <c r="J113" i="16"/>
  <c r="L113" i="16"/>
  <c r="N113" i="16"/>
  <c r="N106" i="16"/>
  <c r="J115" i="16"/>
  <c r="L115" i="16"/>
  <c r="N115" i="16"/>
  <c r="J116" i="16"/>
  <c r="L116" i="16"/>
  <c r="N116" i="16"/>
  <c r="J117" i="16"/>
  <c r="L117" i="16"/>
  <c r="N117" i="16"/>
  <c r="J118" i="16"/>
  <c r="L118" i="16"/>
  <c r="N118" i="16"/>
  <c r="J119" i="16"/>
  <c r="L119" i="16"/>
  <c r="N119" i="16"/>
  <c r="J120" i="16"/>
  <c r="L120" i="16"/>
  <c r="N120" i="16"/>
  <c r="J121" i="16"/>
  <c r="L121" i="16"/>
  <c r="N121" i="16"/>
  <c r="J122" i="16"/>
  <c r="L122" i="16"/>
  <c r="N122" i="16"/>
  <c r="J123" i="16"/>
  <c r="L123" i="16"/>
  <c r="N123" i="16"/>
  <c r="N114" i="16"/>
  <c r="J125" i="16"/>
  <c r="L125" i="16"/>
  <c r="N125" i="16"/>
  <c r="J126" i="16"/>
  <c r="L126" i="16"/>
  <c r="N126" i="16"/>
  <c r="J127" i="16"/>
  <c r="L127" i="16"/>
  <c r="N127" i="16"/>
  <c r="J128" i="16"/>
  <c r="L128" i="16"/>
  <c r="N128" i="16"/>
  <c r="N124" i="16"/>
  <c r="J130" i="16"/>
  <c r="L130" i="16"/>
  <c r="N130" i="16"/>
  <c r="J131" i="16"/>
  <c r="L131" i="16"/>
  <c r="N131" i="16"/>
  <c r="N129" i="16"/>
  <c r="J133" i="16"/>
  <c r="N133" i="16"/>
  <c r="J134" i="16"/>
  <c r="L134" i="16"/>
  <c r="N134" i="16"/>
  <c r="J135" i="16"/>
  <c r="L135" i="16"/>
  <c r="N135" i="16"/>
  <c r="N132" i="16"/>
  <c r="J137" i="16"/>
  <c r="L137" i="16"/>
  <c r="N137" i="16"/>
  <c r="J138" i="16"/>
  <c r="L138" i="16"/>
  <c r="N138" i="16"/>
  <c r="J139" i="16"/>
  <c r="N139" i="16"/>
  <c r="J140" i="16"/>
  <c r="L140" i="16"/>
  <c r="N140" i="16"/>
  <c r="J141" i="16"/>
  <c r="L141" i="16"/>
  <c r="N141" i="16"/>
  <c r="J142" i="16"/>
  <c r="L142" i="16"/>
  <c r="N142" i="16"/>
  <c r="N136" i="16"/>
  <c r="J144" i="16"/>
  <c r="N144" i="16"/>
  <c r="J145" i="16"/>
  <c r="N145" i="16"/>
  <c r="J146" i="16"/>
  <c r="N146" i="16"/>
  <c r="N143" i="16"/>
  <c r="J148" i="16"/>
  <c r="L148" i="16"/>
  <c r="N148" i="16"/>
  <c r="J149" i="16"/>
  <c r="L149" i="16"/>
  <c r="N149" i="16"/>
  <c r="J150" i="16"/>
  <c r="L150" i="16"/>
  <c r="N150" i="16"/>
  <c r="N147" i="16"/>
  <c r="J152" i="16"/>
  <c r="L152" i="16"/>
  <c r="N152" i="16"/>
  <c r="J153" i="16"/>
  <c r="L153" i="16"/>
  <c r="N153" i="16"/>
  <c r="J154" i="16"/>
  <c r="L154" i="16"/>
  <c r="N154" i="16"/>
  <c r="N151" i="16"/>
  <c r="N105" i="16"/>
  <c r="J156" i="16"/>
  <c r="L156" i="16"/>
  <c r="N156" i="16"/>
  <c r="J158" i="16"/>
  <c r="L158" i="16"/>
  <c r="N158" i="16"/>
  <c r="J159" i="16"/>
  <c r="L159" i="16"/>
  <c r="N159" i="16"/>
  <c r="J160" i="16"/>
  <c r="L160" i="16"/>
  <c r="N160" i="16"/>
  <c r="J161" i="16"/>
  <c r="L161" i="16"/>
  <c r="N161" i="16"/>
  <c r="N157" i="16"/>
  <c r="N155" i="16"/>
  <c r="J163" i="16"/>
  <c r="L163" i="16"/>
  <c r="N163" i="16"/>
  <c r="N164" i="16"/>
  <c r="N167" i="16"/>
  <c r="L168" i="16"/>
  <c r="N168" i="16"/>
  <c r="J169" i="16"/>
  <c r="L169" i="16"/>
  <c r="N169" i="16"/>
  <c r="J170" i="16"/>
  <c r="L170" i="16"/>
  <c r="N170" i="16"/>
  <c r="N171" i="16"/>
  <c r="J172" i="16"/>
  <c r="L165" i="16"/>
  <c r="L172" i="16"/>
  <c r="N172" i="16"/>
  <c r="N173" i="16"/>
  <c r="N174" i="16"/>
  <c r="N175" i="16"/>
  <c r="N177" i="16"/>
  <c r="N178" i="16"/>
  <c r="N179" i="16"/>
  <c r="N180" i="16"/>
  <c r="N176" i="16"/>
  <c r="O168" i="16"/>
  <c r="O167" i="16"/>
  <c r="O9" i="16"/>
  <c r="O10" i="16"/>
  <c r="O11" i="16"/>
  <c r="O12" i="16"/>
  <c r="O13" i="16"/>
  <c r="O14" i="16"/>
  <c r="O15" i="16"/>
  <c r="O8" i="16"/>
  <c r="O18" i="16"/>
  <c r="O19" i="16"/>
  <c r="O20" i="16"/>
  <c r="O17" i="16"/>
  <c r="O22" i="16"/>
  <c r="O23" i="16"/>
  <c r="O24" i="16"/>
  <c r="O25" i="16"/>
  <c r="O26" i="16"/>
  <c r="O27" i="16"/>
  <c r="O21" i="16"/>
  <c r="O29" i="16"/>
  <c r="O30" i="16"/>
  <c r="O31" i="16"/>
  <c r="O32" i="16"/>
  <c r="O33" i="16"/>
  <c r="O34" i="16"/>
  <c r="O35" i="16"/>
  <c r="O28" i="16"/>
  <c r="O37" i="16"/>
  <c r="O38" i="16"/>
  <c r="O39" i="16"/>
  <c r="O40" i="16"/>
  <c r="O36" i="16"/>
  <c r="O42" i="16"/>
  <c r="O43" i="16"/>
  <c r="O44" i="16"/>
  <c r="O45" i="16"/>
  <c r="O41" i="16"/>
  <c r="O49" i="16"/>
  <c r="O50" i="16"/>
  <c r="O51" i="16"/>
  <c r="O52" i="16"/>
  <c r="O53" i="16"/>
  <c r="O54" i="16"/>
  <c r="O48" i="16"/>
  <c r="O56" i="16"/>
  <c r="O57" i="16"/>
  <c r="O58" i="16"/>
  <c r="O59" i="16"/>
  <c r="O60" i="16"/>
  <c r="O61" i="16"/>
  <c r="O55" i="16"/>
  <c r="O63" i="16"/>
  <c r="O64" i="16"/>
  <c r="O65" i="16"/>
  <c r="O66" i="16"/>
  <c r="O67" i="16"/>
  <c r="O68" i="16"/>
  <c r="O69" i="16"/>
  <c r="O62" i="16"/>
  <c r="O16" i="16"/>
  <c r="O72" i="16"/>
  <c r="O73" i="16"/>
  <c r="O74" i="16"/>
  <c r="O75" i="16"/>
  <c r="O76" i="16"/>
  <c r="O77" i="16"/>
  <c r="O78" i="16"/>
  <c r="O71" i="16"/>
  <c r="O80" i="16"/>
  <c r="O81" i="16"/>
  <c r="O82" i="16"/>
  <c r="O83" i="16"/>
  <c r="O84" i="16"/>
  <c r="O85" i="16"/>
  <c r="O86" i="16"/>
  <c r="O87" i="16"/>
  <c r="O79" i="16"/>
  <c r="O89" i="16"/>
  <c r="O90" i="16"/>
  <c r="O91" i="16"/>
  <c r="O92" i="16"/>
  <c r="O93" i="16"/>
  <c r="O94" i="16"/>
  <c r="O95" i="16"/>
  <c r="O96" i="16"/>
  <c r="O88" i="16"/>
  <c r="O98" i="16"/>
  <c r="O99" i="16"/>
  <c r="O100" i="16"/>
  <c r="O97" i="16"/>
  <c r="O102" i="16"/>
  <c r="O103" i="16"/>
  <c r="O101" i="16"/>
  <c r="O104" i="16"/>
  <c r="O70" i="16"/>
  <c r="O107" i="16"/>
  <c r="O108" i="16"/>
  <c r="O109" i="16"/>
  <c r="O110" i="16"/>
  <c r="O111" i="16"/>
  <c r="O112" i="16"/>
  <c r="O113" i="16"/>
  <c r="O106" i="16"/>
  <c r="O115" i="16"/>
  <c r="O116" i="16"/>
  <c r="O117" i="16"/>
  <c r="O118" i="16"/>
  <c r="O119" i="16"/>
  <c r="O120" i="16"/>
  <c r="O121" i="16"/>
  <c r="O122" i="16"/>
  <c r="O123" i="16"/>
  <c r="O114" i="16"/>
  <c r="O125" i="16"/>
  <c r="O126" i="16"/>
  <c r="O127" i="16"/>
  <c r="O128" i="16"/>
  <c r="O124" i="16"/>
  <c r="O130" i="16"/>
  <c r="O131" i="16"/>
  <c r="O129" i="16"/>
  <c r="O133" i="16"/>
  <c r="O134" i="16"/>
  <c r="O135" i="16"/>
  <c r="O132" i="16"/>
  <c r="O137" i="16"/>
  <c r="O138" i="16"/>
  <c r="O139" i="16"/>
  <c r="O140" i="16"/>
  <c r="O141" i="16"/>
  <c r="O142" i="16"/>
  <c r="O136" i="16"/>
  <c r="O144" i="16"/>
  <c r="O145" i="16"/>
  <c r="O146" i="16"/>
  <c r="O143" i="16"/>
  <c r="O148" i="16"/>
  <c r="O149" i="16"/>
  <c r="O150" i="16"/>
  <c r="O147" i="16"/>
  <c r="O152" i="16"/>
  <c r="O153" i="16"/>
  <c r="O154" i="16"/>
  <c r="O151" i="16"/>
  <c r="O105" i="16"/>
  <c r="O156" i="16"/>
  <c r="O158" i="16"/>
  <c r="O159" i="16"/>
  <c r="O160" i="16"/>
  <c r="O161" i="16"/>
  <c r="O157" i="16"/>
  <c r="O162" i="16"/>
  <c r="O155" i="16"/>
  <c r="O163" i="16"/>
  <c r="O164" i="16"/>
  <c r="M164" i="16"/>
  <c r="L8" i="16"/>
  <c r="L17" i="16"/>
  <c r="L21" i="16"/>
  <c r="L28" i="16"/>
  <c r="L36" i="16"/>
  <c r="L41" i="16"/>
  <c r="L48" i="16"/>
  <c r="L55" i="16"/>
  <c r="L62" i="16"/>
  <c r="L16" i="16"/>
  <c r="L71" i="16"/>
  <c r="L79" i="16"/>
  <c r="L88" i="16"/>
  <c r="L97" i="16"/>
  <c r="L101" i="16"/>
  <c r="L70" i="16"/>
  <c r="L106" i="16"/>
  <c r="L114" i="16"/>
  <c r="L124" i="16"/>
  <c r="L129" i="16"/>
  <c r="L132" i="16"/>
  <c r="L136" i="16"/>
  <c r="L143" i="16"/>
  <c r="L147" i="16"/>
  <c r="L151" i="16"/>
  <c r="L105" i="16"/>
  <c r="L157" i="16"/>
  <c r="L155" i="16"/>
  <c r="L164" i="16"/>
  <c r="J8" i="16"/>
  <c r="J17" i="16"/>
  <c r="J21" i="16"/>
  <c r="J28" i="16"/>
  <c r="J36" i="16"/>
  <c r="J41" i="16"/>
  <c r="J48" i="16"/>
  <c r="J55" i="16"/>
  <c r="J62" i="16"/>
  <c r="J16" i="16"/>
  <c r="J71" i="16"/>
  <c r="J79" i="16"/>
  <c r="J88" i="16"/>
  <c r="J97" i="16"/>
  <c r="J101" i="16"/>
  <c r="J70" i="16"/>
  <c r="J106" i="16"/>
  <c r="J114" i="16"/>
  <c r="J124" i="16"/>
  <c r="J129" i="16"/>
  <c r="J132" i="16"/>
  <c r="J136" i="16"/>
  <c r="J143" i="16"/>
  <c r="J147" i="16"/>
  <c r="J151" i="16"/>
  <c r="J105" i="16"/>
  <c r="J157" i="16"/>
  <c r="J162" i="16"/>
  <c r="J155" i="16"/>
  <c r="J164" i="16"/>
  <c r="I8" i="16"/>
  <c r="I17" i="16"/>
  <c r="I21" i="16"/>
  <c r="I28" i="16"/>
  <c r="I36" i="16"/>
  <c r="I41" i="16"/>
  <c r="I48" i="16"/>
  <c r="I55" i="16"/>
  <c r="I62" i="16"/>
  <c r="I16" i="16"/>
  <c r="I71" i="16"/>
  <c r="I79" i="16"/>
  <c r="I88" i="16"/>
  <c r="I97" i="16"/>
  <c r="I101" i="16"/>
  <c r="I70" i="16"/>
  <c r="I106" i="16"/>
  <c r="I114" i="16"/>
  <c r="I124" i="16"/>
  <c r="I129" i="16"/>
  <c r="I132" i="16"/>
  <c r="I136" i="16"/>
  <c r="I143" i="16"/>
  <c r="I147" i="16"/>
  <c r="I151" i="16"/>
  <c r="I105" i="16"/>
  <c r="I157" i="16"/>
  <c r="I155" i="16"/>
  <c r="I164" i="16"/>
  <c r="H8" i="16"/>
  <c r="H17" i="16"/>
  <c r="H21" i="16"/>
  <c r="H28" i="16"/>
  <c r="H36" i="16"/>
  <c r="H41" i="16"/>
  <c r="H48" i="16"/>
  <c r="H55" i="16"/>
  <c r="H62" i="16"/>
  <c r="H16" i="16"/>
  <c r="H71" i="16"/>
  <c r="H79" i="16"/>
  <c r="H88" i="16"/>
  <c r="H97" i="16"/>
  <c r="H101" i="16"/>
  <c r="H70" i="16"/>
  <c r="H106" i="16"/>
  <c r="H114" i="16"/>
  <c r="H124" i="16"/>
  <c r="H129" i="16"/>
  <c r="H132" i="16"/>
  <c r="H136" i="16"/>
  <c r="H143" i="16"/>
  <c r="H147" i="16"/>
  <c r="H151" i="16"/>
  <c r="H105" i="16"/>
  <c r="H157" i="16"/>
  <c r="H155" i="16"/>
  <c r="H164" i="16"/>
  <c r="G8" i="16"/>
  <c r="G17" i="16"/>
  <c r="G21" i="16"/>
  <c r="G28" i="16"/>
  <c r="G36" i="16"/>
  <c r="G41" i="16"/>
  <c r="G48" i="16"/>
  <c r="G55" i="16"/>
  <c r="G62" i="16"/>
  <c r="G16" i="16"/>
  <c r="G71" i="16"/>
  <c r="G79" i="16"/>
  <c r="G88" i="16"/>
  <c r="G97" i="16"/>
  <c r="G101" i="16"/>
  <c r="G70" i="16"/>
  <c r="G106" i="16"/>
  <c r="G114" i="16"/>
  <c r="G124" i="16"/>
  <c r="G129" i="16"/>
  <c r="G132" i="16"/>
  <c r="G136" i="16"/>
  <c r="G143" i="16"/>
  <c r="G147" i="16"/>
  <c r="G151" i="16"/>
  <c r="G105" i="16"/>
  <c r="G157" i="16"/>
  <c r="G155" i="16"/>
  <c r="G164" i="16"/>
  <c r="F8" i="16"/>
  <c r="F17" i="16"/>
  <c r="F21" i="16"/>
  <c r="F28" i="16"/>
  <c r="F36" i="16"/>
  <c r="F41" i="16"/>
  <c r="F48" i="16"/>
  <c r="F55" i="16"/>
  <c r="F62" i="16"/>
  <c r="F16" i="16"/>
  <c r="F71" i="16"/>
  <c r="F79" i="16"/>
  <c r="F88" i="16"/>
  <c r="F97" i="16"/>
  <c r="F101" i="16"/>
  <c r="F70" i="16"/>
  <c r="F106" i="16"/>
  <c r="F114" i="16"/>
  <c r="F124" i="16"/>
  <c r="F129" i="16"/>
  <c r="F132" i="16"/>
  <c r="F136" i="16"/>
  <c r="F143" i="16"/>
  <c r="F147" i="16"/>
  <c r="F151" i="16"/>
  <c r="F105" i="16"/>
  <c r="F157" i="16"/>
  <c r="F155" i="16"/>
  <c r="F164" i="16"/>
  <c r="D8" i="16"/>
  <c r="D17" i="16"/>
  <c r="D21" i="16"/>
  <c r="D28" i="16"/>
  <c r="D36" i="16"/>
  <c r="D41" i="16"/>
  <c r="D48" i="16"/>
  <c r="D55" i="16"/>
  <c r="D62" i="16"/>
  <c r="D16" i="16"/>
  <c r="D71" i="16"/>
  <c r="D79" i="16"/>
  <c r="D88" i="16"/>
  <c r="D97" i="16"/>
  <c r="D101" i="16"/>
  <c r="D70" i="16"/>
  <c r="D106" i="16"/>
  <c r="D114" i="16"/>
  <c r="D124" i="16"/>
  <c r="D129" i="16"/>
  <c r="D132" i="16"/>
  <c r="D136" i="16"/>
  <c r="D143" i="16"/>
  <c r="D147" i="16"/>
  <c r="D151" i="16"/>
  <c r="D105" i="16"/>
  <c r="D157" i="16"/>
  <c r="D155" i="16"/>
  <c r="D164" i="16"/>
  <c r="C9" i="16"/>
  <c r="C10" i="16"/>
  <c r="C11" i="16"/>
  <c r="C12" i="16"/>
  <c r="C13" i="16"/>
  <c r="C14" i="16"/>
  <c r="C15" i="16"/>
  <c r="C8" i="16"/>
  <c r="C18" i="16"/>
  <c r="C19" i="16"/>
  <c r="C20" i="16"/>
  <c r="C17" i="16"/>
  <c r="C22" i="16"/>
  <c r="C23" i="16"/>
  <c r="C24" i="16"/>
  <c r="C25" i="16"/>
  <c r="C26" i="16"/>
  <c r="C27" i="16"/>
  <c r="C21" i="16"/>
  <c r="C29" i="16"/>
  <c r="C30" i="16"/>
  <c r="C31" i="16"/>
  <c r="C32" i="16"/>
  <c r="C33" i="16"/>
  <c r="C34" i="16"/>
  <c r="C35" i="16"/>
  <c r="C28" i="16"/>
  <c r="C37" i="16"/>
  <c r="C38" i="16"/>
  <c r="C39" i="16"/>
  <c r="C40" i="16"/>
  <c r="C36" i="16"/>
  <c r="C42" i="16"/>
  <c r="C43" i="16"/>
  <c r="C44" i="16"/>
  <c r="C45" i="16"/>
  <c r="C41" i="16"/>
  <c r="C49" i="16"/>
  <c r="C50" i="16"/>
  <c r="C51" i="16"/>
  <c r="C52" i="16"/>
  <c r="C53" i="16"/>
  <c r="C54" i="16"/>
  <c r="C48" i="16"/>
  <c r="C56" i="16"/>
  <c r="C57" i="16"/>
  <c r="C58" i="16"/>
  <c r="C59" i="16"/>
  <c r="C60" i="16"/>
  <c r="C61" i="16"/>
  <c r="C55" i="16"/>
  <c r="C63" i="16"/>
  <c r="C64" i="16"/>
  <c r="C65" i="16"/>
  <c r="C66" i="16"/>
  <c r="C67" i="16"/>
  <c r="C68" i="16"/>
  <c r="C69" i="16"/>
  <c r="C62" i="16"/>
  <c r="C16" i="16"/>
  <c r="C72" i="16"/>
  <c r="C73" i="16"/>
  <c r="C74" i="16"/>
  <c r="C75" i="16"/>
  <c r="C76" i="16"/>
  <c r="C77" i="16"/>
  <c r="C78" i="16"/>
  <c r="C71" i="16"/>
  <c r="C80" i="16"/>
  <c r="C81" i="16"/>
  <c r="C82" i="16"/>
  <c r="C83" i="16"/>
  <c r="C84" i="16"/>
  <c r="C85" i="16"/>
  <c r="C86" i="16"/>
  <c r="C87" i="16"/>
  <c r="C79" i="16"/>
  <c r="C89" i="16"/>
  <c r="C90" i="16"/>
  <c r="C91" i="16"/>
  <c r="C92" i="16"/>
  <c r="C93" i="16"/>
  <c r="C94" i="16"/>
  <c r="C95" i="16"/>
  <c r="C96" i="16"/>
  <c r="C88" i="16"/>
  <c r="C98" i="16"/>
  <c r="C99" i="16"/>
  <c r="C100" i="16"/>
  <c r="C97" i="16"/>
  <c r="C102" i="16"/>
  <c r="C103" i="16"/>
  <c r="C101" i="16"/>
  <c r="C104" i="16"/>
  <c r="C70" i="16"/>
  <c r="C107" i="16"/>
  <c r="C108" i="16"/>
  <c r="C109" i="16"/>
  <c r="C110" i="16"/>
  <c r="C111" i="16"/>
  <c r="C112" i="16"/>
  <c r="C113" i="16"/>
  <c r="C106" i="16"/>
  <c r="C115" i="16"/>
  <c r="C116" i="16"/>
  <c r="C117" i="16"/>
  <c r="C118" i="16"/>
  <c r="C119" i="16"/>
  <c r="C120" i="16"/>
  <c r="C121" i="16"/>
  <c r="C122" i="16"/>
  <c r="C123" i="16"/>
  <c r="C114" i="16"/>
  <c r="C125" i="16"/>
  <c r="C126" i="16"/>
  <c r="C127" i="16"/>
  <c r="C128" i="16"/>
  <c r="C124" i="16"/>
  <c r="C130" i="16"/>
  <c r="C131" i="16"/>
  <c r="C129" i="16"/>
  <c r="C133" i="16"/>
  <c r="C134" i="16"/>
  <c r="C135" i="16"/>
  <c r="C132" i="16"/>
  <c r="C137" i="16"/>
  <c r="C138" i="16"/>
  <c r="C139" i="16"/>
  <c r="C140" i="16"/>
  <c r="C141" i="16"/>
  <c r="C142" i="16"/>
  <c r="C136" i="16"/>
  <c r="C144" i="16"/>
  <c r="C145" i="16"/>
  <c r="C146" i="16"/>
  <c r="C143" i="16"/>
  <c r="C148" i="16"/>
  <c r="C149" i="16"/>
  <c r="C150" i="16"/>
  <c r="C147" i="16"/>
  <c r="C152" i="16"/>
  <c r="C153" i="16"/>
  <c r="C154" i="16"/>
  <c r="C151" i="16"/>
  <c r="C105" i="16"/>
  <c r="C156" i="16"/>
  <c r="C158" i="16"/>
  <c r="C159" i="16"/>
  <c r="C160" i="16"/>
  <c r="C161" i="16"/>
  <c r="C157" i="16"/>
  <c r="C162" i="16"/>
  <c r="C155" i="16"/>
  <c r="C163" i="16"/>
  <c r="C164" i="16"/>
  <c r="J47" i="16"/>
  <c r="N47" i="16"/>
  <c r="O47" i="16"/>
  <c r="C47" i="16"/>
  <c r="J46" i="16"/>
  <c r="N46" i="16"/>
  <c r="O46" i="16"/>
  <c r="C46" i="16"/>
  <c r="F228" i="15"/>
  <c r="F224" i="15"/>
  <c r="F223" i="15"/>
  <c r="F222" i="15"/>
  <c r="F221" i="15"/>
  <c r="F220" i="15"/>
  <c r="F219" i="15"/>
  <c r="K218" i="15"/>
  <c r="F218" i="15"/>
  <c r="K217" i="15"/>
  <c r="F217" i="15"/>
  <c r="K216" i="15"/>
  <c r="F216" i="15"/>
  <c r="K215" i="15"/>
  <c r="F215" i="15"/>
  <c r="K214" i="15"/>
  <c r="F214" i="15"/>
  <c r="K213" i="15"/>
  <c r="F208" i="15"/>
  <c r="F207" i="15"/>
  <c r="F206" i="15"/>
  <c r="H16" i="15"/>
  <c r="F205" i="15"/>
  <c r="F204" i="15"/>
  <c r="H4" i="15"/>
  <c r="H5" i="15"/>
  <c r="H6" i="15"/>
  <c r="H7" i="15"/>
  <c r="H14" i="15"/>
  <c r="H8" i="15"/>
  <c r="H9" i="15"/>
  <c r="H10" i="15"/>
  <c r="H11" i="15"/>
  <c r="H12" i="15"/>
  <c r="H13" i="15"/>
  <c r="H15" i="15"/>
  <c r="H17" i="15"/>
  <c r="H18" i="15"/>
  <c r="H19" i="15"/>
  <c r="H20" i="15"/>
  <c r="H21" i="15"/>
  <c r="H22" i="15"/>
  <c r="H23" i="15"/>
  <c r="H24" i="15"/>
  <c r="H25" i="15"/>
  <c r="F203" i="15"/>
  <c r="F202" i="15"/>
  <c r="M4" i="15"/>
  <c r="M37" i="15"/>
  <c r="M5" i="15"/>
  <c r="M6" i="15"/>
  <c r="M7" i="15"/>
  <c r="M8" i="15"/>
  <c r="M9" i="15"/>
  <c r="M10" i="15"/>
  <c r="M11" i="15"/>
  <c r="M12" i="15"/>
  <c r="M13" i="15"/>
  <c r="M14" i="15"/>
  <c r="M15" i="15"/>
  <c r="M16" i="15"/>
  <c r="M17" i="15"/>
  <c r="M18" i="15"/>
  <c r="M19" i="15"/>
  <c r="M20" i="15"/>
  <c r="K21" i="15"/>
  <c r="M21" i="15"/>
  <c r="M22" i="15"/>
  <c r="M23" i="15"/>
  <c r="M24" i="15"/>
  <c r="M25" i="15"/>
  <c r="M26" i="15"/>
  <c r="M38" i="15"/>
  <c r="M39" i="15"/>
  <c r="M40" i="15"/>
  <c r="M41" i="15"/>
  <c r="M42" i="15"/>
  <c r="M43" i="15"/>
  <c r="M44" i="15"/>
  <c r="M45" i="15"/>
  <c r="M46" i="15"/>
  <c r="M47" i="15"/>
  <c r="M48" i="15"/>
  <c r="M49" i="15"/>
  <c r="M50" i="15"/>
  <c r="M51" i="15"/>
  <c r="M52" i="15"/>
  <c r="M53" i="15"/>
  <c r="M54" i="15"/>
  <c r="M55" i="15"/>
  <c r="M56" i="15"/>
  <c r="M57" i="15"/>
  <c r="M58" i="15"/>
  <c r="M197" i="15"/>
  <c r="L4" i="15"/>
  <c r="L37" i="15"/>
  <c r="L5" i="15"/>
  <c r="L6" i="15"/>
  <c r="L7" i="15"/>
  <c r="L8" i="15"/>
  <c r="L9" i="15"/>
  <c r="L10" i="15"/>
  <c r="L11" i="15"/>
  <c r="L12" i="15"/>
  <c r="L13" i="15"/>
  <c r="L14" i="15"/>
  <c r="L15" i="15"/>
  <c r="L16" i="15"/>
  <c r="L17" i="15"/>
  <c r="L18" i="15"/>
  <c r="L19" i="15"/>
  <c r="L20" i="15"/>
  <c r="L21" i="15"/>
  <c r="L22" i="15"/>
  <c r="L23" i="15"/>
  <c r="L24" i="15"/>
  <c r="L25" i="15"/>
  <c r="L26" i="15"/>
  <c r="L38" i="15"/>
  <c r="L39" i="15"/>
  <c r="L40" i="15"/>
  <c r="L41" i="15"/>
  <c r="L42" i="15"/>
  <c r="L43" i="15"/>
  <c r="L44" i="15"/>
  <c r="L45" i="15"/>
  <c r="L46" i="15"/>
  <c r="L47" i="15"/>
  <c r="L48" i="15"/>
  <c r="L49" i="15"/>
  <c r="L50" i="15"/>
  <c r="L51" i="15"/>
  <c r="L52" i="15"/>
  <c r="L53" i="15"/>
  <c r="L54" i="15"/>
  <c r="L55" i="15"/>
  <c r="L56" i="15"/>
  <c r="L57" i="15"/>
  <c r="L58" i="15"/>
  <c r="L197" i="15"/>
  <c r="K197" i="15"/>
  <c r="J197" i="15"/>
  <c r="I91" i="15"/>
  <c r="I197" i="15"/>
  <c r="F197" i="15"/>
  <c r="M27" i="15"/>
  <c r="M28" i="15"/>
  <c r="M29" i="15"/>
  <c r="K30" i="15"/>
  <c r="M30" i="15"/>
  <c r="M31" i="15"/>
  <c r="M32" i="15"/>
  <c r="M33" i="15"/>
  <c r="K34" i="15"/>
  <c r="M34" i="15"/>
  <c r="K35" i="15"/>
  <c r="M35" i="15"/>
  <c r="M36" i="15"/>
  <c r="M59" i="15"/>
  <c r="M60" i="15"/>
  <c r="K61" i="15"/>
  <c r="M61" i="15"/>
  <c r="M62" i="15"/>
  <c r="M63" i="15"/>
  <c r="M64" i="15"/>
  <c r="M65" i="15"/>
  <c r="M66" i="15"/>
  <c r="M67" i="15"/>
  <c r="M68" i="15"/>
  <c r="M69" i="15"/>
  <c r="M70" i="15"/>
  <c r="M71" i="15"/>
  <c r="M72" i="15"/>
  <c r="M73" i="15"/>
  <c r="M74" i="15"/>
  <c r="M75" i="15"/>
  <c r="G76" i="15"/>
  <c r="M76" i="15"/>
  <c r="M77" i="15"/>
  <c r="M78" i="15"/>
  <c r="M79" i="15"/>
  <c r="M80" i="15"/>
  <c r="M81" i="15"/>
  <c r="M82" i="15"/>
  <c r="M83" i="15"/>
  <c r="M84" i="15"/>
  <c r="M85" i="15"/>
  <c r="M86" i="15"/>
  <c r="M87" i="15"/>
  <c r="M88" i="15"/>
  <c r="M89" i="15"/>
  <c r="M90" i="15"/>
  <c r="M91" i="15"/>
  <c r="M92" i="15"/>
  <c r="K93" i="15"/>
  <c r="M93" i="15"/>
  <c r="K94" i="15"/>
  <c r="M94" i="15"/>
  <c r="K95" i="15"/>
  <c r="M95" i="15"/>
  <c r="M96" i="15"/>
  <c r="M97" i="15"/>
  <c r="M98" i="15"/>
  <c r="M99" i="15"/>
  <c r="M100" i="15"/>
  <c r="M101" i="15"/>
  <c r="K102" i="15"/>
  <c r="M102" i="15"/>
  <c r="M103" i="15"/>
  <c r="M104" i="15"/>
  <c r="M105" i="15"/>
  <c r="M106" i="15"/>
  <c r="M107" i="15"/>
  <c r="M108" i="15"/>
  <c r="M109" i="15"/>
  <c r="M110" i="15"/>
  <c r="M111" i="15"/>
  <c r="K112" i="15"/>
  <c r="G112" i="15"/>
  <c r="M112" i="15"/>
  <c r="M113" i="15"/>
  <c r="G114" i="15"/>
  <c r="M114" i="15"/>
  <c r="M115" i="15"/>
  <c r="M116" i="15"/>
  <c r="M117" i="15"/>
  <c r="M118" i="15"/>
  <c r="M119" i="15"/>
  <c r="M120" i="15"/>
  <c r="M121" i="15"/>
  <c r="M122" i="15"/>
  <c r="M123" i="15"/>
  <c r="M124" i="15"/>
  <c r="M125" i="15"/>
  <c r="M126" i="15"/>
  <c r="M127" i="15"/>
  <c r="M128" i="15"/>
  <c r="M129" i="15"/>
  <c r="G130" i="15"/>
  <c r="M130" i="15"/>
  <c r="M131" i="15"/>
  <c r="M132" i="15"/>
  <c r="M133" i="15"/>
  <c r="M134" i="15"/>
  <c r="M135" i="15"/>
  <c r="M136" i="15"/>
  <c r="M137" i="15"/>
  <c r="M138" i="15"/>
  <c r="M139" i="15"/>
  <c r="M140" i="15"/>
  <c r="M141" i="15"/>
  <c r="M142" i="15"/>
  <c r="M143" i="15"/>
  <c r="M144" i="15"/>
  <c r="M145" i="15"/>
  <c r="M146" i="15"/>
  <c r="M147" i="15"/>
  <c r="M148" i="15"/>
  <c r="G149"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K172" i="15"/>
  <c r="G172" i="15"/>
  <c r="M172" i="15"/>
  <c r="M173" i="15"/>
  <c r="K174" i="15"/>
  <c r="G174" i="15"/>
  <c r="M174" i="15"/>
  <c r="G175" i="15"/>
  <c r="M175" i="15"/>
  <c r="M176" i="15"/>
  <c r="M177" i="15"/>
  <c r="M178" i="15"/>
  <c r="G179" i="15"/>
  <c r="M179" i="15"/>
  <c r="G180" i="15"/>
  <c r="M180" i="15"/>
  <c r="K181" i="15"/>
  <c r="G181" i="15"/>
  <c r="M181" i="15"/>
  <c r="G182" i="15"/>
  <c r="M182" i="15"/>
  <c r="K183" i="15"/>
  <c r="G183" i="15"/>
  <c r="M183" i="15"/>
  <c r="G184" i="15"/>
  <c r="M184" i="15"/>
  <c r="K185" i="15"/>
  <c r="G185" i="15"/>
  <c r="M185" i="15"/>
  <c r="M186" i="15"/>
  <c r="K187" i="15"/>
  <c r="G187" i="15"/>
  <c r="M187" i="15"/>
  <c r="K188" i="15"/>
  <c r="G188" i="15"/>
  <c r="M188" i="15"/>
  <c r="K189" i="15"/>
  <c r="G189" i="15"/>
  <c r="M189" i="15"/>
  <c r="K190" i="15"/>
  <c r="G190" i="15"/>
  <c r="M190" i="15"/>
  <c r="K191" i="15"/>
  <c r="G191" i="15"/>
  <c r="M191" i="15"/>
  <c r="K192" i="15"/>
  <c r="G192" i="15"/>
  <c r="M192" i="15"/>
  <c r="K193" i="15"/>
  <c r="G193" i="15"/>
  <c r="M193" i="15"/>
  <c r="K194" i="15"/>
  <c r="G194" i="15"/>
  <c r="M194" i="15"/>
  <c r="M195" i="15"/>
  <c r="L195" i="15"/>
  <c r="K195" i="15"/>
  <c r="J104" i="15"/>
  <c r="J195"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84" i="15"/>
  <c r="I185" i="15"/>
  <c r="I186" i="15"/>
  <c r="I187" i="15"/>
  <c r="I188" i="15"/>
  <c r="I189" i="15"/>
  <c r="I190" i="15"/>
  <c r="I191" i="15"/>
  <c r="I192" i="15"/>
  <c r="I193" i="15"/>
  <c r="I194" i="15"/>
  <c r="I19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G195" i="15"/>
  <c r="F195" i="15"/>
  <c r="L194" i="15"/>
  <c r="L193" i="15"/>
  <c r="L192" i="15"/>
  <c r="L191" i="15"/>
  <c r="L190" i="15"/>
  <c r="L189" i="15"/>
  <c r="L188" i="15"/>
  <c r="L187" i="15"/>
  <c r="L186" i="15"/>
  <c r="L185" i="15"/>
  <c r="L184" i="15"/>
  <c r="L183" i="15"/>
  <c r="L182" i="15"/>
  <c r="L181" i="15"/>
  <c r="L180" i="15"/>
  <c r="L179" i="15"/>
  <c r="L178" i="15"/>
  <c r="L177" i="15"/>
  <c r="L176" i="15"/>
  <c r="L175" i="15"/>
  <c r="L174" i="15"/>
  <c r="L173" i="15"/>
  <c r="L172" i="15"/>
  <c r="L171" i="15"/>
  <c r="L170" i="15"/>
  <c r="L169" i="15"/>
  <c r="L168" i="15"/>
  <c r="L167" i="15"/>
  <c r="L166" i="15"/>
  <c r="L165" i="15"/>
  <c r="L164" i="15"/>
  <c r="L163" i="15"/>
  <c r="L162" i="15"/>
  <c r="L161" i="15"/>
  <c r="L160" i="15"/>
  <c r="L159" i="15"/>
  <c r="L158" i="15"/>
  <c r="L157" i="15"/>
  <c r="L156" i="15"/>
  <c r="L155" i="15"/>
  <c r="L154" i="15"/>
  <c r="L153" i="15"/>
  <c r="L152" i="15"/>
  <c r="L151" i="15"/>
  <c r="L150" i="15"/>
  <c r="L149" i="15"/>
  <c r="L148" i="15"/>
  <c r="L147" i="15"/>
  <c r="L146" i="15"/>
  <c r="L145" i="15"/>
  <c r="L144" i="15"/>
  <c r="L143" i="15"/>
  <c r="L142" i="15"/>
  <c r="L141" i="15"/>
  <c r="L140" i="15"/>
  <c r="L139" i="15"/>
  <c r="L138" i="15"/>
  <c r="L137" i="15"/>
  <c r="L136" i="15"/>
  <c r="L135" i="15"/>
  <c r="L134" i="15"/>
  <c r="L133" i="15"/>
  <c r="L132" i="15"/>
  <c r="L131" i="15"/>
  <c r="L130" i="15"/>
  <c r="L129" i="15"/>
  <c r="L128" i="15"/>
  <c r="L127" i="15"/>
  <c r="L126" i="15"/>
  <c r="L125" i="15"/>
  <c r="L124" i="15"/>
  <c r="L123" i="15"/>
  <c r="L122" i="15"/>
  <c r="L121" i="15"/>
  <c r="L120" i="15"/>
  <c r="L119" i="15"/>
  <c r="L118" i="15"/>
  <c r="L117" i="15"/>
  <c r="L116" i="15"/>
  <c r="L115" i="15"/>
  <c r="L114" i="15"/>
  <c r="L113" i="15"/>
  <c r="L112" i="15"/>
  <c r="L111" i="15"/>
  <c r="L110" i="15"/>
  <c r="L109" i="15"/>
  <c r="L108" i="15"/>
  <c r="L107" i="15"/>
  <c r="L106" i="15"/>
  <c r="L105" i="15"/>
  <c r="L104" i="15"/>
  <c r="L103" i="15"/>
  <c r="L102" i="15"/>
  <c r="L101" i="15"/>
  <c r="L100" i="15"/>
  <c r="L99" i="15"/>
  <c r="L98" i="15"/>
  <c r="L97" i="15"/>
  <c r="L96" i="15"/>
  <c r="L95" i="15"/>
  <c r="L94" i="15"/>
  <c r="L93" i="15"/>
  <c r="L92" i="15"/>
  <c r="L91" i="15"/>
  <c r="L90" i="15"/>
  <c r="L89" i="15"/>
  <c r="L88" i="15"/>
  <c r="L87" i="15"/>
  <c r="L86" i="15"/>
  <c r="L85" i="15"/>
  <c r="L84" i="15"/>
  <c r="L83" i="15"/>
  <c r="L82" i="15"/>
  <c r="L81" i="15"/>
  <c r="L80" i="15"/>
  <c r="L79" i="15"/>
  <c r="L78" i="15"/>
  <c r="L77" i="15"/>
  <c r="L76" i="15"/>
  <c r="L75" i="15"/>
  <c r="L74" i="15"/>
  <c r="L73" i="15"/>
  <c r="L72" i="15"/>
  <c r="L71" i="15"/>
  <c r="L70" i="15"/>
  <c r="L69" i="15"/>
  <c r="L68" i="15"/>
  <c r="L67" i="15"/>
  <c r="L66" i="15"/>
  <c r="L65" i="15"/>
  <c r="L64" i="15"/>
  <c r="L63" i="15"/>
  <c r="L62" i="15"/>
  <c r="L61" i="15"/>
  <c r="L60" i="15"/>
  <c r="L59" i="15"/>
  <c r="L36" i="15"/>
  <c r="L35" i="15"/>
  <c r="L34" i="15"/>
  <c r="L33" i="15"/>
  <c r="L32" i="15"/>
  <c r="L31" i="15"/>
  <c r="L30" i="15"/>
  <c r="L29" i="15"/>
  <c r="L28" i="15"/>
  <c r="L27" i="15"/>
  <c r="E5" i="8"/>
  <c r="E7" i="8"/>
  <c r="E9" i="8"/>
  <c r="E11" i="8"/>
  <c r="E15" i="8"/>
  <c r="E29" i="8"/>
  <c r="E31" i="8"/>
  <c r="E33" i="8"/>
  <c r="E35" i="8"/>
  <c r="E39" i="8"/>
  <c r="E41" i="8"/>
  <c r="E43" i="8"/>
  <c r="E45" i="8"/>
  <c r="E47" i="8"/>
  <c r="E55" i="8"/>
  <c r="F5" i="8"/>
  <c r="F7" i="8"/>
  <c r="F9" i="8"/>
  <c r="F11" i="8"/>
  <c r="F15" i="8"/>
  <c r="F29" i="8"/>
  <c r="F30" i="8"/>
  <c r="F31" i="8"/>
  <c r="F33" i="8"/>
  <c r="F34" i="8"/>
  <c r="F35" i="8"/>
  <c r="F39" i="8"/>
  <c r="F41" i="8"/>
  <c r="F43" i="8"/>
  <c r="F45" i="8"/>
  <c r="F47" i="8"/>
  <c r="F55" i="8"/>
  <c r="G5" i="8"/>
  <c r="G7" i="8"/>
  <c r="G9" i="8"/>
  <c r="G11" i="8"/>
  <c r="G15" i="8"/>
  <c r="G29" i="8"/>
  <c r="G31" i="8"/>
  <c r="G33" i="8"/>
  <c r="G35" i="8"/>
  <c r="G39" i="8"/>
  <c r="G41" i="8"/>
  <c r="G43" i="8"/>
  <c r="G45" i="8"/>
  <c r="G47" i="8"/>
  <c r="G55" i="8"/>
  <c r="H5" i="8"/>
  <c r="H7" i="8"/>
  <c r="H9" i="8"/>
  <c r="H11" i="8"/>
  <c r="H15" i="8"/>
  <c r="H29" i="8"/>
  <c r="H30" i="8"/>
  <c r="H31" i="8"/>
  <c r="H33" i="8"/>
  <c r="H34" i="8"/>
  <c r="H35" i="8"/>
  <c r="H39" i="8"/>
  <c r="H41" i="8"/>
  <c r="H43" i="8"/>
  <c r="H45" i="8"/>
  <c r="H47" i="8"/>
  <c r="H55" i="8"/>
  <c r="I55" i="8"/>
  <c r="J5" i="8"/>
  <c r="J7" i="8"/>
  <c r="J9" i="8"/>
  <c r="J10" i="8"/>
  <c r="J11" i="8"/>
  <c r="J15" i="8"/>
  <c r="J29" i="8"/>
  <c r="J30" i="8"/>
  <c r="J31" i="8"/>
  <c r="J33" i="8"/>
  <c r="J34" i="8"/>
  <c r="J35" i="8"/>
  <c r="J39" i="8"/>
  <c r="J41" i="8"/>
  <c r="J43" i="8"/>
  <c r="J45" i="8"/>
  <c r="J47" i="8"/>
  <c r="J55" i="8"/>
  <c r="K5" i="8"/>
  <c r="K7" i="8"/>
  <c r="K9" i="8"/>
  <c r="K10" i="8"/>
  <c r="K11" i="8"/>
  <c r="K15" i="8"/>
  <c r="K29" i="8"/>
  <c r="K30" i="8"/>
  <c r="K31" i="8"/>
  <c r="K33" i="8"/>
  <c r="K34" i="8"/>
  <c r="K35" i="8"/>
  <c r="K39" i="8"/>
  <c r="K41" i="8"/>
  <c r="K43" i="8"/>
  <c r="K45" i="8"/>
  <c r="K47" i="8"/>
  <c r="K55" i="8"/>
  <c r="L5" i="8"/>
  <c r="L7" i="8"/>
  <c r="L9" i="8"/>
  <c r="L11" i="8"/>
  <c r="L15" i="8"/>
  <c r="L29" i="8"/>
  <c r="L31" i="8"/>
  <c r="L33" i="8"/>
  <c r="L35" i="8"/>
  <c r="L39" i="8"/>
  <c r="L41" i="8"/>
  <c r="L43" i="8"/>
  <c r="L45" i="8"/>
  <c r="L47" i="8"/>
  <c r="L55" i="8"/>
  <c r="M5" i="8"/>
  <c r="M7" i="8"/>
  <c r="M9" i="8"/>
  <c r="M11" i="8"/>
  <c r="M15" i="8"/>
  <c r="M29" i="8"/>
  <c r="M31" i="8"/>
  <c r="M33" i="8"/>
  <c r="M35" i="8"/>
  <c r="M39" i="8"/>
  <c r="M41" i="8"/>
  <c r="M43" i="8"/>
  <c r="M45" i="8"/>
  <c r="M47" i="8"/>
  <c r="M55" i="8"/>
  <c r="N5" i="8"/>
  <c r="N7" i="8"/>
  <c r="N9" i="8"/>
  <c r="N11" i="8"/>
  <c r="N15" i="8"/>
  <c r="N17" i="8"/>
  <c r="N19" i="8"/>
  <c r="N21" i="8"/>
  <c r="N23" i="8"/>
  <c r="N27" i="8"/>
  <c r="N29" i="8"/>
  <c r="N31" i="8"/>
  <c r="N33" i="8"/>
  <c r="N35" i="8"/>
  <c r="N39" i="8"/>
  <c r="N41" i="8"/>
  <c r="N43" i="8"/>
  <c r="N45" i="8"/>
  <c r="N47" i="8"/>
  <c r="N55" i="8"/>
  <c r="O5" i="8"/>
  <c r="O7" i="8"/>
  <c r="O9" i="8"/>
  <c r="O11" i="8"/>
  <c r="O15" i="8"/>
  <c r="O17" i="8"/>
  <c r="O18" i="8"/>
  <c r="O19" i="8"/>
  <c r="O21" i="8"/>
  <c r="O22" i="8"/>
  <c r="O23" i="8"/>
  <c r="O27" i="8"/>
  <c r="O29" i="8"/>
  <c r="O30" i="8"/>
  <c r="O31" i="8"/>
  <c r="O39" i="8"/>
  <c r="O41" i="8"/>
  <c r="O43" i="8"/>
  <c r="O45" i="8"/>
  <c r="O47" i="8"/>
  <c r="O55" i="8"/>
  <c r="P5" i="8"/>
  <c r="P7" i="8"/>
  <c r="P9" i="8"/>
  <c r="P11" i="8"/>
  <c r="P15" i="8"/>
  <c r="P17" i="8"/>
  <c r="P18" i="8"/>
  <c r="P19" i="8"/>
  <c r="P21" i="8"/>
  <c r="P22" i="8"/>
  <c r="P23" i="8"/>
  <c r="P27" i="8"/>
  <c r="P29" i="8"/>
  <c r="P31" i="8"/>
  <c r="P33" i="8"/>
  <c r="P35" i="8"/>
  <c r="P39" i="8"/>
  <c r="P41" i="8"/>
  <c r="P43" i="8"/>
  <c r="P45" i="8"/>
  <c r="P47" i="8"/>
  <c r="P55" i="8"/>
  <c r="Q5" i="8"/>
  <c r="Q7" i="8"/>
  <c r="Q9" i="8"/>
  <c r="Q10" i="8"/>
  <c r="Q11" i="8"/>
  <c r="Q15" i="8"/>
  <c r="Q17" i="8"/>
  <c r="Q18" i="8"/>
  <c r="Q19" i="8"/>
  <c r="Q21" i="8"/>
  <c r="Q22" i="8"/>
  <c r="Q23" i="8"/>
  <c r="Q27" i="8"/>
  <c r="Q29" i="8"/>
  <c r="Q30" i="8"/>
  <c r="Q31" i="8"/>
  <c r="Q33" i="8"/>
  <c r="Q34" i="8"/>
  <c r="Q35" i="8"/>
  <c r="Q39" i="8"/>
  <c r="Q41" i="8"/>
  <c r="Q43" i="8"/>
  <c r="Q46" i="8"/>
  <c r="Q45" i="8"/>
  <c r="Q47" i="8"/>
  <c r="Q55" i="8"/>
  <c r="R5" i="8"/>
  <c r="R7" i="8"/>
  <c r="R9" i="8"/>
  <c r="R10" i="8"/>
  <c r="R11" i="8"/>
  <c r="R15" i="8"/>
  <c r="R17" i="8"/>
  <c r="R19" i="8"/>
  <c r="R21" i="8"/>
  <c r="R23" i="8"/>
  <c r="R27" i="8"/>
  <c r="R29" i="8"/>
  <c r="R30" i="8"/>
  <c r="R31" i="8"/>
  <c r="R33" i="8"/>
  <c r="R34" i="8"/>
  <c r="R35" i="8"/>
  <c r="R39" i="8"/>
  <c r="R41" i="8"/>
  <c r="R43" i="8"/>
  <c r="R46" i="8"/>
  <c r="R45" i="8"/>
  <c r="R47" i="8"/>
  <c r="R55" i="8"/>
  <c r="S5" i="8"/>
  <c r="S7" i="8"/>
  <c r="S9" i="8"/>
  <c r="S10" i="8"/>
  <c r="S11" i="8"/>
  <c r="S15" i="8"/>
  <c r="S17" i="8"/>
  <c r="S18" i="8"/>
  <c r="S19" i="8"/>
  <c r="S21" i="8"/>
  <c r="S22" i="8"/>
  <c r="S23" i="8"/>
  <c r="S27" i="8"/>
  <c r="S29" i="8"/>
  <c r="S30" i="8"/>
  <c r="S31" i="8"/>
  <c r="S33" i="8"/>
  <c r="S34" i="8"/>
  <c r="S35" i="8"/>
  <c r="S39" i="8"/>
  <c r="S41" i="8"/>
  <c r="S43" i="8"/>
  <c r="S46" i="8"/>
  <c r="S45" i="8"/>
  <c r="S47" i="8"/>
  <c r="S55" i="8"/>
  <c r="T5" i="8"/>
  <c r="T7" i="8"/>
  <c r="T9" i="8"/>
  <c r="T10" i="8"/>
  <c r="T11" i="8"/>
  <c r="T15" i="8"/>
  <c r="T17" i="8"/>
  <c r="T18" i="8"/>
  <c r="T19" i="8"/>
  <c r="T21" i="8"/>
  <c r="T22" i="8"/>
  <c r="T23" i="8"/>
  <c r="T27" i="8"/>
  <c r="T29" i="8"/>
  <c r="T30" i="8"/>
  <c r="T31" i="8"/>
  <c r="T33" i="8"/>
  <c r="T34" i="8"/>
  <c r="T35" i="8"/>
  <c r="T39" i="8"/>
  <c r="T41" i="8"/>
  <c r="T43" i="8"/>
  <c r="T46" i="8"/>
  <c r="T45" i="8"/>
  <c r="T47" i="8"/>
  <c r="T55" i="8"/>
  <c r="U5" i="8"/>
  <c r="U6" i="8"/>
  <c r="U7" i="8"/>
  <c r="U9" i="8"/>
  <c r="U10" i="8"/>
  <c r="U11" i="8"/>
  <c r="U15" i="8"/>
  <c r="U17" i="8"/>
  <c r="U18" i="8"/>
  <c r="U19" i="8"/>
  <c r="U21" i="8"/>
  <c r="U22" i="8"/>
  <c r="U23" i="8"/>
  <c r="U27" i="8"/>
  <c r="U29" i="8"/>
  <c r="U30" i="8"/>
  <c r="U31" i="8"/>
  <c r="U33" i="8"/>
  <c r="U34" i="8"/>
  <c r="U35" i="8"/>
  <c r="U39" i="8"/>
  <c r="U41" i="8"/>
  <c r="U43" i="8"/>
  <c r="U46" i="8"/>
  <c r="U45" i="8"/>
  <c r="U47" i="8"/>
  <c r="U55" i="8"/>
  <c r="V55" i="8"/>
  <c r="W5" i="8"/>
  <c r="W6" i="8"/>
  <c r="W7" i="8"/>
  <c r="W9" i="8"/>
  <c r="W10" i="8"/>
  <c r="W11" i="8"/>
  <c r="W15" i="8"/>
  <c r="W17" i="8"/>
  <c r="W18" i="8"/>
  <c r="W19" i="8"/>
  <c r="W21" i="8"/>
  <c r="W22" i="8"/>
  <c r="W23" i="8"/>
  <c r="W27" i="8"/>
  <c r="W29" i="8"/>
  <c r="W30" i="8"/>
  <c r="W31" i="8"/>
  <c r="W33" i="8"/>
  <c r="W34" i="8"/>
  <c r="W35" i="8"/>
  <c r="W39" i="8"/>
  <c r="W41" i="8"/>
  <c r="W43" i="8"/>
  <c r="W45" i="8"/>
  <c r="W47" i="8"/>
  <c r="W55" i="8"/>
  <c r="X5" i="8"/>
  <c r="X6" i="8"/>
  <c r="X7" i="8"/>
  <c r="X9" i="8"/>
  <c r="X10" i="8"/>
  <c r="X11" i="8"/>
  <c r="X15" i="8"/>
  <c r="X17" i="8"/>
  <c r="X18" i="8"/>
  <c r="X19" i="8"/>
  <c r="X21" i="8"/>
  <c r="X22" i="8"/>
  <c r="X23" i="8"/>
  <c r="X27" i="8"/>
  <c r="X29" i="8"/>
  <c r="X30" i="8"/>
  <c r="X31" i="8"/>
  <c r="X33" i="8"/>
  <c r="X34" i="8"/>
  <c r="X35" i="8"/>
  <c r="X39" i="8"/>
  <c r="X41" i="8"/>
  <c r="X43" i="8"/>
  <c r="X46" i="8"/>
  <c r="X45" i="8"/>
  <c r="X47" i="8"/>
  <c r="X55" i="8"/>
  <c r="Y5" i="8"/>
  <c r="Y6" i="8"/>
  <c r="Y7" i="8"/>
  <c r="Y9" i="8"/>
  <c r="Y10" i="8"/>
  <c r="Y11" i="8"/>
  <c r="Y15" i="8"/>
  <c r="Y17" i="8"/>
  <c r="Y18" i="8"/>
  <c r="Y19" i="8"/>
  <c r="Y21" i="8"/>
  <c r="Y22" i="8"/>
  <c r="Y23" i="8"/>
  <c r="Y27" i="8"/>
  <c r="Y29" i="8"/>
  <c r="Y30" i="8"/>
  <c r="Y31" i="8"/>
  <c r="Y33" i="8"/>
  <c r="Y34" i="8"/>
  <c r="Y35" i="8"/>
  <c r="Y39" i="8"/>
  <c r="Y41" i="8"/>
  <c r="Y43" i="8"/>
  <c r="Y46" i="8"/>
  <c r="Y45" i="8"/>
  <c r="Y47" i="8"/>
  <c r="Y55" i="8"/>
  <c r="Z5" i="8"/>
  <c r="Z6" i="8"/>
  <c r="Z7" i="8"/>
  <c r="Z9" i="8"/>
  <c r="Z10" i="8"/>
  <c r="Z11" i="8"/>
  <c r="Z15" i="8"/>
  <c r="Z17" i="8"/>
  <c r="Z19" i="8"/>
  <c r="Z21" i="8"/>
  <c r="Z23" i="8"/>
  <c r="Z27" i="8"/>
  <c r="Z29" i="8"/>
  <c r="Z30" i="8"/>
  <c r="Z31" i="8"/>
  <c r="Z33" i="8"/>
  <c r="Z34" i="8"/>
  <c r="Z35" i="8"/>
  <c r="Z39" i="8"/>
  <c r="Z41" i="8"/>
  <c r="Z43" i="8"/>
  <c r="Z46" i="8"/>
  <c r="Z45" i="8"/>
  <c r="Z47" i="8"/>
  <c r="Z55" i="8"/>
  <c r="AA5" i="8"/>
  <c r="AA6" i="8"/>
  <c r="AA7" i="8"/>
  <c r="AA9" i="8"/>
  <c r="AA10" i="8"/>
  <c r="AA11" i="8"/>
  <c r="AA15" i="8"/>
  <c r="AA17" i="8"/>
  <c r="AA19" i="8"/>
  <c r="AA21" i="8"/>
  <c r="AA23" i="8"/>
  <c r="AA27" i="8"/>
  <c r="AA29" i="8"/>
  <c r="AA30" i="8"/>
  <c r="AA31" i="8"/>
  <c r="AA33" i="8"/>
  <c r="AA34" i="8"/>
  <c r="AA35" i="8"/>
  <c r="AA39" i="8"/>
  <c r="AA41" i="8"/>
  <c r="AA43" i="8"/>
  <c r="AA46" i="8"/>
  <c r="AA45" i="8"/>
  <c r="AA47" i="8"/>
  <c r="AA55" i="8"/>
  <c r="AB5" i="8"/>
  <c r="AB6" i="8"/>
  <c r="AB7" i="8"/>
  <c r="AB9" i="8"/>
  <c r="AB10" i="8"/>
  <c r="AB11" i="8"/>
  <c r="AB15" i="8"/>
  <c r="AB17" i="8"/>
  <c r="AB18" i="8"/>
  <c r="AB19" i="8"/>
  <c r="AB21" i="8"/>
  <c r="AB22" i="8"/>
  <c r="AB23" i="8"/>
  <c r="AB27" i="8"/>
  <c r="AB29" i="8"/>
  <c r="AB30" i="8"/>
  <c r="AB31" i="8"/>
  <c r="AB33" i="8"/>
  <c r="AB34" i="8"/>
  <c r="AB35" i="8"/>
  <c r="AB39" i="8"/>
  <c r="AB41" i="8"/>
  <c r="AB43" i="8"/>
  <c r="AB46" i="8"/>
  <c r="AB45" i="8"/>
  <c r="AB47" i="8"/>
  <c r="AB55" i="8"/>
  <c r="AC5" i="8"/>
  <c r="AC6" i="8"/>
  <c r="AC7" i="8"/>
  <c r="AC9" i="8"/>
  <c r="AC10" i="8"/>
  <c r="AC11" i="8"/>
  <c r="AC15" i="8"/>
  <c r="AC17" i="8"/>
  <c r="AC18" i="8"/>
  <c r="AC19" i="8"/>
  <c r="AC21" i="8"/>
  <c r="AC22" i="8"/>
  <c r="AC23" i="8"/>
  <c r="AC27" i="8"/>
  <c r="AC29" i="8"/>
  <c r="AC30" i="8"/>
  <c r="AC31" i="8"/>
  <c r="AC33" i="8"/>
  <c r="AC34" i="8"/>
  <c r="AC35" i="8"/>
  <c r="AC39" i="8"/>
  <c r="AC41" i="8"/>
  <c r="AC43" i="8"/>
  <c r="AC46" i="8"/>
  <c r="AC45" i="8"/>
  <c r="AC47" i="8"/>
  <c r="AC55" i="8"/>
  <c r="AD5" i="8"/>
  <c r="AD6" i="8"/>
  <c r="AD7" i="8"/>
  <c r="AD9" i="8"/>
  <c r="AD10" i="8"/>
  <c r="AD11" i="8"/>
  <c r="AD15" i="8"/>
  <c r="AD17" i="8"/>
  <c r="AD18" i="8"/>
  <c r="AD19" i="8"/>
  <c r="AD21" i="8"/>
  <c r="AD22" i="8"/>
  <c r="AD23" i="8"/>
  <c r="AD27" i="8"/>
  <c r="AD29" i="8"/>
  <c r="AD30" i="8"/>
  <c r="AD31" i="8"/>
  <c r="AD33" i="8"/>
  <c r="AD34" i="8"/>
  <c r="AD35" i="8"/>
  <c r="AD39" i="8"/>
  <c r="AD41" i="8"/>
  <c r="AD43" i="8"/>
  <c r="AD46" i="8"/>
  <c r="AD45" i="8"/>
  <c r="AD47" i="8"/>
  <c r="AD55" i="8"/>
  <c r="AE5" i="8"/>
  <c r="AE6" i="8"/>
  <c r="AE7" i="8"/>
  <c r="AE9" i="8"/>
  <c r="AE10" i="8"/>
  <c r="AE11" i="8"/>
  <c r="AE15" i="8"/>
  <c r="AE17" i="8"/>
  <c r="AE18" i="8"/>
  <c r="AE19" i="8"/>
  <c r="AE21" i="8"/>
  <c r="AE22" i="8"/>
  <c r="AE23" i="8"/>
  <c r="AE27" i="8"/>
  <c r="AE29" i="8"/>
  <c r="AE30" i="8"/>
  <c r="AE31" i="8"/>
  <c r="AE33" i="8"/>
  <c r="AE34" i="8"/>
  <c r="AE35" i="8"/>
  <c r="AE39" i="8"/>
  <c r="AE41" i="8"/>
  <c r="AE43" i="8"/>
  <c r="AE46" i="8"/>
  <c r="AE45" i="8"/>
  <c r="AE47" i="8"/>
  <c r="AE55" i="8"/>
  <c r="AF5" i="8"/>
  <c r="AF6" i="8"/>
  <c r="AF7" i="8"/>
  <c r="AF9" i="8"/>
  <c r="AF10" i="8"/>
  <c r="AF11" i="8"/>
  <c r="AF15" i="8"/>
  <c r="AF17" i="8"/>
  <c r="AF18" i="8"/>
  <c r="AF19" i="8"/>
  <c r="AF21" i="8"/>
  <c r="AF22" i="8"/>
  <c r="AF23" i="8"/>
  <c r="AF27" i="8"/>
  <c r="AF29" i="8"/>
  <c r="AF30" i="8"/>
  <c r="AF31" i="8"/>
  <c r="AF33" i="8"/>
  <c r="AF34" i="8"/>
  <c r="AF35" i="8"/>
  <c r="AF39" i="8"/>
  <c r="AF41" i="8"/>
  <c r="AF43" i="8"/>
  <c r="AF46" i="8"/>
  <c r="AF45" i="8"/>
  <c r="AF47" i="8"/>
  <c r="AF55" i="8"/>
  <c r="AG5" i="8"/>
  <c r="AG6" i="8"/>
  <c r="AG7" i="8"/>
  <c r="AG9" i="8"/>
  <c r="AG10" i="8"/>
  <c r="AG11" i="8"/>
  <c r="AG15" i="8"/>
  <c r="AG17" i="8"/>
  <c r="AG18" i="8"/>
  <c r="AG19" i="8"/>
  <c r="AG21" i="8"/>
  <c r="AG22" i="8"/>
  <c r="AG23" i="8"/>
  <c r="AG27" i="8"/>
  <c r="AG29" i="8"/>
  <c r="AG30" i="8"/>
  <c r="AG31" i="8"/>
  <c r="AG33" i="8"/>
  <c r="AG34" i="8"/>
  <c r="AG35" i="8"/>
  <c r="AG39" i="8"/>
  <c r="AG41" i="8"/>
  <c r="AG43" i="8"/>
  <c r="AG46" i="8"/>
  <c r="AG45" i="8"/>
  <c r="AG47" i="8"/>
  <c r="AG55" i="8"/>
  <c r="AH5" i="8"/>
  <c r="AH6" i="8"/>
  <c r="AH7" i="8"/>
  <c r="AH9" i="8"/>
  <c r="AH10" i="8"/>
  <c r="AH11" i="8"/>
  <c r="AH15" i="8"/>
  <c r="AH17" i="8"/>
  <c r="AH18" i="8"/>
  <c r="AH19" i="8"/>
  <c r="AH21" i="8"/>
  <c r="AH22" i="8"/>
  <c r="AH23" i="8"/>
  <c r="AH27" i="8"/>
  <c r="AH29" i="8"/>
  <c r="AH30" i="8"/>
  <c r="AH31" i="8"/>
  <c r="AH33" i="8"/>
  <c r="AH34" i="8"/>
  <c r="AH35" i="8"/>
  <c r="AH39" i="8"/>
  <c r="AH41" i="8"/>
  <c r="AH43" i="8"/>
  <c r="AH46" i="8"/>
  <c r="AH45" i="8"/>
  <c r="AH47" i="8"/>
  <c r="AH55" i="8"/>
  <c r="AI55" i="8"/>
  <c r="AJ5" i="8"/>
  <c r="AJ6" i="8"/>
  <c r="AJ7" i="8"/>
  <c r="AJ9" i="8"/>
  <c r="AJ10" i="8"/>
  <c r="AJ11" i="8"/>
  <c r="AJ15" i="8"/>
  <c r="AJ17" i="8"/>
  <c r="AJ18" i="8"/>
  <c r="AJ19" i="8"/>
  <c r="AJ21" i="8"/>
  <c r="AJ22" i="8"/>
  <c r="AJ23" i="8"/>
  <c r="AJ27" i="8"/>
  <c r="AJ29" i="8"/>
  <c r="AJ30" i="8"/>
  <c r="AJ31" i="8"/>
  <c r="AJ33" i="8"/>
  <c r="AJ34" i="8"/>
  <c r="AJ35" i="8"/>
  <c r="AJ39" i="8"/>
  <c r="AJ41" i="8"/>
  <c r="AJ43" i="8"/>
  <c r="AJ46" i="8"/>
  <c r="AJ45" i="8"/>
  <c r="AJ47" i="8"/>
  <c r="AJ55" i="8"/>
  <c r="AK5" i="8"/>
  <c r="AK6" i="8"/>
  <c r="AK7" i="8"/>
  <c r="AK9" i="8"/>
  <c r="AK10" i="8"/>
  <c r="AK11" i="8"/>
  <c r="AK15" i="8"/>
  <c r="AK17" i="8"/>
  <c r="AK18" i="8"/>
  <c r="AK19" i="8"/>
  <c r="AK21" i="8"/>
  <c r="AK22" i="8"/>
  <c r="AK23" i="8"/>
  <c r="AK27" i="8"/>
  <c r="AK29" i="8"/>
  <c r="AK30" i="8"/>
  <c r="AK31" i="8"/>
  <c r="AK33" i="8"/>
  <c r="AK34" i="8"/>
  <c r="AK35" i="8"/>
  <c r="AK39" i="8"/>
  <c r="AK41" i="8"/>
  <c r="AK43" i="8"/>
  <c r="AK46" i="8"/>
  <c r="AK45" i="8"/>
  <c r="AK47" i="8"/>
  <c r="AK55" i="8"/>
  <c r="AL5" i="8"/>
  <c r="AL6" i="8"/>
  <c r="AL7" i="8"/>
  <c r="AL9" i="8"/>
  <c r="AL10" i="8"/>
  <c r="AL11" i="8"/>
  <c r="AL15" i="8"/>
  <c r="AL17" i="8"/>
  <c r="AL18" i="8"/>
  <c r="AL19" i="8"/>
  <c r="AL21" i="8"/>
  <c r="AL22" i="8"/>
  <c r="AL23" i="8"/>
  <c r="AL27" i="8"/>
  <c r="AL29" i="8"/>
  <c r="AL30" i="8"/>
  <c r="AL31" i="8"/>
  <c r="AL33" i="8"/>
  <c r="AL34" i="8"/>
  <c r="AL35" i="8"/>
  <c r="AL39" i="8"/>
  <c r="AL41" i="8"/>
  <c r="AL43" i="8"/>
  <c r="AL46" i="8"/>
  <c r="AL45" i="8"/>
  <c r="AL47" i="8"/>
  <c r="AL55" i="8"/>
  <c r="AM5" i="8"/>
  <c r="AM6" i="8"/>
  <c r="AM7" i="8"/>
  <c r="AM9" i="8"/>
  <c r="AM10" i="8"/>
  <c r="AM11" i="8"/>
  <c r="AM15" i="8"/>
  <c r="AM17" i="8"/>
  <c r="AM18" i="8"/>
  <c r="AM19" i="8"/>
  <c r="AM21" i="8"/>
  <c r="AM22" i="8"/>
  <c r="AM23" i="8"/>
  <c r="AM27" i="8"/>
  <c r="AM29" i="8"/>
  <c r="AM30" i="8"/>
  <c r="AM31" i="8"/>
  <c r="AM33" i="8"/>
  <c r="AM34" i="8"/>
  <c r="AM35" i="8"/>
  <c r="AM39" i="8"/>
  <c r="AM41" i="8"/>
  <c r="AM43" i="8"/>
  <c r="AM46" i="8"/>
  <c r="AM45" i="8"/>
  <c r="AM47" i="8"/>
  <c r="AM55" i="8"/>
  <c r="AN5" i="8"/>
  <c r="AN6" i="8"/>
  <c r="AN7" i="8"/>
  <c r="AN9" i="8"/>
  <c r="AN10" i="8"/>
  <c r="AN11" i="8"/>
  <c r="AN15" i="8"/>
  <c r="AN17" i="8"/>
  <c r="AN18" i="8"/>
  <c r="AN19" i="8"/>
  <c r="AN21" i="8"/>
  <c r="AN22" i="8"/>
  <c r="AN23" i="8"/>
  <c r="AN27" i="8"/>
  <c r="AN29" i="8"/>
  <c r="AN30" i="8"/>
  <c r="AN31" i="8"/>
  <c r="AN33" i="8"/>
  <c r="AN34" i="8"/>
  <c r="AN35" i="8"/>
  <c r="AN39" i="8"/>
  <c r="AN41" i="8"/>
  <c r="AN43" i="8"/>
  <c r="AN46" i="8"/>
  <c r="AN45" i="8"/>
  <c r="AN47" i="8"/>
  <c r="AN51" i="8"/>
  <c r="AN55" i="8"/>
  <c r="AO5" i="8"/>
  <c r="AO6" i="8"/>
  <c r="AO7" i="8"/>
  <c r="AO9" i="8"/>
  <c r="AO10" i="8"/>
  <c r="AO11" i="8"/>
  <c r="AO15" i="8"/>
  <c r="AO17" i="8"/>
  <c r="AO18" i="8"/>
  <c r="AO19" i="8"/>
  <c r="AO21" i="8"/>
  <c r="AO22" i="8"/>
  <c r="AO23" i="8"/>
  <c r="AO27" i="8"/>
  <c r="AO29" i="8"/>
  <c r="AO30" i="8"/>
  <c r="AO31" i="8"/>
  <c r="AO33" i="8"/>
  <c r="AO34" i="8"/>
  <c r="AO35" i="8"/>
  <c r="AO39" i="8"/>
  <c r="AO41" i="8"/>
  <c r="AO43" i="8"/>
  <c r="AO46" i="8"/>
  <c r="AO45" i="8"/>
  <c r="AO47" i="8"/>
  <c r="AO55" i="8"/>
  <c r="AP5" i="8"/>
  <c r="AP6" i="8"/>
  <c r="AP7" i="8"/>
  <c r="AP9" i="8"/>
  <c r="AP10" i="8"/>
  <c r="AP11" i="8"/>
  <c r="AP15" i="8"/>
  <c r="AP17" i="8"/>
  <c r="AP18" i="8"/>
  <c r="AP19" i="8"/>
  <c r="AP21" i="8"/>
  <c r="AP22" i="8"/>
  <c r="AP23" i="8"/>
  <c r="AP27" i="8"/>
  <c r="AP29" i="8"/>
  <c r="AP30" i="8"/>
  <c r="AP31" i="8"/>
  <c r="AP33" i="8"/>
  <c r="AP34" i="8"/>
  <c r="AP35" i="8"/>
  <c r="AP39" i="8"/>
  <c r="AP41" i="8"/>
  <c r="AP43" i="8"/>
  <c r="AP46" i="8"/>
  <c r="AP45" i="8"/>
  <c r="AP47" i="8"/>
  <c r="AP55" i="8"/>
  <c r="AQ5" i="8"/>
  <c r="AQ6" i="8"/>
  <c r="AQ7" i="8"/>
  <c r="AQ9" i="8"/>
  <c r="AQ10" i="8"/>
  <c r="AQ11" i="8"/>
  <c r="AQ15" i="8"/>
  <c r="AQ17" i="8"/>
  <c r="AQ18" i="8"/>
  <c r="AQ19" i="8"/>
  <c r="AQ21" i="8"/>
  <c r="AQ22" i="8"/>
  <c r="AQ23" i="8"/>
  <c r="AQ27" i="8"/>
  <c r="AQ29" i="8"/>
  <c r="AQ30" i="8"/>
  <c r="AQ31" i="8"/>
  <c r="AQ33" i="8"/>
  <c r="AQ34" i="8"/>
  <c r="AQ35" i="8"/>
  <c r="AQ39" i="8"/>
  <c r="AQ41" i="8"/>
  <c r="AQ43" i="8"/>
  <c r="AQ46" i="8"/>
  <c r="AQ45" i="8"/>
  <c r="AQ47" i="8"/>
  <c r="AQ55" i="8"/>
  <c r="AR5" i="8"/>
  <c r="AR6" i="8"/>
  <c r="AR7" i="8"/>
  <c r="AR9" i="8"/>
  <c r="AR10" i="8"/>
  <c r="AR11" i="8"/>
  <c r="AR15" i="8"/>
  <c r="AR17" i="8"/>
  <c r="AR18" i="8"/>
  <c r="AR19" i="8"/>
  <c r="AR21" i="8"/>
  <c r="AR22" i="8"/>
  <c r="AR23" i="8"/>
  <c r="AR27" i="8"/>
  <c r="AR29" i="8"/>
  <c r="AR30" i="8"/>
  <c r="AR31" i="8"/>
  <c r="AR33" i="8"/>
  <c r="AR34" i="8"/>
  <c r="AR35" i="8"/>
  <c r="AR39" i="8"/>
  <c r="AR42" i="8"/>
  <c r="AR41" i="8"/>
  <c r="AR43" i="8"/>
  <c r="AR46" i="8"/>
  <c r="AR45" i="8"/>
  <c r="AR47" i="8"/>
  <c r="AR50" i="8"/>
  <c r="AR51" i="8"/>
  <c r="AR55" i="8"/>
  <c r="AS5" i="8"/>
  <c r="AS6" i="8"/>
  <c r="AS7" i="8"/>
  <c r="AS9" i="8"/>
  <c r="AS10" i="8"/>
  <c r="AS11" i="8"/>
  <c r="AS15" i="8"/>
  <c r="AS17" i="8"/>
  <c r="AS18" i="8"/>
  <c r="AS19" i="8"/>
  <c r="AS21" i="8"/>
  <c r="AS22" i="8"/>
  <c r="AS23" i="8"/>
  <c r="AS27" i="8"/>
  <c r="AS29" i="8"/>
  <c r="AS30" i="8"/>
  <c r="AS31" i="8"/>
  <c r="AS33" i="8"/>
  <c r="AS34" i="8"/>
  <c r="AS35" i="8"/>
  <c r="AS39" i="8"/>
  <c r="AS41" i="8"/>
  <c r="AS43" i="8"/>
  <c r="AS46" i="8"/>
  <c r="AS45" i="8"/>
  <c r="AS47" i="8"/>
  <c r="AS55" i="8"/>
  <c r="AT5" i="8"/>
  <c r="AT6" i="8"/>
  <c r="AT7" i="8"/>
  <c r="AT9" i="8"/>
  <c r="AT10" i="8"/>
  <c r="AT11" i="8"/>
  <c r="AT15" i="8"/>
  <c r="AT17" i="8"/>
  <c r="AT18" i="8"/>
  <c r="AT19" i="8"/>
  <c r="AT21" i="8"/>
  <c r="AT22" i="8"/>
  <c r="AT23" i="8"/>
  <c r="AT27" i="8"/>
  <c r="AT29" i="8"/>
  <c r="AT30" i="8"/>
  <c r="AT31" i="8"/>
  <c r="AT33" i="8"/>
  <c r="AT34" i="8"/>
  <c r="AT35" i="8"/>
  <c r="AT39" i="8"/>
  <c r="AT41" i="8"/>
  <c r="AT43" i="8"/>
  <c r="AT46" i="8"/>
  <c r="AT45" i="8"/>
  <c r="AT47" i="8"/>
  <c r="AT55" i="8"/>
  <c r="AU5" i="8"/>
  <c r="AU6" i="8"/>
  <c r="AU7" i="8"/>
  <c r="AU9" i="8"/>
  <c r="AU10" i="8"/>
  <c r="AU11" i="8"/>
  <c r="AU15" i="8"/>
  <c r="AU17" i="8"/>
  <c r="AU18" i="8"/>
  <c r="AU19" i="8"/>
  <c r="AU21" i="8"/>
  <c r="AU22" i="8"/>
  <c r="AU23" i="8"/>
  <c r="AU27" i="8"/>
  <c r="AU29" i="8"/>
  <c r="AU30" i="8"/>
  <c r="AU31" i="8"/>
  <c r="AU33" i="8"/>
  <c r="AU34" i="8"/>
  <c r="AU35" i="8"/>
  <c r="AU39" i="8"/>
  <c r="AU41" i="8"/>
  <c r="AU43" i="8"/>
  <c r="AU46" i="8"/>
  <c r="AU45" i="8"/>
  <c r="AU47" i="8"/>
  <c r="AU55" i="8"/>
  <c r="AV55" i="8"/>
  <c r="AW5" i="8"/>
  <c r="AW6" i="8"/>
  <c r="AW7" i="8"/>
  <c r="AW9" i="8"/>
  <c r="AW10" i="8"/>
  <c r="AW11" i="8"/>
  <c r="AW15" i="8"/>
  <c r="AW17" i="8"/>
  <c r="AW18" i="8"/>
  <c r="AW19" i="8"/>
  <c r="AW21" i="8"/>
  <c r="AW22" i="8"/>
  <c r="AW23" i="8"/>
  <c r="AW27" i="8"/>
  <c r="AW29" i="8"/>
  <c r="AW30" i="8"/>
  <c r="AW31" i="8"/>
  <c r="AW33" i="8"/>
  <c r="AW34" i="8"/>
  <c r="AW35" i="8"/>
  <c r="AW39" i="8"/>
  <c r="AW41" i="8"/>
  <c r="AW43" i="8"/>
  <c r="AW46" i="8"/>
  <c r="AW45" i="8"/>
  <c r="AW47" i="8"/>
  <c r="AW55" i="8"/>
  <c r="AX5" i="8"/>
  <c r="AX6" i="8"/>
  <c r="AX7" i="8"/>
  <c r="AX9" i="8"/>
  <c r="AX10" i="8"/>
  <c r="AX11" i="8"/>
  <c r="AX15" i="8"/>
  <c r="AX17" i="8"/>
  <c r="AX18" i="8"/>
  <c r="AX19" i="8"/>
  <c r="AX21" i="8"/>
  <c r="AX22" i="8"/>
  <c r="AX23" i="8"/>
  <c r="AX27" i="8"/>
  <c r="AX29" i="8"/>
  <c r="AX30" i="8"/>
  <c r="AX31" i="8"/>
  <c r="AX33" i="8"/>
  <c r="AX34" i="8"/>
  <c r="AX35" i="8"/>
  <c r="AX39" i="8"/>
  <c r="AX41" i="8"/>
  <c r="AX43" i="8"/>
  <c r="AX46" i="8"/>
  <c r="AX45" i="8"/>
  <c r="AX47" i="8"/>
  <c r="AX55" i="8"/>
  <c r="AY5" i="8"/>
  <c r="AY6" i="8"/>
  <c r="AY7" i="8"/>
  <c r="AY9" i="8"/>
  <c r="AY10" i="8"/>
  <c r="AY11" i="8"/>
  <c r="AY15" i="8"/>
  <c r="AY17" i="8"/>
  <c r="AY18" i="8"/>
  <c r="AY19" i="8"/>
  <c r="AY21" i="8"/>
  <c r="AY22" i="8"/>
  <c r="AY23" i="8"/>
  <c r="AY27" i="8"/>
  <c r="AY29" i="8"/>
  <c r="AY30" i="8"/>
  <c r="AY31" i="8"/>
  <c r="AY33" i="8"/>
  <c r="AY34" i="8"/>
  <c r="AY35" i="8"/>
  <c r="AY39" i="8"/>
  <c r="AY41" i="8"/>
  <c r="AY43" i="8"/>
  <c r="AY46" i="8"/>
  <c r="AY45" i="8"/>
  <c r="AY47" i="8"/>
  <c r="AY55" i="8"/>
  <c r="AZ5" i="8"/>
  <c r="AZ6" i="8"/>
  <c r="AZ7" i="8"/>
  <c r="AZ9" i="8"/>
  <c r="AZ10" i="8"/>
  <c r="AZ11" i="8"/>
  <c r="AZ15" i="8"/>
  <c r="AZ17" i="8"/>
  <c r="AZ18" i="8"/>
  <c r="AZ19" i="8"/>
  <c r="AZ21" i="8"/>
  <c r="AZ22" i="8"/>
  <c r="AZ23" i="8"/>
  <c r="AZ27" i="8"/>
  <c r="AZ29" i="8"/>
  <c r="AZ30" i="8"/>
  <c r="AZ31" i="8"/>
  <c r="AZ33" i="8"/>
  <c r="AZ34" i="8"/>
  <c r="AZ35" i="8"/>
  <c r="AZ39" i="8"/>
  <c r="AZ41" i="8"/>
  <c r="AZ43" i="8"/>
  <c r="AZ46" i="8"/>
  <c r="AZ45" i="8"/>
  <c r="AZ47" i="8"/>
  <c r="AZ55" i="8"/>
  <c r="BA5" i="8"/>
  <c r="BA6" i="8"/>
  <c r="BA7" i="8"/>
  <c r="BA9" i="8"/>
  <c r="BA10" i="8"/>
  <c r="BA11" i="8"/>
  <c r="BA15" i="8"/>
  <c r="BA17" i="8"/>
  <c r="BA18" i="8"/>
  <c r="BA19" i="8"/>
  <c r="BA21" i="8"/>
  <c r="BA22" i="8"/>
  <c r="BA23" i="8"/>
  <c r="BA27" i="8"/>
  <c r="BA29" i="8"/>
  <c r="BA30" i="8"/>
  <c r="BA31" i="8"/>
  <c r="BA33" i="8"/>
  <c r="BA34" i="8"/>
  <c r="BA35" i="8"/>
  <c r="BA39" i="8"/>
  <c r="BA41" i="8"/>
  <c r="BA43" i="8"/>
  <c r="BA46" i="8"/>
  <c r="BA45" i="8"/>
  <c r="BA47" i="8"/>
  <c r="BA55" i="8"/>
  <c r="BB5" i="8"/>
  <c r="BB6" i="8"/>
  <c r="BB7" i="8"/>
  <c r="BB9" i="8"/>
  <c r="BB10" i="8"/>
  <c r="BB11" i="8"/>
  <c r="BB15" i="8"/>
  <c r="BB17" i="8"/>
  <c r="BB18" i="8"/>
  <c r="BB19" i="8"/>
  <c r="BB21" i="8"/>
  <c r="BB22" i="8"/>
  <c r="BB23" i="8"/>
  <c r="BB27" i="8"/>
  <c r="BB29" i="8"/>
  <c r="BB30" i="8"/>
  <c r="BB31" i="8"/>
  <c r="BB33" i="8"/>
  <c r="BB34" i="8"/>
  <c r="BB35" i="8"/>
  <c r="BB39" i="8"/>
  <c r="BB41" i="8"/>
  <c r="BB43" i="8"/>
  <c r="BB45" i="8"/>
  <c r="BB47" i="8"/>
  <c r="BB55" i="8"/>
  <c r="BC5" i="8"/>
  <c r="BC6" i="8"/>
  <c r="BC7" i="8"/>
  <c r="BC9" i="8"/>
  <c r="BC10" i="8"/>
  <c r="BC11" i="8"/>
  <c r="BC15" i="8"/>
  <c r="BC17" i="8"/>
  <c r="BC18" i="8"/>
  <c r="BC19" i="8"/>
  <c r="BC21" i="8"/>
  <c r="BC22" i="8"/>
  <c r="BC23" i="8"/>
  <c r="BC27" i="8"/>
  <c r="BC29" i="8"/>
  <c r="BC30" i="8"/>
  <c r="BC31" i="8"/>
  <c r="BC33" i="8"/>
  <c r="BC34" i="8"/>
  <c r="BC35" i="8"/>
  <c r="BC39" i="8"/>
  <c r="BC41" i="8"/>
  <c r="BC43" i="8"/>
  <c r="BC45" i="8"/>
  <c r="BC47" i="8"/>
  <c r="BC55" i="8"/>
  <c r="BD5" i="8"/>
  <c r="BD6" i="8"/>
  <c r="BD7" i="8"/>
  <c r="BD9" i="8"/>
  <c r="BD10" i="8"/>
  <c r="BD11" i="8"/>
  <c r="BD15" i="8"/>
  <c r="BD17" i="8"/>
  <c r="BD18" i="8"/>
  <c r="BD19" i="8"/>
  <c r="BD21" i="8"/>
  <c r="BD22" i="8"/>
  <c r="BD23" i="8"/>
  <c r="BD27" i="8"/>
  <c r="BD29" i="8"/>
  <c r="BD30" i="8"/>
  <c r="BD31" i="8"/>
  <c r="BD33" i="8"/>
  <c r="BD34" i="8"/>
  <c r="BD35" i="8"/>
  <c r="BD39" i="8"/>
  <c r="BD41" i="8"/>
  <c r="BD43" i="8"/>
  <c r="BD45" i="8"/>
  <c r="BD47" i="8"/>
  <c r="BD55" i="8"/>
  <c r="BE5" i="8"/>
  <c r="BE6" i="8"/>
  <c r="BE7" i="8"/>
  <c r="BE9" i="8"/>
  <c r="BE10" i="8"/>
  <c r="BE11" i="8"/>
  <c r="BE15" i="8"/>
  <c r="BE17" i="8"/>
  <c r="BE18" i="8"/>
  <c r="BE19" i="8"/>
  <c r="BE21" i="8"/>
  <c r="BE22" i="8"/>
  <c r="BE23" i="8"/>
  <c r="BE27" i="8"/>
  <c r="BE29" i="8"/>
  <c r="BE30" i="8"/>
  <c r="BE31" i="8"/>
  <c r="BE33" i="8"/>
  <c r="BE34" i="8"/>
  <c r="BE35" i="8"/>
  <c r="BE39" i="8"/>
  <c r="BE41" i="8"/>
  <c r="BE43" i="8"/>
  <c r="BE45" i="8"/>
  <c r="BE47" i="8"/>
  <c r="BE55" i="8"/>
  <c r="BF5" i="8"/>
  <c r="BF6" i="8"/>
  <c r="BF7" i="8"/>
  <c r="BF9" i="8"/>
  <c r="BF10" i="8"/>
  <c r="BF11" i="8"/>
  <c r="BF15" i="8"/>
  <c r="BF17" i="8"/>
  <c r="BF18" i="8"/>
  <c r="BF19" i="8"/>
  <c r="BF21" i="8"/>
  <c r="BF22" i="8"/>
  <c r="BF23" i="8"/>
  <c r="BF27" i="8"/>
  <c r="BF29" i="8"/>
  <c r="BF30" i="8"/>
  <c r="BF31" i="8"/>
  <c r="BF33" i="8"/>
  <c r="BF34" i="8"/>
  <c r="BF35" i="8"/>
  <c r="BF39" i="8"/>
  <c r="BF41" i="8"/>
  <c r="BF43" i="8"/>
  <c r="BF45" i="8"/>
  <c r="BF47" i="8"/>
  <c r="BF55" i="8"/>
  <c r="BG5" i="8"/>
  <c r="BG6" i="8"/>
  <c r="BG7" i="8"/>
  <c r="BG9" i="8"/>
  <c r="BG10" i="8"/>
  <c r="BG11" i="8"/>
  <c r="BG15" i="8"/>
  <c r="BG17" i="8"/>
  <c r="BG18" i="8"/>
  <c r="BG19" i="8"/>
  <c r="BG21" i="8"/>
  <c r="BG22" i="8"/>
  <c r="BG23" i="8"/>
  <c r="BG27" i="8"/>
  <c r="BG29" i="8"/>
  <c r="BG30" i="8"/>
  <c r="BG31" i="8"/>
  <c r="BG33" i="8"/>
  <c r="BG34" i="8"/>
  <c r="BG35" i="8"/>
  <c r="BG39" i="8"/>
  <c r="BG41" i="8"/>
  <c r="BG43" i="8"/>
  <c r="BG45" i="8"/>
  <c r="BG47" i="8"/>
  <c r="BG55" i="8"/>
  <c r="BH5" i="8"/>
  <c r="BH6" i="8"/>
  <c r="BH7" i="8"/>
  <c r="BH9" i="8"/>
  <c r="BH10" i="8"/>
  <c r="BH11" i="8"/>
  <c r="BH15" i="8"/>
  <c r="BH17" i="8"/>
  <c r="BH18" i="8"/>
  <c r="BH19" i="8"/>
  <c r="BH21" i="8"/>
  <c r="BH22" i="8"/>
  <c r="BH23" i="8"/>
  <c r="BH27" i="8"/>
  <c r="BH29" i="8"/>
  <c r="BH30" i="8"/>
  <c r="BH31" i="8"/>
  <c r="BH33" i="8"/>
  <c r="BH34" i="8"/>
  <c r="BH35" i="8"/>
  <c r="BH39" i="8"/>
  <c r="BH41" i="8"/>
  <c r="BH43" i="8"/>
  <c r="BH45" i="8"/>
  <c r="BH47" i="8"/>
  <c r="BH55" i="8"/>
  <c r="BI55" i="8"/>
  <c r="BP55" i="8"/>
  <c r="E13" i="8"/>
  <c r="E37" i="8"/>
  <c r="E53" i="8"/>
  <c r="F13" i="8"/>
  <c r="F37" i="8"/>
  <c r="F53" i="8"/>
  <c r="G13" i="8"/>
  <c r="G37" i="8"/>
  <c r="G53" i="8"/>
  <c r="H13" i="8"/>
  <c r="H37" i="8"/>
  <c r="H53" i="8"/>
  <c r="I53" i="8"/>
  <c r="J13" i="8"/>
  <c r="J37" i="8"/>
  <c r="J53" i="8"/>
  <c r="K13" i="8"/>
  <c r="K37" i="8"/>
  <c r="K53" i="8"/>
  <c r="L13" i="8"/>
  <c r="L37" i="8"/>
  <c r="L53" i="8"/>
  <c r="M13" i="8"/>
  <c r="M37" i="8"/>
  <c r="M53" i="8"/>
  <c r="N13" i="8"/>
  <c r="N25" i="8"/>
  <c r="N37" i="8"/>
  <c r="N53" i="8"/>
  <c r="O13" i="8"/>
  <c r="O25" i="8"/>
  <c r="O33" i="8"/>
  <c r="O37" i="8"/>
  <c r="O53" i="8"/>
  <c r="P13" i="8"/>
  <c r="P25" i="8"/>
  <c r="P37" i="8"/>
  <c r="P53" i="8"/>
  <c r="Q13" i="8"/>
  <c r="Q25" i="8"/>
  <c r="Q37" i="8"/>
  <c r="Q53" i="8"/>
  <c r="R13" i="8"/>
  <c r="R25" i="8"/>
  <c r="R37" i="8"/>
  <c r="R53" i="8"/>
  <c r="S13" i="8"/>
  <c r="S25" i="8"/>
  <c r="S37" i="8"/>
  <c r="S53" i="8"/>
  <c r="T13" i="8"/>
  <c r="T25" i="8"/>
  <c r="T37" i="8"/>
  <c r="T53" i="8"/>
  <c r="U13" i="8"/>
  <c r="U25" i="8"/>
  <c r="U37" i="8"/>
  <c r="U53" i="8"/>
  <c r="V53" i="8"/>
  <c r="W13" i="8"/>
  <c r="W25" i="8"/>
  <c r="W37" i="8"/>
  <c r="W53" i="8"/>
  <c r="X13" i="8"/>
  <c r="X25" i="8"/>
  <c r="X37" i="8"/>
  <c r="X53" i="8"/>
  <c r="Y13" i="8"/>
  <c r="Y25" i="8"/>
  <c r="Y37" i="8"/>
  <c r="Y53" i="8"/>
  <c r="Z13" i="8"/>
  <c r="Z25" i="8"/>
  <c r="Z37" i="8"/>
  <c r="Z53" i="8"/>
  <c r="AA13" i="8"/>
  <c r="AA25" i="8"/>
  <c r="AA37" i="8"/>
  <c r="AA53" i="8"/>
  <c r="AB13" i="8"/>
  <c r="AB25" i="8"/>
  <c r="AB37" i="8"/>
  <c r="AB53" i="8"/>
  <c r="AC13" i="8"/>
  <c r="AC25" i="8"/>
  <c r="AC37" i="8"/>
  <c r="AC53" i="8"/>
  <c r="AD13" i="8"/>
  <c r="AD25" i="8"/>
  <c r="AD37" i="8"/>
  <c r="AD53" i="8"/>
  <c r="AE13" i="8"/>
  <c r="AE25" i="8"/>
  <c r="AE37" i="8"/>
  <c r="AE53" i="8"/>
  <c r="AF13" i="8"/>
  <c r="AF25" i="8"/>
  <c r="AF37" i="8"/>
  <c r="AF53" i="8"/>
  <c r="AG13" i="8"/>
  <c r="AG25" i="8"/>
  <c r="AG37" i="8"/>
  <c r="AG53" i="8"/>
  <c r="AH13" i="8"/>
  <c r="AH25" i="8"/>
  <c r="AH37" i="8"/>
  <c r="AH53" i="8"/>
  <c r="AI53" i="8"/>
  <c r="AJ13" i="8"/>
  <c r="AJ25" i="8"/>
  <c r="AJ37" i="8"/>
  <c r="AJ53" i="8"/>
  <c r="AK13" i="8"/>
  <c r="AK25" i="8"/>
  <c r="AK37" i="8"/>
  <c r="AK53" i="8"/>
  <c r="AL13" i="8"/>
  <c r="AL25" i="8"/>
  <c r="AL37" i="8"/>
  <c r="AL53" i="8"/>
  <c r="AM13" i="8"/>
  <c r="AM25" i="8"/>
  <c r="AM37" i="8"/>
  <c r="AM53" i="8"/>
  <c r="AN13" i="8"/>
  <c r="AN25" i="8"/>
  <c r="AN37" i="8"/>
  <c r="AN53" i="8"/>
  <c r="AO13" i="8"/>
  <c r="AO25" i="8"/>
  <c r="AO37" i="8"/>
  <c r="AO53" i="8"/>
  <c r="AP13" i="8"/>
  <c r="AP25" i="8"/>
  <c r="AP37" i="8"/>
  <c r="AP53" i="8"/>
  <c r="AQ13" i="8"/>
  <c r="AQ25" i="8"/>
  <c r="AQ37" i="8"/>
  <c r="AQ53" i="8"/>
  <c r="AR13" i="8"/>
  <c r="AR25" i="8"/>
  <c r="AR37" i="8"/>
  <c r="AR53" i="8"/>
  <c r="AS13" i="8"/>
  <c r="AS25" i="8"/>
  <c r="AS37" i="8"/>
  <c r="AS53" i="8"/>
  <c r="AT13" i="8"/>
  <c r="AT25" i="8"/>
  <c r="AT37" i="8"/>
  <c r="AT53" i="8"/>
  <c r="AU13" i="8"/>
  <c r="AU25" i="8"/>
  <c r="AU37" i="8"/>
  <c r="AU53" i="8"/>
  <c r="AV53" i="8"/>
  <c r="AW13" i="8"/>
  <c r="AW25" i="8"/>
  <c r="AW37" i="8"/>
  <c r="AW53" i="8"/>
  <c r="AX13" i="8"/>
  <c r="AX25" i="8"/>
  <c r="AX37" i="8"/>
  <c r="AX53" i="8"/>
  <c r="AY13" i="8"/>
  <c r="AY25" i="8"/>
  <c r="AY37" i="8"/>
  <c r="AY53" i="8"/>
  <c r="AZ13" i="8"/>
  <c r="AZ25" i="8"/>
  <c r="AZ37" i="8"/>
  <c r="AZ53" i="8"/>
  <c r="BA13" i="8"/>
  <c r="BA25" i="8"/>
  <c r="BA37" i="8"/>
  <c r="BA53" i="8"/>
  <c r="BB13" i="8"/>
  <c r="BB25" i="8"/>
  <c r="BB37" i="8"/>
  <c r="BB53" i="8"/>
  <c r="BC13" i="8"/>
  <c r="BC25" i="8"/>
  <c r="BC37" i="8"/>
  <c r="BC53" i="8"/>
  <c r="BD13" i="8"/>
  <c r="BD25" i="8"/>
  <c r="BD37" i="8"/>
  <c r="BD53" i="8"/>
  <c r="BE13" i="8"/>
  <c r="BE25" i="8"/>
  <c r="BE37" i="8"/>
  <c r="BE53" i="8"/>
  <c r="BF13" i="8"/>
  <c r="BF25" i="8"/>
  <c r="BF37" i="8"/>
  <c r="BF53" i="8"/>
  <c r="BG13" i="8"/>
  <c r="BG25" i="8"/>
  <c r="BG37" i="8"/>
  <c r="BG53" i="8"/>
  <c r="BH13" i="8"/>
  <c r="BH25" i="8"/>
  <c r="BH37" i="8"/>
  <c r="BH53" i="8"/>
  <c r="BI53" i="8"/>
  <c r="BP53" i="8"/>
  <c r="BP54" i="8"/>
  <c r="BI54" i="8"/>
  <c r="BH54" i="8"/>
  <c r="BG54" i="8"/>
  <c r="BF54" i="8"/>
  <c r="BE54" i="8"/>
  <c r="BD54" i="8"/>
  <c r="BC54" i="8"/>
  <c r="BB54" i="8"/>
  <c r="BA54" i="8"/>
  <c r="AZ54" i="8"/>
  <c r="AY54" i="8"/>
  <c r="AX54" i="8"/>
  <c r="AW54" i="8"/>
  <c r="AV54" i="8"/>
  <c r="AU54" i="8"/>
  <c r="AT54" i="8"/>
  <c r="AS54" i="8"/>
  <c r="AR54" i="8"/>
  <c r="AQ54" i="8"/>
  <c r="AP54" i="8"/>
  <c r="AO54" i="8"/>
  <c r="AN54"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I54" i="8"/>
  <c r="H54" i="8"/>
  <c r="G54" i="8"/>
  <c r="F54" i="8"/>
  <c r="E54" i="8"/>
  <c r="E12" i="8"/>
  <c r="E36" i="8"/>
  <c r="E52" i="8"/>
  <c r="F12" i="8"/>
  <c r="F36" i="8"/>
  <c r="F52" i="8"/>
  <c r="G12" i="8"/>
  <c r="G36" i="8"/>
  <c r="G52" i="8"/>
  <c r="H12" i="8"/>
  <c r="H36" i="8"/>
  <c r="H52" i="8"/>
  <c r="I52" i="8"/>
  <c r="J12" i="8"/>
  <c r="J36" i="8"/>
  <c r="J52" i="8"/>
  <c r="K12" i="8"/>
  <c r="K36" i="8"/>
  <c r="K52" i="8"/>
  <c r="L12" i="8"/>
  <c r="L36" i="8"/>
  <c r="L52" i="8"/>
  <c r="M12" i="8"/>
  <c r="M36" i="8"/>
  <c r="M52" i="8"/>
  <c r="N12" i="8"/>
  <c r="N24" i="8"/>
  <c r="N36" i="8"/>
  <c r="N52" i="8"/>
  <c r="O12" i="8"/>
  <c r="O24" i="8"/>
  <c r="O36" i="8"/>
  <c r="O52" i="8"/>
  <c r="P12" i="8"/>
  <c r="P24" i="8"/>
  <c r="P36" i="8"/>
  <c r="P52" i="8"/>
  <c r="Q12" i="8"/>
  <c r="Q24" i="8"/>
  <c r="Q36" i="8"/>
  <c r="Q52" i="8"/>
  <c r="R12" i="8"/>
  <c r="R24" i="8"/>
  <c r="R36" i="8"/>
  <c r="R52" i="8"/>
  <c r="S12" i="8"/>
  <c r="S24" i="8"/>
  <c r="S36" i="8"/>
  <c r="S52" i="8"/>
  <c r="T12" i="8"/>
  <c r="T24" i="8"/>
  <c r="T36" i="8"/>
  <c r="T52" i="8"/>
  <c r="U12" i="8"/>
  <c r="U24" i="8"/>
  <c r="U36" i="8"/>
  <c r="U52" i="8"/>
  <c r="V52" i="8"/>
  <c r="W12" i="8"/>
  <c r="W24" i="8"/>
  <c r="W36" i="8"/>
  <c r="W52" i="8"/>
  <c r="X12" i="8"/>
  <c r="X24" i="8"/>
  <c r="X36" i="8"/>
  <c r="X52" i="8"/>
  <c r="Y12" i="8"/>
  <c r="Y24" i="8"/>
  <c r="Y36" i="8"/>
  <c r="Y52" i="8"/>
  <c r="Z12" i="8"/>
  <c r="Z24" i="8"/>
  <c r="Z36" i="8"/>
  <c r="Z52" i="8"/>
  <c r="AA12" i="8"/>
  <c r="AA24" i="8"/>
  <c r="AA36" i="8"/>
  <c r="AA52" i="8"/>
  <c r="AB12" i="8"/>
  <c r="AB24" i="8"/>
  <c r="AB36" i="8"/>
  <c r="AB52" i="8"/>
  <c r="AC12" i="8"/>
  <c r="AC24" i="8"/>
  <c r="AC36" i="8"/>
  <c r="AC52" i="8"/>
  <c r="AD12" i="8"/>
  <c r="AD24" i="8"/>
  <c r="AD36" i="8"/>
  <c r="AD52" i="8"/>
  <c r="AE12" i="8"/>
  <c r="AE24" i="8"/>
  <c r="AE36" i="8"/>
  <c r="AE52" i="8"/>
  <c r="AF12" i="8"/>
  <c r="AF24" i="8"/>
  <c r="AF36" i="8"/>
  <c r="AF52" i="8"/>
  <c r="AG12" i="8"/>
  <c r="AG24" i="8"/>
  <c r="AG36" i="8"/>
  <c r="AG52" i="8"/>
  <c r="AH12" i="8"/>
  <c r="AH24" i="8"/>
  <c r="AH36" i="8"/>
  <c r="AH52" i="8"/>
  <c r="AI52" i="8"/>
  <c r="AJ12" i="8"/>
  <c r="AJ24" i="8"/>
  <c r="AJ36" i="8"/>
  <c r="AJ52" i="8"/>
  <c r="AK12" i="8"/>
  <c r="AK24" i="8"/>
  <c r="AK36" i="8"/>
  <c r="AK52" i="8"/>
  <c r="AL12" i="8"/>
  <c r="AL24" i="8"/>
  <c r="AL36" i="8"/>
  <c r="AL52" i="8"/>
  <c r="AM12" i="8"/>
  <c r="AM24" i="8"/>
  <c r="AM36" i="8"/>
  <c r="AM52" i="8"/>
  <c r="AN12" i="8"/>
  <c r="AN24" i="8"/>
  <c r="AN36" i="8"/>
  <c r="AN52" i="8"/>
  <c r="AO12" i="8"/>
  <c r="AO24" i="8"/>
  <c r="AO36" i="8"/>
  <c r="AO52" i="8"/>
  <c r="AP12" i="8"/>
  <c r="AP24" i="8"/>
  <c r="AP36" i="8"/>
  <c r="AP52" i="8"/>
  <c r="AQ12" i="8"/>
  <c r="AQ24" i="8"/>
  <c r="AQ36" i="8"/>
  <c r="AQ52" i="8"/>
  <c r="AR12" i="8"/>
  <c r="AR24" i="8"/>
  <c r="AR36" i="8"/>
  <c r="AR52" i="8"/>
  <c r="AS12" i="8"/>
  <c r="AS24" i="8"/>
  <c r="AS36" i="8"/>
  <c r="AS52" i="8"/>
  <c r="AT12" i="8"/>
  <c r="AT24" i="8"/>
  <c r="AT36" i="8"/>
  <c r="AT52" i="8"/>
  <c r="AU12" i="8"/>
  <c r="AU24" i="8"/>
  <c r="AU36" i="8"/>
  <c r="AU52" i="8"/>
  <c r="AV52" i="8"/>
  <c r="AW12" i="8"/>
  <c r="AW24" i="8"/>
  <c r="AW36" i="8"/>
  <c r="AW52" i="8"/>
  <c r="AX12" i="8"/>
  <c r="AX24" i="8"/>
  <c r="AX36" i="8"/>
  <c r="AX52" i="8"/>
  <c r="AY12" i="8"/>
  <c r="AY24" i="8"/>
  <c r="AY36" i="8"/>
  <c r="AY52" i="8"/>
  <c r="AZ12" i="8"/>
  <c r="AZ24" i="8"/>
  <c r="AZ36" i="8"/>
  <c r="AZ52" i="8"/>
  <c r="BA12" i="8"/>
  <c r="BA24" i="8"/>
  <c r="BA36" i="8"/>
  <c r="BA52" i="8"/>
  <c r="BB12" i="8"/>
  <c r="BB24" i="8"/>
  <c r="BB36" i="8"/>
  <c r="BB52" i="8"/>
  <c r="BC12" i="8"/>
  <c r="BC24" i="8"/>
  <c r="BC36" i="8"/>
  <c r="BC52" i="8"/>
  <c r="BD12" i="8"/>
  <c r="BD24" i="8"/>
  <c r="BD36" i="8"/>
  <c r="BD52" i="8"/>
  <c r="BE12" i="8"/>
  <c r="BE24" i="8"/>
  <c r="BE36" i="8"/>
  <c r="BE52" i="8"/>
  <c r="BF12" i="8"/>
  <c r="BF24" i="8"/>
  <c r="BF36" i="8"/>
  <c r="BF52" i="8"/>
  <c r="BG12" i="8"/>
  <c r="BG24" i="8"/>
  <c r="BG36" i="8"/>
  <c r="BG52" i="8"/>
  <c r="BH12" i="8"/>
  <c r="BH24" i="8"/>
  <c r="BH36" i="8"/>
  <c r="BH52" i="8"/>
  <c r="BI52" i="8"/>
  <c r="BP52" i="8"/>
  <c r="D12" i="8"/>
  <c r="D24" i="8"/>
  <c r="D36" i="8"/>
  <c r="D52" i="8"/>
  <c r="BQ52" i="8"/>
  <c r="I51" i="8"/>
  <c r="V51" i="8"/>
  <c r="AI51" i="8"/>
  <c r="AV51" i="8"/>
  <c r="BI51" i="8"/>
  <c r="BP51" i="8"/>
  <c r="I49" i="8"/>
  <c r="V49" i="8"/>
  <c r="AI49" i="8"/>
  <c r="AV49" i="8"/>
  <c r="BI49" i="8"/>
  <c r="BP49" i="8"/>
  <c r="BP50" i="8"/>
  <c r="BI50" i="8"/>
  <c r="AV50" i="8"/>
  <c r="AI50" i="8"/>
  <c r="V50" i="8"/>
  <c r="I50" i="8"/>
  <c r="BQ49" i="8"/>
  <c r="I48" i="8"/>
  <c r="V48" i="8"/>
  <c r="AI48" i="8"/>
  <c r="AV48" i="8"/>
  <c r="BI48" i="8"/>
  <c r="BP48" i="8"/>
  <c r="I47" i="8"/>
  <c r="V47" i="8"/>
  <c r="AI47" i="8"/>
  <c r="AV47" i="8"/>
  <c r="BI47" i="8"/>
  <c r="BP47" i="8"/>
  <c r="I45" i="8"/>
  <c r="V45" i="8"/>
  <c r="AI45" i="8"/>
  <c r="AV45" i="8"/>
  <c r="BI45" i="8"/>
  <c r="BP45" i="8"/>
  <c r="BP46" i="8"/>
  <c r="AI46" i="8"/>
  <c r="BI44" i="8"/>
  <c r="AV44" i="8"/>
  <c r="AI44" i="8"/>
  <c r="V44" i="8"/>
  <c r="BP44" i="8"/>
  <c r="BQ44" i="8"/>
  <c r="BR44" i="8"/>
  <c r="I43" i="8"/>
  <c r="V43" i="8"/>
  <c r="AI43" i="8"/>
  <c r="AV43" i="8"/>
  <c r="BI43" i="8"/>
  <c r="BP43" i="8"/>
  <c r="I41" i="8"/>
  <c r="V41" i="8"/>
  <c r="AI41" i="8"/>
  <c r="AV41" i="8"/>
  <c r="BI41" i="8"/>
  <c r="BP41" i="8"/>
  <c r="BP42" i="8"/>
  <c r="BI42" i="8"/>
  <c r="AV42" i="8"/>
  <c r="AI42" i="8"/>
  <c r="V42" i="8"/>
  <c r="I42" i="8"/>
  <c r="I40" i="8"/>
  <c r="V40" i="8"/>
  <c r="AI40" i="8"/>
  <c r="AV40" i="8"/>
  <c r="BI40" i="8"/>
  <c r="BP40" i="8"/>
  <c r="BQ40" i="8"/>
  <c r="I31" i="8"/>
  <c r="I35" i="8"/>
  <c r="I39" i="8"/>
  <c r="V31" i="8"/>
  <c r="V35" i="8"/>
  <c r="V39" i="8"/>
  <c r="AI31" i="8"/>
  <c r="AI35" i="8"/>
  <c r="AI39" i="8"/>
  <c r="AV31" i="8"/>
  <c r="AV35" i="8"/>
  <c r="AV39" i="8"/>
  <c r="BI31" i="8"/>
  <c r="BI35" i="8"/>
  <c r="BI39" i="8"/>
  <c r="BP39" i="8"/>
  <c r="I29" i="8"/>
  <c r="I33" i="8"/>
  <c r="I37" i="8"/>
  <c r="V29" i="8"/>
  <c r="V33" i="8"/>
  <c r="V37" i="8"/>
  <c r="AI29" i="8"/>
  <c r="AI33" i="8"/>
  <c r="AI37" i="8"/>
  <c r="AV29" i="8"/>
  <c r="AV33" i="8"/>
  <c r="AV37" i="8"/>
  <c r="BI29" i="8"/>
  <c r="BI33" i="8"/>
  <c r="BI37" i="8"/>
  <c r="BP37" i="8"/>
  <c r="BP38" i="8"/>
  <c r="BI38" i="8"/>
  <c r="BH38" i="8"/>
  <c r="BG38" i="8"/>
  <c r="BF38" i="8"/>
  <c r="BE38" i="8"/>
  <c r="BD38" i="8"/>
  <c r="BC38" i="8"/>
  <c r="BB38" i="8"/>
  <c r="BA38" i="8"/>
  <c r="AZ38" i="8"/>
  <c r="AY38" i="8"/>
  <c r="AX38" i="8"/>
  <c r="AW38" i="8"/>
  <c r="AV38" i="8"/>
  <c r="AU38" i="8"/>
  <c r="AT38" i="8"/>
  <c r="AS38" i="8"/>
  <c r="AR38" i="8"/>
  <c r="AQ38" i="8"/>
  <c r="AP38" i="8"/>
  <c r="AO38" i="8"/>
  <c r="AN38" i="8"/>
  <c r="AM38" i="8"/>
  <c r="AL38" i="8"/>
  <c r="AK38" i="8"/>
  <c r="AJ38" i="8"/>
  <c r="AI38" i="8"/>
  <c r="AH38" i="8"/>
  <c r="AG38" i="8"/>
  <c r="AF38" i="8"/>
  <c r="AE38" i="8"/>
  <c r="AD38" i="8"/>
  <c r="AC38" i="8"/>
  <c r="AB38" i="8"/>
  <c r="AA38" i="8"/>
  <c r="Z38" i="8"/>
  <c r="Y38" i="8"/>
  <c r="X38" i="8"/>
  <c r="W38" i="8"/>
  <c r="V38" i="8"/>
  <c r="U38" i="8"/>
  <c r="T38" i="8"/>
  <c r="S38" i="8"/>
  <c r="R38" i="8"/>
  <c r="Q38" i="8"/>
  <c r="P38" i="8"/>
  <c r="O38" i="8"/>
  <c r="N38" i="8"/>
  <c r="M38" i="8"/>
  <c r="L38" i="8"/>
  <c r="K38" i="8"/>
  <c r="J38" i="8"/>
  <c r="I38" i="8"/>
  <c r="H38" i="8"/>
  <c r="G38" i="8"/>
  <c r="F38" i="8"/>
  <c r="E38" i="8"/>
  <c r="I28" i="8"/>
  <c r="I32" i="8"/>
  <c r="I36" i="8"/>
  <c r="V28" i="8"/>
  <c r="V32" i="8"/>
  <c r="V36" i="8"/>
  <c r="AI28" i="8"/>
  <c r="AI32" i="8"/>
  <c r="AI36" i="8"/>
  <c r="AV28" i="8"/>
  <c r="AV32" i="8"/>
  <c r="AV36" i="8"/>
  <c r="BI28" i="8"/>
  <c r="BI32" i="8"/>
  <c r="BI36" i="8"/>
  <c r="BP36" i="8"/>
  <c r="BQ36" i="8"/>
  <c r="BP35" i="8"/>
  <c r="BP33" i="8"/>
  <c r="BP34" i="8"/>
  <c r="BI34" i="8"/>
  <c r="AV34" i="8"/>
  <c r="AI34" i="8"/>
  <c r="V34" i="8"/>
  <c r="O34" i="8"/>
  <c r="I34" i="8"/>
  <c r="BP32" i="8"/>
  <c r="BQ32" i="8"/>
  <c r="BP31" i="8"/>
  <c r="BP29" i="8"/>
  <c r="BP30" i="8"/>
  <c r="BI30" i="8"/>
  <c r="AV30" i="8"/>
  <c r="AI30" i="8"/>
  <c r="V30" i="8"/>
  <c r="I30" i="8"/>
  <c r="BP28" i="8"/>
  <c r="BQ28" i="8"/>
  <c r="V19" i="8"/>
  <c r="V23" i="8"/>
  <c r="V27" i="8"/>
  <c r="AI19" i="8"/>
  <c r="AI23" i="8"/>
  <c r="AI27" i="8"/>
  <c r="AV19" i="8"/>
  <c r="AV23" i="8"/>
  <c r="AV27" i="8"/>
  <c r="BI19" i="8"/>
  <c r="BI23" i="8"/>
  <c r="BI27" i="8"/>
  <c r="BP27" i="8"/>
  <c r="V17" i="8"/>
  <c r="V21" i="8"/>
  <c r="V25" i="8"/>
  <c r="AI17" i="8"/>
  <c r="AI21" i="8"/>
  <c r="AI25" i="8"/>
  <c r="AV17" i="8"/>
  <c r="AV21" i="8"/>
  <c r="AV25" i="8"/>
  <c r="BI17" i="8"/>
  <c r="BI21" i="8"/>
  <c r="BI25" i="8"/>
  <c r="BP25" i="8"/>
  <c r="BP26" i="8"/>
  <c r="BI26" i="8"/>
  <c r="BH26" i="8"/>
  <c r="BG26" i="8"/>
  <c r="BF26" i="8"/>
  <c r="BE26" i="8"/>
  <c r="BD26" i="8"/>
  <c r="BC26" i="8"/>
  <c r="BB26" i="8"/>
  <c r="BA26" i="8"/>
  <c r="AZ26" i="8"/>
  <c r="AY26" i="8"/>
  <c r="AX26" i="8"/>
  <c r="AW26" i="8"/>
  <c r="AV26" i="8"/>
  <c r="AU26" i="8"/>
  <c r="AT26" i="8"/>
  <c r="AS26" i="8"/>
  <c r="AR26" i="8"/>
  <c r="AQ26" i="8"/>
  <c r="AP26" i="8"/>
  <c r="AO26" i="8"/>
  <c r="AN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V16" i="8"/>
  <c r="V20" i="8"/>
  <c r="V24" i="8"/>
  <c r="AI16" i="8"/>
  <c r="AI20" i="8"/>
  <c r="AI24" i="8"/>
  <c r="AV16" i="8"/>
  <c r="AV20" i="8"/>
  <c r="AV24" i="8"/>
  <c r="BI16" i="8"/>
  <c r="BI20" i="8"/>
  <c r="BI24" i="8"/>
  <c r="BP24" i="8"/>
  <c r="BP23" i="8"/>
  <c r="BP21" i="8"/>
  <c r="BP22" i="8"/>
  <c r="BI22" i="8"/>
  <c r="AV22" i="8"/>
  <c r="AI22" i="8"/>
  <c r="V22" i="8"/>
  <c r="BP20" i="8"/>
  <c r="BQ20" i="8"/>
  <c r="BP19" i="8"/>
  <c r="BP17" i="8"/>
  <c r="BP18" i="8"/>
  <c r="BI18" i="8"/>
  <c r="AV18" i="8"/>
  <c r="AI18" i="8"/>
  <c r="V18" i="8"/>
  <c r="BP16" i="8"/>
  <c r="BQ16" i="8"/>
  <c r="I7" i="8"/>
  <c r="I11" i="8"/>
  <c r="I15" i="8"/>
  <c r="V7" i="8"/>
  <c r="V11" i="8"/>
  <c r="V15" i="8"/>
  <c r="AI7" i="8"/>
  <c r="AI11" i="8"/>
  <c r="AI15" i="8"/>
  <c r="AV7" i="8"/>
  <c r="AV11" i="8"/>
  <c r="AV15" i="8"/>
  <c r="BI7" i="8"/>
  <c r="BI11" i="8"/>
  <c r="BI15" i="8"/>
  <c r="BP15" i="8"/>
  <c r="I5" i="8"/>
  <c r="I9" i="8"/>
  <c r="I13" i="8"/>
  <c r="V5" i="8"/>
  <c r="V9" i="8"/>
  <c r="V13" i="8"/>
  <c r="AI5" i="8"/>
  <c r="AI9" i="8"/>
  <c r="AI13" i="8"/>
  <c r="AV5" i="8"/>
  <c r="AV9" i="8"/>
  <c r="AV13" i="8"/>
  <c r="BI5" i="8"/>
  <c r="BI9" i="8"/>
  <c r="BI13" i="8"/>
  <c r="BP13" i="8"/>
  <c r="BP14" i="8"/>
  <c r="BI14" i="8"/>
  <c r="BH14" i="8"/>
  <c r="BG14" i="8"/>
  <c r="BF14" i="8"/>
  <c r="BE14" i="8"/>
  <c r="BD14" i="8"/>
  <c r="BC14" i="8"/>
  <c r="BB14" i="8"/>
  <c r="BA14" i="8"/>
  <c r="AZ14" i="8"/>
  <c r="AY14" i="8"/>
  <c r="AX14" i="8"/>
  <c r="AW14" i="8"/>
  <c r="AV14" i="8"/>
  <c r="AU14" i="8"/>
  <c r="AT14" i="8"/>
  <c r="AS14" i="8"/>
  <c r="AR14" i="8"/>
  <c r="AQ14" i="8"/>
  <c r="AP14" i="8"/>
  <c r="AO14" i="8"/>
  <c r="AN14" i="8"/>
  <c r="AM14" i="8"/>
  <c r="AL14" i="8"/>
  <c r="AK14" i="8"/>
  <c r="AJ14" i="8"/>
  <c r="AI14" i="8"/>
  <c r="AH14"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I4" i="8"/>
  <c r="I8" i="8"/>
  <c r="I12" i="8"/>
  <c r="V4" i="8"/>
  <c r="V8" i="8"/>
  <c r="V12" i="8"/>
  <c r="AI4" i="8"/>
  <c r="AI8" i="8"/>
  <c r="AI12" i="8"/>
  <c r="AV4" i="8"/>
  <c r="AV8" i="8"/>
  <c r="AV12" i="8"/>
  <c r="BI4" i="8"/>
  <c r="BI8" i="8"/>
  <c r="BI12" i="8"/>
  <c r="BP12" i="8"/>
  <c r="BQ12" i="8"/>
  <c r="BP11" i="8"/>
  <c r="BP9" i="8"/>
  <c r="BP10" i="8"/>
  <c r="BI10" i="8"/>
  <c r="AV10" i="8"/>
  <c r="AI10" i="8"/>
  <c r="V10" i="8"/>
  <c r="I10" i="8"/>
  <c r="BP8" i="8"/>
  <c r="BQ8" i="8"/>
  <c r="BP7" i="8"/>
  <c r="BP5" i="8"/>
  <c r="BP6" i="8"/>
  <c r="BI6" i="8"/>
  <c r="AV6" i="8"/>
  <c r="AI6" i="8"/>
  <c r="V6" i="8"/>
  <c r="I6" i="8"/>
  <c r="BP4" i="8"/>
  <c r="BQ4" i="8"/>
</calcChain>
</file>

<file path=xl/comments1.xml><?xml version="1.0" encoding="utf-8"?>
<comments xmlns="http://schemas.openxmlformats.org/spreadsheetml/2006/main">
  <authors>
    <author>USER</author>
  </authors>
  <commentList>
    <comment ref="C104" authorId="0">
      <text>
        <r>
          <rPr>
            <b/>
            <sz val="9"/>
            <rFont val="Tahoma"/>
            <family val="2"/>
          </rPr>
          <t>USER:</t>
        </r>
        <r>
          <rPr>
            <sz val="9"/>
            <rFont val="Tahoma"/>
            <family val="2"/>
          </rPr>
          <t xml:space="preserve">
</t>
        </r>
        <r>
          <rPr>
            <sz val="9"/>
            <rFont val="宋体"/>
            <family val="3"/>
            <charset val="134"/>
          </rPr>
          <t>付总包开票税款</t>
        </r>
      </text>
    </comment>
    <comment ref="C105" authorId="0">
      <text>
        <r>
          <rPr>
            <b/>
            <sz val="9"/>
            <rFont val="Tahoma"/>
            <family val="2"/>
          </rPr>
          <t>USER:</t>
        </r>
        <r>
          <rPr>
            <sz val="9"/>
            <rFont val="Tahoma"/>
            <family val="2"/>
          </rPr>
          <t xml:space="preserve">
</t>
        </r>
        <r>
          <rPr>
            <sz val="9"/>
            <rFont val="宋体"/>
            <family val="3"/>
            <charset val="134"/>
          </rPr>
          <t>付第一笔工程款</t>
        </r>
      </text>
    </comment>
    <comment ref="C106" authorId="0">
      <text>
        <r>
          <rPr>
            <b/>
            <sz val="9"/>
            <rFont val="Tahoma"/>
            <family val="2"/>
          </rPr>
          <t>USER:</t>
        </r>
        <r>
          <rPr>
            <sz val="9"/>
            <rFont val="Tahoma"/>
            <family val="2"/>
          </rPr>
          <t xml:space="preserve">
</t>
        </r>
        <r>
          <rPr>
            <sz val="9"/>
            <rFont val="宋体"/>
            <family val="3"/>
            <charset val="134"/>
          </rPr>
          <t>示范区挡墙第一笔</t>
        </r>
      </text>
    </comment>
    <comment ref="C107" authorId="0">
      <text>
        <r>
          <rPr>
            <b/>
            <sz val="9"/>
            <rFont val="Tahoma"/>
            <family val="2"/>
          </rPr>
          <t>USER:</t>
        </r>
        <r>
          <rPr>
            <sz val="9"/>
            <rFont val="Tahoma"/>
            <family val="2"/>
          </rPr>
          <t xml:space="preserve">
</t>
        </r>
        <r>
          <rPr>
            <sz val="9"/>
            <rFont val="宋体"/>
            <family val="3"/>
            <charset val="134"/>
          </rPr>
          <t>支取农民工预储第一笔</t>
        </r>
      </text>
    </comment>
    <comment ref="C120" authorId="0">
      <text>
        <r>
          <rPr>
            <b/>
            <sz val="9"/>
            <rFont val="Tahoma"/>
            <family val="2"/>
          </rPr>
          <t>USER:</t>
        </r>
        <r>
          <rPr>
            <sz val="9"/>
            <rFont val="Tahoma"/>
            <family val="2"/>
          </rPr>
          <t xml:space="preserve">
</t>
        </r>
        <r>
          <rPr>
            <sz val="9"/>
            <rFont val="Tahoma"/>
            <family val="2"/>
          </rPr>
          <t>1</t>
        </r>
        <r>
          <rPr>
            <sz val="9"/>
            <rFont val="宋体"/>
            <family val="3"/>
            <charset val="134"/>
          </rPr>
          <t>月工程进度款</t>
        </r>
      </text>
    </comment>
    <comment ref="C127" authorId="0">
      <text>
        <r>
          <rPr>
            <b/>
            <sz val="9"/>
            <rFont val="Tahoma"/>
            <family val="2"/>
          </rPr>
          <t>USER:</t>
        </r>
        <r>
          <rPr>
            <sz val="9"/>
            <rFont val="Tahoma"/>
            <family val="2"/>
          </rPr>
          <t xml:space="preserve">
</t>
        </r>
        <r>
          <rPr>
            <sz val="9"/>
            <rFont val="宋体"/>
            <family val="3"/>
            <charset val="134"/>
          </rPr>
          <t>工程进度款</t>
        </r>
      </text>
    </comment>
    <comment ref="C134" authorId="0">
      <text>
        <r>
          <rPr>
            <b/>
            <sz val="9"/>
            <rFont val="Tahoma"/>
            <family val="2"/>
          </rPr>
          <t>USER:</t>
        </r>
        <r>
          <rPr>
            <sz val="9"/>
            <rFont val="Tahoma"/>
            <family val="2"/>
          </rPr>
          <t xml:space="preserve">
</t>
        </r>
        <r>
          <rPr>
            <sz val="9"/>
            <rFont val="宋体"/>
            <family val="3"/>
            <charset val="134"/>
          </rPr>
          <t>付总包开票税款</t>
        </r>
      </text>
    </comment>
    <comment ref="C149" authorId="0">
      <text>
        <r>
          <rPr>
            <b/>
            <sz val="9"/>
            <rFont val="Tahoma"/>
            <family val="2"/>
          </rPr>
          <t>USER:</t>
        </r>
        <r>
          <rPr>
            <sz val="9"/>
            <rFont val="Tahoma"/>
            <family val="2"/>
          </rPr>
          <t xml:space="preserve">
</t>
        </r>
        <r>
          <rPr>
            <sz val="9"/>
            <rFont val="宋体"/>
            <family val="3"/>
            <charset val="134"/>
          </rPr>
          <t>工程进度款</t>
        </r>
      </text>
    </comment>
    <comment ref="C152" authorId="0">
      <text>
        <r>
          <rPr>
            <b/>
            <sz val="9"/>
            <rFont val="Tahoma"/>
            <family val="2"/>
          </rPr>
          <t>USER:</t>
        </r>
        <r>
          <rPr>
            <sz val="9"/>
            <rFont val="Tahoma"/>
            <family val="2"/>
          </rPr>
          <t xml:space="preserve">
</t>
        </r>
        <r>
          <rPr>
            <sz val="9"/>
            <rFont val="宋体"/>
            <family val="3"/>
            <charset val="134"/>
          </rPr>
          <t>工程进度款</t>
        </r>
      </text>
    </comment>
    <comment ref="C175" authorId="0">
      <text>
        <r>
          <rPr>
            <b/>
            <sz val="9"/>
            <rFont val="Tahoma"/>
            <family val="2"/>
          </rPr>
          <t>USER:</t>
        </r>
        <r>
          <rPr>
            <sz val="9"/>
            <rFont val="Tahoma"/>
            <family val="2"/>
          </rPr>
          <t xml:space="preserve">
</t>
        </r>
        <r>
          <rPr>
            <sz val="9"/>
            <rFont val="宋体"/>
            <family val="3"/>
            <charset val="134"/>
          </rPr>
          <t>总包从建委提取农民工储蓄</t>
        </r>
      </text>
    </comment>
    <comment ref="C176" authorId="0">
      <text>
        <r>
          <rPr>
            <b/>
            <sz val="9"/>
            <rFont val="Tahoma"/>
            <family val="2"/>
          </rPr>
          <t>USER:</t>
        </r>
        <r>
          <rPr>
            <sz val="9"/>
            <rFont val="Tahoma"/>
            <family val="2"/>
          </rPr>
          <t xml:space="preserve">
</t>
        </r>
        <r>
          <rPr>
            <sz val="9"/>
            <rFont val="宋体"/>
            <family val="3"/>
            <charset val="134"/>
          </rPr>
          <t>工程进度款</t>
        </r>
      </text>
    </comment>
    <comment ref="C184" authorId="0">
      <text>
        <r>
          <rPr>
            <b/>
            <sz val="9"/>
            <rFont val="Tahoma"/>
            <family val="2"/>
          </rPr>
          <t>USER:</t>
        </r>
        <r>
          <rPr>
            <sz val="9"/>
            <rFont val="Tahoma"/>
            <family val="2"/>
          </rPr>
          <t xml:space="preserve">
</t>
        </r>
        <r>
          <rPr>
            <sz val="9"/>
            <rFont val="宋体"/>
            <family val="3"/>
            <charset val="134"/>
          </rPr>
          <t>付工程进度款</t>
        </r>
      </text>
    </comment>
    <comment ref="C185" authorId="0">
      <text>
        <r>
          <rPr>
            <b/>
            <sz val="9"/>
            <rFont val="Tahoma"/>
            <family val="2"/>
          </rPr>
          <t>USER:</t>
        </r>
        <r>
          <rPr>
            <sz val="9"/>
            <rFont val="Tahoma"/>
            <family val="2"/>
          </rPr>
          <t xml:space="preserve">
</t>
        </r>
        <r>
          <rPr>
            <sz val="9"/>
            <rFont val="宋体"/>
            <family val="3"/>
            <charset val="134"/>
          </rPr>
          <t>提取农民工预储</t>
        </r>
      </text>
    </comment>
    <comment ref="C191" authorId="0">
      <text>
        <r>
          <rPr>
            <b/>
            <sz val="9"/>
            <rFont val="Tahoma"/>
            <family val="2"/>
          </rPr>
          <t>USER:</t>
        </r>
        <r>
          <rPr>
            <sz val="9"/>
            <rFont val="Tahoma"/>
            <family val="2"/>
          </rPr>
          <t xml:space="preserve">
</t>
        </r>
        <r>
          <rPr>
            <sz val="9"/>
            <rFont val="宋体"/>
            <family val="3"/>
            <charset val="134"/>
          </rPr>
          <t>财务没返此单</t>
        </r>
      </text>
    </comment>
    <comment ref="C196" authorId="0">
      <text>
        <r>
          <rPr>
            <b/>
            <sz val="9"/>
            <rFont val="Tahoma"/>
            <family val="2"/>
          </rPr>
          <t>USER:</t>
        </r>
        <r>
          <rPr>
            <sz val="9"/>
            <rFont val="Tahoma"/>
            <family val="2"/>
          </rPr>
          <t xml:space="preserve">
</t>
        </r>
        <r>
          <rPr>
            <sz val="9"/>
            <rFont val="宋体"/>
            <family val="3"/>
            <charset val="134"/>
          </rPr>
          <t>第十三笔工程进度款</t>
        </r>
      </text>
    </comment>
  </commentList>
</comments>
</file>

<file path=xl/comments2.xml><?xml version="1.0" encoding="utf-8"?>
<comments xmlns="http://schemas.openxmlformats.org/spreadsheetml/2006/main">
  <authors>
    <author>USER</author>
  </authors>
  <commentList>
    <comment ref="A31" authorId="0">
      <text>
        <r>
          <rPr>
            <b/>
            <sz val="9"/>
            <rFont val="Tahoma"/>
            <family val="2"/>
          </rPr>
          <t>USER:</t>
        </r>
        <r>
          <rPr>
            <sz val="9"/>
            <rFont val="Tahoma"/>
            <family val="2"/>
          </rPr>
          <t xml:space="preserve">
</t>
        </r>
        <r>
          <rPr>
            <sz val="9"/>
            <rFont val="Tahoma"/>
            <family val="2"/>
          </rPr>
          <t>28-30</t>
        </r>
        <r>
          <rPr>
            <sz val="9"/>
            <rFont val="宋体"/>
            <family val="3"/>
            <charset val="134"/>
          </rPr>
          <t>号合同没给行政</t>
        </r>
      </text>
    </comment>
    <comment ref="F62" authorId="0">
      <text>
        <r>
          <rPr>
            <sz val="9"/>
            <rFont val="宋体"/>
            <family val="3"/>
            <charset val="134"/>
          </rPr>
          <t xml:space="preserve">USER:
</t>
        </r>
        <r>
          <rPr>
            <sz val="9"/>
            <rFont val="宋体"/>
            <family val="3"/>
            <charset val="134"/>
          </rPr>
          <t>甲方替总包先行垫付，后期从总包工程款中扣回。</t>
        </r>
      </text>
    </comment>
    <comment ref="F91" authorId="0">
      <text>
        <r>
          <rPr>
            <sz val="9"/>
            <rFont val="宋体"/>
            <family val="3"/>
            <charset val="134"/>
          </rPr>
          <t xml:space="preserve">USER:
</t>
        </r>
        <r>
          <rPr>
            <sz val="9"/>
            <rFont val="宋体"/>
            <family val="3"/>
            <charset val="134"/>
          </rPr>
          <t>0.4元/平米（地上建筑面积—幼儿园—托老所）</t>
        </r>
      </text>
    </comment>
    <comment ref="F99" authorId="0">
      <text>
        <r>
          <rPr>
            <b/>
            <sz val="9"/>
            <rFont val="Tahoma"/>
            <family val="2"/>
          </rPr>
          <t>USER:</t>
        </r>
        <r>
          <rPr>
            <sz val="9"/>
            <rFont val="Tahoma"/>
            <family val="2"/>
          </rPr>
          <t xml:space="preserve">
</t>
        </r>
        <r>
          <rPr>
            <sz val="9"/>
            <rFont val="宋体"/>
            <family val="3"/>
            <charset val="134"/>
          </rPr>
          <t>原合同</t>
        </r>
        <r>
          <rPr>
            <sz val="9"/>
            <rFont val="Tahoma"/>
            <family val="2"/>
          </rPr>
          <t>5</t>
        </r>
        <r>
          <rPr>
            <sz val="9"/>
            <rFont val="宋体"/>
            <family val="3"/>
            <charset val="134"/>
          </rPr>
          <t>万，因由此单位施工，故设计费不收。</t>
        </r>
      </text>
    </comment>
    <comment ref="D102" authorId="0">
      <text>
        <r>
          <rPr>
            <sz val="9"/>
            <rFont val="宋体"/>
            <family val="3"/>
            <charset val="134"/>
          </rPr>
          <t xml:space="preserve">USER:
</t>
        </r>
        <r>
          <rPr>
            <sz val="9"/>
            <rFont val="宋体"/>
            <family val="3"/>
            <charset val="134"/>
          </rPr>
          <t>此费用包含在总包施工合同价款中，从总包合同工程款中扣除</t>
        </r>
      </text>
    </comment>
    <comment ref="D106" authorId="0">
      <text>
        <r>
          <rPr>
            <sz val="9"/>
            <rFont val="宋体"/>
            <family val="3"/>
            <charset val="134"/>
          </rPr>
          <t xml:space="preserve">USER:
</t>
        </r>
        <r>
          <rPr>
            <sz val="9"/>
            <rFont val="宋体"/>
            <family val="3"/>
            <charset val="134"/>
          </rPr>
          <t>预付款保函20%</t>
        </r>
      </text>
    </comment>
    <comment ref="D111" authorId="0">
      <text>
        <r>
          <rPr>
            <b/>
            <sz val="9"/>
            <rFont val="Tahoma"/>
            <family val="2"/>
          </rPr>
          <t>USER:</t>
        </r>
        <r>
          <rPr>
            <sz val="9"/>
            <rFont val="Tahoma"/>
            <family val="2"/>
          </rPr>
          <t xml:space="preserve">
</t>
        </r>
        <r>
          <rPr>
            <sz val="9"/>
            <rFont val="宋体"/>
            <family val="3"/>
            <charset val="134"/>
          </rPr>
          <t>预付款保函</t>
        </r>
        <r>
          <rPr>
            <sz val="9"/>
            <rFont val="Tahoma"/>
            <family val="2"/>
          </rPr>
          <t>10%</t>
        </r>
      </text>
    </comment>
    <comment ref="D118" authorId="0">
      <text>
        <r>
          <rPr>
            <b/>
            <sz val="9"/>
            <rFont val="Tahoma"/>
            <family val="2"/>
          </rPr>
          <t>USER:</t>
        </r>
        <r>
          <rPr>
            <sz val="9"/>
            <rFont val="Tahoma"/>
            <family val="2"/>
          </rPr>
          <t xml:space="preserve">
</t>
        </r>
        <r>
          <rPr>
            <sz val="9"/>
            <rFont val="宋体"/>
            <family val="3"/>
            <charset val="134"/>
          </rPr>
          <t>预付款保函（一标的</t>
        </r>
        <r>
          <rPr>
            <sz val="9"/>
            <rFont val="Tahoma"/>
            <family val="2"/>
          </rPr>
          <t>20%</t>
        </r>
        <r>
          <rPr>
            <sz val="9"/>
            <rFont val="宋体"/>
            <family val="3"/>
            <charset val="134"/>
          </rPr>
          <t>；二三四标的</t>
        </r>
        <r>
          <rPr>
            <sz val="9"/>
            <rFont val="Tahoma"/>
            <family val="2"/>
          </rPr>
          <t>5%</t>
        </r>
        <r>
          <rPr>
            <sz val="9"/>
            <rFont val="宋体"/>
            <family val="3"/>
            <charset val="134"/>
          </rPr>
          <t>）</t>
        </r>
      </text>
    </comment>
    <comment ref="D153" authorId="0">
      <text>
        <r>
          <rPr>
            <b/>
            <sz val="9"/>
            <rFont val="Tahoma"/>
            <family val="2"/>
          </rPr>
          <t>USER:</t>
        </r>
        <r>
          <rPr>
            <sz val="9"/>
            <rFont val="Tahoma"/>
            <family val="2"/>
          </rPr>
          <t xml:space="preserve">
</t>
        </r>
        <r>
          <rPr>
            <sz val="9"/>
            <rFont val="宋体"/>
            <family val="3"/>
            <charset val="134"/>
          </rPr>
          <t>此合同没入</t>
        </r>
        <r>
          <rPr>
            <sz val="9"/>
            <rFont val="Tahoma"/>
            <family val="2"/>
          </rPr>
          <t>2015</t>
        </r>
        <r>
          <rPr>
            <sz val="9"/>
            <rFont val="宋体"/>
            <family val="3"/>
            <charset val="134"/>
          </rPr>
          <t>年动态成本发生额</t>
        </r>
      </text>
    </comment>
    <comment ref="F170" authorId="0">
      <text>
        <r>
          <rPr>
            <b/>
            <sz val="9"/>
            <rFont val="Tahoma"/>
            <family val="2"/>
          </rPr>
          <t>USER:</t>
        </r>
        <r>
          <rPr>
            <sz val="9"/>
            <rFont val="Tahoma"/>
            <family val="2"/>
          </rPr>
          <t xml:space="preserve">
</t>
        </r>
        <r>
          <rPr>
            <sz val="9"/>
            <rFont val="宋体"/>
            <family val="3"/>
            <charset val="134"/>
          </rPr>
          <t>其中：二期</t>
        </r>
        <r>
          <rPr>
            <sz val="9"/>
            <rFont val="Tahoma"/>
            <family val="2"/>
          </rPr>
          <t>17782.5</t>
        </r>
        <r>
          <rPr>
            <sz val="9"/>
            <rFont val="宋体"/>
            <family val="3"/>
            <charset val="134"/>
          </rPr>
          <t>元；三期</t>
        </r>
        <r>
          <rPr>
            <sz val="9"/>
            <rFont val="Tahoma"/>
            <family val="2"/>
          </rPr>
          <t>34337.85</t>
        </r>
        <r>
          <rPr>
            <sz val="9"/>
            <rFont val="宋体"/>
            <family val="3"/>
            <charset val="134"/>
          </rPr>
          <t>元</t>
        </r>
      </text>
    </comment>
    <comment ref="F175" authorId="0">
      <text>
        <r>
          <rPr>
            <b/>
            <sz val="9"/>
            <rFont val="Tahoma"/>
            <family val="2"/>
          </rPr>
          <t>USER:</t>
        </r>
        <r>
          <rPr>
            <sz val="9"/>
            <rFont val="Tahoma"/>
            <family val="2"/>
          </rPr>
          <t xml:space="preserve">
</t>
        </r>
        <r>
          <rPr>
            <sz val="9"/>
            <rFont val="宋体"/>
            <family val="3"/>
            <charset val="134"/>
          </rPr>
          <t>土建站：</t>
        </r>
        <r>
          <rPr>
            <sz val="9"/>
            <rFont val="Tahoma"/>
            <family val="2"/>
          </rPr>
          <t>240800</t>
        </r>
        <r>
          <rPr>
            <sz val="9"/>
            <rFont val="宋体"/>
            <family val="3"/>
            <charset val="134"/>
          </rPr>
          <t>元（</t>
        </r>
        <r>
          <rPr>
            <sz val="9"/>
            <rFont val="Tahoma"/>
            <family val="2"/>
          </rPr>
          <t xml:space="preserve">2800*86m2)
</t>
        </r>
        <r>
          <rPr>
            <sz val="9"/>
            <rFont val="Tahoma"/>
            <family val="2"/>
          </rPr>
          <t>CF</t>
        </r>
        <r>
          <rPr>
            <sz val="9"/>
            <rFont val="宋体"/>
            <family val="3"/>
            <charset val="134"/>
          </rPr>
          <t>箱基础：</t>
        </r>
        <r>
          <rPr>
            <sz val="9"/>
            <rFont val="Tahoma"/>
            <family val="2"/>
          </rPr>
          <t>28</t>
        </r>
        <r>
          <rPr>
            <sz val="9"/>
            <rFont val="宋体"/>
            <family val="3"/>
            <charset val="134"/>
          </rPr>
          <t xml:space="preserve">个
</t>
        </r>
        <r>
          <rPr>
            <sz val="9"/>
            <rFont val="宋体"/>
            <family val="3"/>
            <charset val="134"/>
          </rPr>
          <t>环网柜基础：</t>
        </r>
        <r>
          <rPr>
            <sz val="9"/>
            <rFont val="Tahoma"/>
            <family val="2"/>
          </rPr>
          <t>1</t>
        </r>
        <r>
          <rPr>
            <sz val="9"/>
            <rFont val="宋体"/>
            <family val="3"/>
            <charset val="134"/>
          </rPr>
          <t xml:space="preserve">个
</t>
        </r>
        <r>
          <rPr>
            <sz val="9"/>
            <rFont val="宋体"/>
            <family val="3"/>
            <charset val="134"/>
          </rPr>
          <t>箱式站基础：</t>
        </r>
        <r>
          <rPr>
            <sz val="9"/>
            <rFont val="Tahoma"/>
            <family val="2"/>
          </rPr>
          <t>3</t>
        </r>
        <r>
          <rPr>
            <sz val="9"/>
            <rFont val="宋体"/>
            <family val="3"/>
            <charset val="134"/>
          </rPr>
          <t>个</t>
        </r>
      </text>
    </comment>
  </commentList>
</comments>
</file>

<file path=xl/comments3.xml><?xml version="1.0" encoding="utf-8"?>
<comments xmlns="http://schemas.openxmlformats.org/spreadsheetml/2006/main">
  <authors>
    <author>USER</author>
  </authors>
  <commentList>
    <comment ref="E4" authorId="0">
      <text>
        <r>
          <rPr>
            <sz val="9"/>
            <rFont val="宋体"/>
            <family val="3"/>
            <charset val="134"/>
          </rPr>
          <t xml:space="preserve">USER:
</t>
        </r>
        <r>
          <rPr>
            <sz val="9"/>
            <rFont val="宋体"/>
            <family val="3"/>
            <charset val="134"/>
          </rPr>
          <t>甲方替总包先行垫付，后期从总包工程款中扣回。</t>
        </r>
      </text>
    </comment>
    <comment ref="C8" authorId="0">
      <text>
        <r>
          <rPr>
            <sz val="9"/>
            <rFont val="宋体"/>
            <family val="3"/>
            <charset val="134"/>
          </rPr>
          <t xml:space="preserve">USER:
</t>
        </r>
        <r>
          <rPr>
            <sz val="9"/>
            <rFont val="宋体"/>
            <family val="3"/>
            <charset val="134"/>
          </rPr>
          <t>此费用包含在总包施工合同价款中，从总包合同工程款中扣除</t>
        </r>
      </text>
    </comment>
    <comment ref="C9" authorId="0">
      <text>
        <r>
          <rPr>
            <sz val="9"/>
            <rFont val="宋体"/>
            <family val="3"/>
            <charset val="134"/>
          </rPr>
          <t xml:space="preserve">USER:
</t>
        </r>
        <r>
          <rPr>
            <sz val="9"/>
            <rFont val="宋体"/>
            <family val="3"/>
            <charset val="134"/>
          </rPr>
          <t>验收后退回</t>
        </r>
      </text>
    </comment>
  </commentList>
</comments>
</file>

<file path=xl/sharedStrings.xml><?xml version="1.0" encoding="utf-8"?>
<sst xmlns="http://schemas.openxmlformats.org/spreadsheetml/2006/main" count="6058" uniqueCount="2391">
  <si>
    <r>
      <rPr>
        <b/>
        <u/>
        <sz val="24"/>
        <rFont val="华文行楷"/>
        <family val="3"/>
        <charset val="134"/>
      </rPr>
      <t>〈博轩园〉</t>
    </r>
    <r>
      <rPr>
        <b/>
        <sz val="24"/>
        <rFont val="华文行楷"/>
        <family val="3"/>
        <charset val="134"/>
      </rPr>
      <t>合同拨款台帐统计</t>
    </r>
  </si>
  <si>
    <t>天津博智置业发展有限公司</t>
  </si>
  <si>
    <r>
      <rPr>
        <sz val="12"/>
        <rFont val="方正姚体"/>
        <family val="3"/>
        <charset val="134"/>
      </rPr>
      <t>运</t>
    </r>
    <r>
      <rPr>
        <sz val="12"/>
        <rFont val="Times New Roman"/>
        <family val="1"/>
      </rPr>
      <t xml:space="preserve">    </t>
    </r>
    <r>
      <rPr>
        <sz val="12"/>
        <rFont val="方正姚体"/>
        <family val="3"/>
        <charset val="134"/>
      </rPr>
      <t>营</t>
    </r>
    <r>
      <rPr>
        <sz val="12"/>
        <rFont val="Times New Roman"/>
        <family val="1"/>
      </rPr>
      <t xml:space="preserve">    </t>
    </r>
    <r>
      <rPr>
        <sz val="12"/>
        <rFont val="方正姚体"/>
        <family val="3"/>
        <charset val="134"/>
      </rPr>
      <t>部</t>
    </r>
  </si>
  <si>
    <t>2009年</t>
  </si>
  <si>
    <t>台帐使用说明</t>
  </si>
  <si>
    <t>1.本合同台帐分为拨款台帐、合同台帐、简表、成本明细四部分。</t>
  </si>
  <si>
    <t>2.发生新合同时填齐合同台帐表列各项，此表可查询合同编号、合同类别、合同名称、施工单位、合同造价、累计拨款、付款方式等信息。</t>
  </si>
  <si>
    <t>3.拨款台帐记录每次拨款信息，此表可查询各个合同的每笔拨款的日期、拨款数量、累计拨款、余额等。</t>
  </si>
  <si>
    <t>4.在发生新合同时，将其按照类别分别计入成本明细表，此表可查询每项成本的单价控制指标、成本总额，并根据 已发生平米造价、已发生合同额，得出盈亏对比指标。</t>
  </si>
  <si>
    <t>5.新发生合同填入成本明细表后，单项已发生合同额会自动生成，已发生合同总额会随之改变，同时简表中实际总投资会发生变化，并与之相等。即成本明细已发生合同额、简表实际总投资为同一值。</t>
  </si>
  <si>
    <t>6.当拨款台帐中，拨款数量一栏变化时，拨款台帐中余额会自动生成，同时合同台帐中累计拨款、拨款率，成本明细中累计拨款均会随之发生变化。即拨款台帐累计拨款、合同台帐累计拨款、成本明细合同累计拨款为同一值。</t>
  </si>
  <si>
    <t>博智运营部</t>
  </si>
  <si>
    <t>JXA-001</t>
  </si>
  <si>
    <t>JXA-002</t>
  </si>
  <si>
    <t>JXA-003</t>
  </si>
  <si>
    <t>JXA-004</t>
  </si>
  <si>
    <t>JXA-005</t>
  </si>
  <si>
    <t>JXA-006W</t>
  </si>
  <si>
    <t>JXA-007W</t>
  </si>
  <si>
    <t>JXA-008W</t>
  </si>
  <si>
    <t>JXA-009W</t>
  </si>
  <si>
    <t>JXA-010W</t>
  </si>
  <si>
    <t>JXA-011W</t>
  </si>
  <si>
    <t>JXA-012W</t>
  </si>
  <si>
    <t>JXA-013</t>
  </si>
  <si>
    <t>JXA-014W</t>
  </si>
  <si>
    <t>JXA-016B</t>
  </si>
  <si>
    <t>JXA-017W</t>
  </si>
  <si>
    <t>JXA-019W</t>
  </si>
  <si>
    <t>JXA-020W</t>
  </si>
  <si>
    <t>JXA-021W</t>
  </si>
  <si>
    <t>JXA-022W</t>
  </si>
  <si>
    <t>JXA-034W</t>
  </si>
  <si>
    <t>JXA-035</t>
  </si>
  <si>
    <t>JXA-041W</t>
  </si>
  <si>
    <t>JXA-038</t>
  </si>
  <si>
    <t>JXA-037</t>
  </si>
  <si>
    <t>JXA-047</t>
  </si>
  <si>
    <t>JXA-045W</t>
  </si>
  <si>
    <t>JXA-052W</t>
  </si>
  <si>
    <t>JXA-051</t>
  </si>
  <si>
    <t>JXA-039W</t>
  </si>
  <si>
    <t>JXA-054W</t>
  </si>
  <si>
    <t>JXA-055W</t>
  </si>
  <si>
    <t>JXA-044</t>
  </si>
  <si>
    <t>JXA-049</t>
  </si>
  <si>
    <t>JXA-043</t>
  </si>
  <si>
    <t>JXA-062W</t>
  </si>
  <si>
    <t>JXA-063W</t>
  </si>
  <si>
    <t>JXA-065W</t>
  </si>
  <si>
    <t>JXA-036</t>
  </si>
  <si>
    <t>JXA-050</t>
  </si>
  <si>
    <t>JXA-067W</t>
  </si>
  <si>
    <t>JXA-066</t>
  </si>
  <si>
    <t>JXA-068</t>
  </si>
  <si>
    <t>JXA-071</t>
  </si>
  <si>
    <t>JXA-072</t>
  </si>
  <si>
    <t>JXA-074W</t>
  </si>
  <si>
    <t>JXA-075W</t>
  </si>
  <si>
    <t>JXA-023</t>
  </si>
  <si>
    <t>JXA-077</t>
  </si>
  <si>
    <t>JXA-079W</t>
  </si>
  <si>
    <t>JXA-078W</t>
  </si>
  <si>
    <t>JXA-080W</t>
  </si>
  <si>
    <t>JXA-081W</t>
  </si>
  <si>
    <t>JXA-082W</t>
  </si>
  <si>
    <t>JXA-076</t>
  </si>
  <si>
    <t>JXA-089W</t>
  </si>
  <si>
    <t>JXA-084</t>
  </si>
  <si>
    <t>JXA-092</t>
  </si>
  <si>
    <t>JXA-042</t>
  </si>
  <si>
    <t>JXA-095W</t>
  </si>
  <si>
    <t>JXA-096</t>
  </si>
  <si>
    <t>JXA-088</t>
  </si>
  <si>
    <t>JXA-015</t>
  </si>
  <si>
    <t>JXA-100</t>
  </si>
  <si>
    <t>JXA-048</t>
  </si>
  <si>
    <t>JXA-102</t>
  </si>
  <si>
    <t>JXA-028W</t>
  </si>
  <si>
    <t>JXA-029W</t>
  </si>
  <si>
    <t>JXA-073</t>
  </si>
  <si>
    <t>JXA-090</t>
  </si>
  <si>
    <t>JXA-101</t>
  </si>
  <si>
    <t>JXA-053</t>
  </si>
  <si>
    <t>JXA-097</t>
  </si>
  <si>
    <t>JXA-068B</t>
  </si>
  <si>
    <t>JXA-061W</t>
  </si>
  <si>
    <t>JXA-070</t>
  </si>
  <si>
    <t>JXA-133</t>
  </si>
  <si>
    <t>JXA-105W</t>
  </si>
  <si>
    <t>JXA-112W</t>
  </si>
  <si>
    <t>JXA-113</t>
  </si>
  <si>
    <t>JXA-046W</t>
  </si>
  <si>
    <t>JXA-114</t>
  </si>
  <si>
    <t>JXA-119</t>
  </si>
  <si>
    <t>JXA-109</t>
  </si>
  <si>
    <t>JXA-117W</t>
  </si>
  <si>
    <t>JXA-068C</t>
  </si>
  <si>
    <t>JXA-107</t>
  </si>
  <si>
    <t>JXA-125W</t>
  </si>
  <si>
    <t>JXA-126W</t>
  </si>
  <si>
    <t>JXA-108</t>
  </si>
  <si>
    <t>JXA-127W</t>
  </si>
  <si>
    <t>JXA-111</t>
  </si>
  <si>
    <t>JXA-130W</t>
  </si>
  <si>
    <t>JXA-040</t>
  </si>
  <si>
    <t>JXA-024</t>
  </si>
  <si>
    <t>JXA-068D</t>
  </si>
  <si>
    <t>JXA-128</t>
  </si>
  <si>
    <t>JXA-134W</t>
  </si>
  <si>
    <t>JXA-138W</t>
  </si>
  <si>
    <t>JXA-140W</t>
  </si>
  <si>
    <t>JXA-115</t>
  </si>
  <si>
    <t>JXA-149</t>
  </si>
  <si>
    <t>JXA-167</t>
  </si>
  <si>
    <t>JXA-168</t>
  </si>
  <si>
    <t>JXA-142</t>
  </si>
  <si>
    <t>JXA-033</t>
  </si>
  <si>
    <t>JXA-147</t>
  </si>
  <si>
    <t>JXA-120</t>
  </si>
  <si>
    <t>土地契税</t>
  </si>
  <si>
    <t>JXA-025W</t>
  </si>
  <si>
    <t>JXA-026W</t>
  </si>
  <si>
    <t>JXA-056</t>
  </si>
  <si>
    <t>JXA-059</t>
  </si>
  <si>
    <t>地下水资源费</t>
  </si>
  <si>
    <t>水土保持设施补偿费</t>
  </si>
  <si>
    <t>JXA-083W</t>
  </si>
  <si>
    <t>JXA-091</t>
  </si>
  <si>
    <t>JXA-093</t>
  </si>
  <si>
    <t>JXA-099</t>
  </si>
  <si>
    <t>界外地景观</t>
  </si>
  <si>
    <t>JXA-106</t>
  </si>
  <si>
    <t>JXA-122</t>
  </si>
  <si>
    <t>JXA-137</t>
  </si>
  <si>
    <t>JXA-139W</t>
  </si>
  <si>
    <t>JXA-141W</t>
  </si>
  <si>
    <t>JXA-143</t>
  </si>
  <si>
    <t>JXA-144</t>
  </si>
  <si>
    <t>JXA-145</t>
  </si>
  <si>
    <t>JXA-146-01</t>
  </si>
  <si>
    <t>JXA-146-02</t>
  </si>
  <si>
    <t>JXA-148</t>
  </si>
  <si>
    <t>JXA-150W</t>
  </si>
  <si>
    <t>JXA-151W</t>
  </si>
  <si>
    <t>JXA-152W</t>
  </si>
  <si>
    <t>JXA-153W</t>
  </si>
  <si>
    <t>JXA-154</t>
  </si>
  <si>
    <t>JXA-155</t>
  </si>
  <si>
    <t>JXA-156W</t>
  </si>
  <si>
    <t>JXA-157W</t>
  </si>
  <si>
    <t>JXA-158W</t>
  </si>
  <si>
    <t>JXA-159W</t>
  </si>
  <si>
    <t>JXA-160W</t>
  </si>
  <si>
    <t>JXA-161W</t>
  </si>
  <si>
    <t>JXA-162W</t>
  </si>
  <si>
    <t>JXA-164W</t>
  </si>
  <si>
    <t>JXA-166</t>
  </si>
  <si>
    <t>JXA-170</t>
  </si>
  <si>
    <t>JXA-171</t>
  </si>
  <si>
    <t>JXA-173</t>
  </si>
  <si>
    <t>JXA-175</t>
  </si>
  <si>
    <t>总计</t>
  </si>
  <si>
    <t>土地费</t>
  </si>
  <si>
    <t>基础设施费</t>
  </si>
  <si>
    <t>销售费用</t>
  </si>
  <si>
    <t>本月</t>
  </si>
  <si>
    <t>项           目</t>
  </si>
  <si>
    <t>已发生（万元）</t>
  </si>
  <si>
    <t>待发生成本（万元）</t>
  </si>
  <si>
    <t>本月动态成本（万元）</t>
  </si>
  <si>
    <t>成本增加（动态-目标）</t>
  </si>
  <si>
    <t>差异说明</t>
  </si>
  <si>
    <t>截至上月已发生</t>
  </si>
  <si>
    <t>分析</t>
  </si>
  <si>
    <t>待发生成本</t>
  </si>
  <si>
    <r>
      <rPr>
        <b/>
        <sz val="10"/>
        <rFont val="宋体"/>
        <family val="3"/>
        <charset val="134"/>
      </rPr>
      <t>控制指标</t>
    </r>
    <r>
      <rPr>
        <b/>
        <sz val="8"/>
        <rFont val="宋体"/>
        <family val="3"/>
        <charset val="134"/>
      </rPr>
      <t>（元/m3）</t>
    </r>
  </si>
  <si>
    <t>总投资（万元）</t>
  </si>
  <si>
    <t>合同值</t>
  </si>
  <si>
    <t>结算差异</t>
  </si>
  <si>
    <t>一</t>
  </si>
  <si>
    <t>土地及大配套费</t>
  </si>
  <si>
    <t>大配套费</t>
  </si>
  <si>
    <t>土地交易费</t>
  </si>
  <si>
    <t>二</t>
  </si>
  <si>
    <t>前期费用</t>
  </si>
  <si>
    <t>地质勘查费</t>
  </si>
  <si>
    <t>工程设计费</t>
  </si>
  <si>
    <t>综合管网设计费</t>
  </si>
  <si>
    <t>环境评估费</t>
  </si>
  <si>
    <t>避雷监测费</t>
  </si>
  <si>
    <t>室内环境检测费</t>
  </si>
  <si>
    <t>土地证</t>
  </si>
  <si>
    <t>施工图审查费</t>
  </si>
  <si>
    <t>墙改费</t>
  </si>
  <si>
    <t>水泥专项基金</t>
  </si>
  <si>
    <t>地籍地形图、核地</t>
  </si>
  <si>
    <t xml:space="preserve">销售许可证公告费 </t>
  </si>
  <si>
    <t>道路开口费</t>
  </si>
  <si>
    <t>消防存档费</t>
  </si>
  <si>
    <t>准入证公告费</t>
  </si>
  <si>
    <t>档案存档费</t>
  </si>
  <si>
    <t>土建监理费</t>
  </si>
  <si>
    <t>沉降观测</t>
  </si>
  <si>
    <t>人防监督及档案编制</t>
  </si>
  <si>
    <t>三</t>
  </si>
  <si>
    <t>建安工程费</t>
  </si>
  <si>
    <t>桩基础工程费</t>
  </si>
  <si>
    <t>主体建安</t>
  </si>
  <si>
    <t>电梯</t>
  </si>
  <si>
    <t>公共部位精装修</t>
  </si>
  <si>
    <t>环境工程</t>
  </si>
  <si>
    <t>四</t>
  </si>
  <si>
    <t>供电</t>
  </si>
  <si>
    <t>电力工程费</t>
  </si>
  <si>
    <t>内缆工程费</t>
  </si>
  <si>
    <t>红号站设备</t>
  </si>
  <si>
    <t>自来水工程费</t>
  </si>
  <si>
    <t>燃气</t>
  </si>
  <si>
    <t>燃气工程费</t>
  </si>
  <si>
    <t>点火费</t>
  </si>
  <si>
    <t>供热</t>
  </si>
  <si>
    <t>供热内网费</t>
  </si>
  <si>
    <t>热计量表</t>
  </si>
  <si>
    <t>排水</t>
  </si>
  <si>
    <t>排水工程费</t>
  </si>
  <si>
    <t>排水破路施工费</t>
  </si>
  <si>
    <t>视讯</t>
  </si>
  <si>
    <t>电视线路安装费</t>
  </si>
  <si>
    <t>电视外网工程费</t>
  </si>
  <si>
    <t>通讯线路安装费</t>
  </si>
  <si>
    <t>其他基础设施费</t>
  </si>
  <si>
    <t>邮政设施</t>
  </si>
  <si>
    <t>五</t>
  </si>
  <si>
    <t>公用配套设施</t>
  </si>
  <si>
    <t>物业管理费</t>
  </si>
  <si>
    <t>物业开办费</t>
  </si>
  <si>
    <t>验房费</t>
  </si>
  <si>
    <t>空房管理费</t>
  </si>
  <si>
    <t>前期配合费</t>
  </si>
  <si>
    <t>空房采暖费</t>
  </si>
  <si>
    <t>六</t>
  </si>
  <si>
    <t>七</t>
  </si>
  <si>
    <t>直接成本小计</t>
  </si>
  <si>
    <t>八</t>
  </si>
  <si>
    <t>公共设施维修基金</t>
  </si>
  <si>
    <t>九</t>
  </si>
  <si>
    <t>销售收入</t>
  </si>
  <si>
    <t>十</t>
  </si>
  <si>
    <t>十一</t>
  </si>
  <si>
    <t>管理费用</t>
  </si>
  <si>
    <t>十二</t>
  </si>
  <si>
    <t>十三</t>
  </si>
  <si>
    <t>十四</t>
  </si>
  <si>
    <t>营业税金</t>
  </si>
  <si>
    <t>十五</t>
  </si>
  <si>
    <t>土地增值税</t>
  </si>
  <si>
    <t>十六</t>
  </si>
  <si>
    <t>十七</t>
  </si>
  <si>
    <t>所得税</t>
  </si>
  <si>
    <t>十八</t>
  </si>
  <si>
    <t>税前成本合计</t>
  </si>
  <si>
    <t>十九</t>
  </si>
  <si>
    <t>税后利润</t>
  </si>
  <si>
    <t>二十</t>
  </si>
  <si>
    <t>税后净利润率</t>
  </si>
  <si>
    <r>
      <rPr>
        <sz val="10"/>
        <rFont val="宋体"/>
        <family val="3"/>
        <charset val="134"/>
      </rPr>
      <t>201</t>
    </r>
    <r>
      <rPr>
        <sz val="10"/>
        <rFont val="宋体"/>
        <family val="3"/>
        <charset val="134"/>
      </rPr>
      <t>4</t>
    </r>
    <r>
      <rPr>
        <sz val="10"/>
        <rFont val="宋体"/>
        <family val="3"/>
        <charset val="134"/>
      </rPr>
      <t>年</t>
    </r>
  </si>
  <si>
    <r>
      <rPr>
        <sz val="10"/>
        <rFont val="宋体"/>
        <family val="3"/>
        <charset val="134"/>
      </rPr>
      <t>201</t>
    </r>
    <r>
      <rPr>
        <sz val="10"/>
        <rFont val="宋体"/>
        <family val="3"/>
        <charset val="134"/>
      </rPr>
      <t>5</t>
    </r>
    <r>
      <rPr>
        <sz val="10"/>
        <rFont val="宋体"/>
        <family val="3"/>
        <charset val="134"/>
      </rPr>
      <t>年</t>
    </r>
  </si>
  <si>
    <r>
      <rPr>
        <sz val="10"/>
        <rFont val="宋体"/>
        <family val="3"/>
        <charset val="134"/>
      </rPr>
      <t>201</t>
    </r>
    <r>
      <rPr>
        <sz val="10"/>
        <rFont val="宋体"/>
        <family val="3"/>
        <charset val="134"/>
      </rPr>
      <t>6</t>
    </r>
    <r>
      <rPr>
        <sz val="10"/>
        <rFont val="宋体"/>
        <family val="3"/>
        <charset val="134"/>
      </rPr>
      <t>年</t>
    </r>
  </si>
  <si>
    <r>
      <rPr>
        <sz val="10"/>
        <rFont val="宋体"/>
        <family val="3"/>
        <charset val="134"/>
      </rPr>
      <t>2017</t>
    </r>
    <r>
      <rPr>
        <sz val="10"/>
        <rFont val="宋体"/>
        <family val="3"/>
        <charset val="134"/>
      </rPr>
      <t>年</t>
    </r>
  </si>
  <si>
    <r>
      <rPr>
        <sz val="10"/>
        <rFont val="宋体"/>
        <family val="3"/>
        <charset val="134"/>
      </rPr>
      <t>2</t>
    </r>
    <r>
      <rPr>
        <sz val="10"/>
        <rFont val="宋体"/>
        <family val="3"/>
        <charset val="134"/>
      </rPr>
      <t>018年</t>
    </r>
  </si>
  <si>
    <t>2019年</t>
  </si>
  <si>
    <t>货量</t>
  </si>
  <si>
    <r>
      <rPr>
        <sz val="10"/>
        <color indexed="8"/>
        <rFont val="Arial"/>
        <family val="2"/>
      </rPr>
      <t>9</t>
    </r>
    <r>
      <rPr>
        <sz val="10"/>
        <color indexed="8"/>
        <rFont val="宋体"/>
        <family val="3"/>
        <charset val="134"/>
      </rPr>
      <t>月</t>
    </r>
  </si>
  <si>
    <r>
      <rPr>
        <sz val="10"/>
        <color indexed="8"/>
        <rFont val="Arial"/>
        <family val="2"/>
      </rPr>
      <t>10月</t>
    </r>
  </si>
  <si>
    <r>
      <rPr>
        <sz val="10"/>
        <color indexed="8"/>
        <rFont val="Arial"/>
        <family val="2"/>
      </rPr>
      <t>11月</t>
    </r>
  </si>
  <si>
    <r>
      <rPr>
        <sz val="10"/>
        <color indexed="8"/>
        <rFont val="Arial"/>
        <family val="2"/>
      </rPr>
      <t>12月</t>
    </r>
  </si>
  <si>
    <r>
      <rPr>
        <sz val="10"/>
        <rFont val="Arial"/>
        <family val="2"/>
      </rPr>
      <t>14</t>
    </r>
    <r>
      <rPr>
        <sz val="10"/>
        <rFont val="宋体"/>
        <family val="3"/>
        <charset val="134"/>
      </rPr>
      <t>年合计</t>
    </r>
  </si>
  <si>
    <r>
      <rPr>
        <sz val="10"/>
        <color indexed="8"/>
        <rFont val="Arial"/>
        <family val="2"/>
      </rPr>
      <t>1</t>
    </r>
    <r>
      <rPr>
        <sz val="10"/>
        <color indexed="8"/>
        <rFont val="宋体"/>
        <family val="3"/>
        <charset val="134"/>
      </rPr>
      <t>月</t>
    </r>
  </si>
  <si>
    <r>
      <rPr>
        <sz val="10"/>
        <color indexed="8"/>
        <rFont val="Arial"/>
        <family val="2"/>
      </rPr>
      <t>2月</t>
    </r>
  </si>
  <si>
    <r>
      <rPr>
        <sz val="10"/>
        <color indexed="8"/>
        <rFont val="Arial"/>
        <family val="2"/>
      </rPr>
      <t>3月</t>
    </r>
  </si>
  <si>
    <r>
      <rPr>
        <sz val="10"/>
        <color indexed="8"/>
        <rFont val="Arial"/>
        <family val="2"/>
      </rPr>
      <t>4月</t>
    </r>
  </si>
  <si>
    <r>
      <rPr>
        <sz val="10"/>
        <color indexed="8"/>
        <rFont val="Arial"/>
        <family val="2"/>
      </rPr>
      <t>5月</t>
    </r>
  </si>
  <si>
    <r>
      <rPr>
        <sz val="10"/>
        <color indexed="8"/>
        <rFont val="Arial"/>
        <family val="2"/>
      </rPr>
      <t>6月</t>
    </r>
  </si>
  <si>
    <r>
      <rPr>
        <sz val="10"/>
        <color indexed="8"/>
        <rFont val="Arial"/>
        <family val="2"/>
      </rPr>
      <t>8月</t>
    </r>
  </si>
  <si>
    <r>
      <rPr>
        <sz val="10"/>
        <color indexed="8"/>
        <rFont val="Arial"/>
        <family val="2"/>
      </rPr>
      <t>9月</t>
    </r>
  </si>
  <si>
    <r>
      <rPr>
        <sz val="10"/>
        <rFont val="Arial"/>
        <family val="2"/>
      </rPr>
      <t>15</t>
    </r>
    <r>
      <rPr>
        <sz val="10"/>
        <rFont val="宋体"/>
        <family val="3"/>
        <charset val="134"/>
      </rPr>
      <t>年合计</t>
    </r>
  </si>
  <si>
    <r>
      <rPr>
        <sz val="10"/>
        <color indexed="8"/>
        <rFont val="Arial"/>
        <family val="2"/>
      </rPr>
      <t>5</t>
    </r>
    <r>
      <rPr>
        <sz val="10"/>
        <color indexed="8"/>
        <rFont val="宋体"/>
        <family val="3"/>
        <charset val="134"/>
      </rPr>
      <t>月叠拼开盘</t>
    </r>
  </si>
  <si>
    <r>
      <rPr>
        <sz val="10"/>
        <color indexed="8"/>
        <rFont val="Arial"/>
        <family val="2"/>
      </rPr>
      <t>7月</t>
    </r>
  </si>
  <si>
    <r>
      <rPr>
        <sz val="10"/>
        <color indexed="8"/>
        <rFont val="Arial"/>
        <family val="2"/>
      </rPr>
      <t>10</t>
    </r>
    <r>
      <rPr>
        <sz val="10"/>
        <color indexed="8"/>
        <rFont val="宋体"/>
        <family val="3"/>
        <charset val="134"/>
      </rPr>
      <t>月</t>
    </r>
  </si>
  <si>
    <r>
      <rPr>
        <sz val="10"/>
        <color indexed="8"/>
        <rFont val="Arial"/>
        <family val="2"/>
      </rPr>
      <t>11</t>
    </r>
    <r>
      <rPr>
        <sz val="10"/>
        <color indexed="8"/>
        <rFont val="宋体"/>
        <family val="3"/>
        <charset val="134"/>
      </rPr>
      <t>月</t>
    </r>
  </si>
  <si>
    <r>
      <rPr>
        <sz val="10"/>
        <color indexed="8"/>
        <rFont val="Arial"/>
        <family val="2"/>
      </rPr>
      <t>12</t>
    </r>
    <r>
      <rPr>
        <sz val="10"/>
        <color indexed="8"/>
        <rFont val="宋体"/>
        <family val="3"/>
        <charset val="134"/>
      </rPr>
      <t>月</t>
    </r>
  </si>
  <si>
    <r>
      <rPr>
        <sz val="10"/>
        <rFont val="Arial"/>
        <family val="2"/>
      </rPr>
      <t>16</t>
    </r>
    <r>
      <rPr>
        <sz val="10"/>
        <rFont val="宋体"/>
        <family val="3"/>
        <charset val="134"/>
      </rPr>
      <t>年合计</t>
    </r>
  </si>
  <si>
    <r>
      <rPr>
        <sz val="10"/>
        <rFont val="Arial"/>
        <family val="2"/>
      </rPr>
      <t>17</t>
    </r>
    <r>
      <rPr>
        <sz val="10"/>
        <rFont val="宋体"/>
        <family val="3"/>
        <charset val="134"/>
      </rPr>
      <t>年合计</t>
    </r>
  </si>
  <si>
    <r>
      <rPr>
        <sz val="10"/>
        <rFont val="Arial"/>
        <family val="2"/>
      </rPr>
      <t>18</t>
    </r>
    <r>
      <rPr>
        <sz val="10"/>
        <rFont val="宋体"/>
        <family val="3"/>
        <charset val="134"/>
      </rPr>
      <t>年合计</t>
    </r>
  </si>
  <si>
    <r>
      <rPr>
        <sz val="10"/>
        <rFont val="Arial"/>
        <family val="2"/>
      </rPr>
      <t>1</t>
    </r>
    <r>
      <rPr>
        <sz val="10"/>
        <rFont val="宋体"/>
        <family val="3"/>
        <charset val="134"/>
      </rPr>
      <t>月</t>
    </r>
  </si>
  <si>
    <r>
      <rPr>
        <sz val="10"/>
        <rFont val="Arial"/>
        <family val="2"/>
      </rPr>
      <t>2月</t>
    </r>
  </si>
  <si>
    <r>
      <rPr>
        <sz val="10"/>
        <rFont val="Arial"/>
        <family val="2"/>
      </rPr>
      <t>3月</t>
    </r>
  </si>
  <si>
    <r>
      <rPr>
        <sz val="10"/>
        <rFont val="Arial"/>
        <family val="2"/>
      </rPr>
      <t>4月</t>
    </r>
  </si>
  <si>
    <r>
      <rPr>
        <sz val="10"/>
        <rFont val="Arial"/>
        <family val="2"/>
      </rPr>
      <t>5月</t>
    </r>
  </si>
  <si>
    <r>
      <rPr>
        <sz val="10"/>
        <rFont val="Arial"/>
        <family val="2"/>
      </rPr>
      <t>19</t>
    </r>
    <r>
      <rPr>
        <sz val="10"/>
        <rFont val="宋体"/>
        <family val="3"/>
        <charset val="134"/>
      </rPr>
      <t>年合计</t>
    </r>
  </si>
  <si>
    <t>销售节点</t>
  </si>
  <si>
    <t>示范区开放</t>
  </si>
  <si>
    <t>首次开盘</t>
  </si>
  <si>
    <t>加推</t>
  </si>
  <si>
    <t>加推复式9、10、11#；联排28#</t>
  </si>
  <si>
    <t>加推联排42、43、45#、叠拼46、57#</t>
  </si>
  <si>
    <t>加推叠拼58、67#、双拼55、52#</t>
  </si>
  <si>
    <t>加推联排44、47、48#；复式6、7、8#</t>
  </si>
  <si>
    <t>复式跃层</t>
  </si>
  <si>
    <t>一跃二</t>
  </si>
  <si>
    <t>套数</t>
  </si>
  <si>
    <t>面积</t>
  </si>
  <si>
    <t>单价</t>
  </si>
  <si>
    <t>销售额</t>
  </si>
  <si>
    <t>三跃四</t>
  </si>
  <si>
    <t>小计</t>
  </si>
  <si>
    <t>叠拼</t>
  </si>
  <si>
    <t xml:space="preserve">叠下 </t>
  </si>
  <si>
    <t xml:space="preserve">叠上 </t>
  </si>
  <si>
    <t>联排</t>
  </si>
  <si>
    <t>联排中户</t>
  </si>
  <si>
    <t>联排端户</t>
  </si>
  <si>
    <t>独栋</t>
  </si>
  <si>
    <t>双拼</t>
  </si>
  <si>
    <t>商业</t>
  </si>
  <si>
    <t>原目标成本</t>
  </si>
  <si>
    <t>新目标成本</t>
  </si>
  <si>
    <t>印花税</t>
  </si>
  <si>
    <t>交易手续费</t>
  </si>
  <si>
    <t>拍卖佣金</t>
  </si>
  <si>
    <t>勘察测绘费</t>
  </si>
  <si>
    <t>2.1.1</t>
  </si>
  <si>
    <t>2.1.2</t>
  </si>
  <si>
    <t>测绘费（管线实测）</t>
  </si>
  <si>
    <t>2.1.3</t>
  </si>
  <si>
    <t>2.2.1</t>
  </si>
  <si>
    <t>设计费(建筑）</t>
  </si>
  <si>
    <t>2.2.2</t>
  </si>
  <si>
    <t>成品房设计费(样板间、售楼处)</t>
  </si>
  <si>
    <t>因增加了宝坻74#地公共部分精装设计3.329万元，故超成本2.9万元</t>
  </si>
  <si>
    <t>2.2.3</t>
  </si>
  <si>
    <t>景观设计费</t>
  </si>
  <si>
    <t>2.2.4</t>
  </si>
  <si>
    <t>2.2.5</t>
  </si>
  <si>
    <t>其他设计费（含人防设计费、挡墙设计费）</t>
  </si>
  <si>
    <t>地库非人防设计由冶金院设计31.11万</t>
  </si>
  <si>
    <t>2.2.6</t>
  </si>
  <si>
    <t>三通一平及临时设施</t>
  </si>
  <si>
    <t>2.3.1</t>
  </si>
  <si>
    <t>临电工程费红线内外</t>
  </si>
  <si>
    <t>增加原因是原在一期设置的2台变压器进行移位</t>
  </si>
  <si>
    <t>2.3.2</t>
  </si>
  <si>
    <t>临水工程费红线内外</t>
  </si>
  <si>
    <t>2.3.3</t>
  </si>
  <si>
    <t>临排工程费</t>
  </si>
  <si>
    <t>2.3.4</t>
  </si>
  <si>
    <t>平整场地</t>
  </si>
  <si>
    <t>2.3.5</t>
  </si>
  <si>
    <t>临时设施（临时围墙）</t>
  </si>
  <si>
    <t>2.3.6</t>
  </si>
  <si>
    <t>2.3.7</t>
  </si>
  <si>
    <t>障碍物拆除费</t>
  </si>
  <si>
    <t>招标代理咨询费</t>
  </si>
  <si>
    <t>2.4.1</t>
  </si>
  <si>
    <t>招标代理费（建筑、监理、勘察、设计、物业）</t>
  </si>
  <si>
    <t>2.4.2</t>
  </si>
  <si>
    <t>工程建设交易服务费（建筑、监理、勘察、设计、物业）</t>
  </si>
  <si>
    <t>2.4.3</t>
  </si>
  <si>
    <t>工程支付款担保费</t>
  </si>
  <si>
    <t>2.4.4</t>
  </si>
  <si>
    <t>造价咨询费</t>
  </si>
  <si>
    <t>环境、能评费用</t>
  </si>
  <si>
    <t>2.5.1</t>
  </si>
  <si>
    <t>2.5.2</t>
  </si>
  <si>
    <t>环境验收费用</t>
  </si>
  <si>
    <t>2.5.3</t>
  </si>
  <si>
    <t>地质灾害评估</t>
  </si>
  <si>
    <t>2.5.4</t>
  </si>
  <si>
    <t>能源评估费</t>
  </si>
  <si>
    <t>2.5.5</t>
  </si>
  <si>
    <t>扬尘措施费</t>
  </si>
  <si>
    <t>2.5.6</t>
  </si>
  <si>
    <t>噪声污染措施费</t>
  </si>
  <si>
    <t>办理施工许可证费用</t>
  </si>
  <si>
    <t>2.6.1</t>
  </si>
  <si>
    <t>2.6.2</t>
  </si>
  <si>
    <t>2.6.3</t>
  </si>
  <si>
    <t>人防异地建设费</t>
  </si>
  <si>
    <t>2.6.4</t>
  </si>
  <si>
    <t>地名标志费</t>
  </si>
  <si>
    <t>2.6.5</t>
  </si>
  <si>
    <t>地名公告费</t>
  </si>
  <si>
    <t>2.6.6</t>
  </si>
  <si>
    <t>楼栋、单元标牌费</t>
  </si>
  <si>
    <t>检测费用</t>
  </si>
  <si>
    <t>2.7.1</t>
  </si>
  <si>
    <t>2.7.2</t>
  </si>
  <si>
    <t>电气消防安全检测费</t>
  </si>
  <si>
    <t>2.7.3</t>
  </si>
  <si>
    <t>2.7.4</t>
  </si>
  <si>
    <t>2.7.5</t>
  </si>
  <si>
    <t>2.7.6</t>
  </si>
  <si>
    <t>销售相关费用</t>
  </si>
  <si>
    <t>2.8.1</t>
  </si>
  <si>
    <t>2.8.2</t>
  </si>
  <si>
    <t>2.8.3</t>
  </si>
  <si>
    <t>预售登记费</t>
  </si>
  <si>
    <t>8.8.4</t>
  </si>
  <si>
    <t>分户土地登记费</t>
  </si>
  <si>
    <t>2.8.5</t>
  </si>
  <si>
    <t>2.8.6</t>
  </si>
  <si>
    <t>房产测绘费（面积测量）</t>
  </si>
  <si>
    <t>2.8.7</t>
  </si>
  <si>
    <t>房屋转让手续费（产权登记）</t>
  </si>
  <si>
    <t>桩基、土方、基坑支护工程</t>
  </si>
  <si>
    <t>3.1.1</t>
  </si>
  <si>
    <t>3.1.2</t>
  </si>
  <si>
    <t>桩检测费用</t>
  </si>
  <si>
    <t>3.1.3</t>
  </si>
  <si>
    <t>挖填土方</t>
  </si>
  <si>
    <t>3.1.4</t>
  </si>
  <si>
    <t>地基处理费(强夯）</t>
  </si>
  <si>
    <t>3.1.5</t>
  </si>
  <si>
    <t>地基处理费（换填）</t>
  </si>
  <si>
    <t>3.1.6</t>
  </si>
  <si>
    <t>3.1.7</t>
  </si>
  <si>
    <t>建筑物定位测量及工程竣工验收测量</t>
  </si>
  <si>
    <t>3.2.1</t>
  </si>
  <si>
    <t>建安工程费[标准为毛坯房；含主体结构、装饰、栏杆扶手、水暖电等]</t>
  </si>
  <si>
    <t>3.2.2</t>
  </si>
  <si>
    <t>3.2.3</t>
  </si>
  <si>
    <t>精装修(样板间、会所)</t>
  </si>
  <si>
    <t>3.2.4</t>
  </si>
  <si>
    <t>外檐保温石材及涂料</t>
  </si>
  <si>
    <t>3.2.5</t>
  </si>
  <si>
    <t>外檐断桥铝合金门窗</t>
  </si>
  <si>
    <t>3.2.6</t>
  </si>
  <si>
    <t>铝合金空调百叶</t>
  </si>
  <si>
    <t>3.2.7</t>
  </si>
  <si>
    <t>入户门（不含小院门）</t>
  </si>
  <si>
    <t>3.2.8</t>
  </si>
  <si>
    <t>配电箱及电表箱</t>
  </si>
  <si>
    <t>设备安装</t>
  </si>
  <si>
    <t>3.3.1</t>
  </si>
  <si>
    <t>3.3.2</t>
  </si>
  <si>
    <t>智能化（对讲、窗磁等）</t>
  </si>
  <si>
    <t>3.3.3</t>
  </si>
  <si>
    <t>消防工程</t>
  </si>
  <si>
    <t>3.3.4</t>
  </si>
  <si>
    <t>人防工程</t>
  </si>
  <si>
    <t>3.3.5</t>
  </si>
  <si>
    <t>空调系统工程</t>
  </si>
  <si>
    <t>3.3.6</t>
  </si>
  <si>
    <t>通风系统工程</t>
  </si>
  <si>
    <t>此部分在总包工程中</t>
  </si>
  <si>
    <t>3.3.7</t>
  </si>
  <si>
    <t>机械车位租赁（双层）</t>
  </si>
  <si>
    <t>3.3.8</t>
  </si>
  <si>
    <t>太阳能系统(四步节能）</t>
  </si>
  <si>
    <t>3.4.1</t>
  </si>
  <si>
    <t>区内景观工程（含示范区景观）</t>
  </si>
  <si>
    <t>3.4.2</t>
  </si>
  <si>
    <t>区外挡土墙工程</t>
  </si>
  <si>
    <t>3.4.3</t>
  </si>
  <si>
    <t>监理费</t>
  </si>
  <si>
    <t>3.5.1</t>
  </si>
  <si>
    <t>3.5.2</t>
  </si>
  <si>
    <t>含人防监理费</t>
  </si>
  <si>
    <t>变更签证</t>
  </si>
  <si>
    <t>一期已上报约200万</t>
  </si>
  <si>
    <t>4.1.1</t>
  </si>
  <si>
    <t>4.1.2</t>
  </si>
  <si>
    <t>一户一表费</t>
  </si>
  <si>
    <t>4.1.3</t>
  </si>
  <si>
    <t>外线路由费及破路补偿费</t>
  </si>
  <si>
    <t>4.1.4</t>
  </si>
  <si>
    <t>配电柜</t>
  </si>
  <si>
    <t>4.1.5</t>
  </si>
  <si>
    <t>4.1.6</t>
  </si>
  <si>
    <t>箱式站基础、Cf箱基础、土建变电站</t>
  </si>
  <si>
    <t>4.1.7</t>
  </si>
  <si>
    <t>供水（自来水）</t>
  </si>
  <si>
    <t>4.2.1</t>
  </si>
  <si>
    <t>4.2.2</t>
  </si>
  <si>
    <t>自来水工程费（二次网）</t>
  </si>
  <si>
    <t>4.2.3</t>
  </si>
  <si>
    <t>水表</t>
  </si>
  <si>
    <t>4.2.4</t>
  </si>
  <si>
    <t>室外消火栓</t>
  </si>
  <si>
    <t>4.2.5</t>
  </si>
  <si>
    <t>4.2.6</t>
  </si>
  <si>
    <t>4.2.7</t>
  </si>
  <si>
    <t>水土保持方案编制费</t>
  </si>
  <si>
    <t>4.2.8</t>
  </si>
  <si>
    <t>用水报告书编制费</t>
  </si>
  <si>
    <t>4.2.9</t>
  </si>
  <si>
    <t>二次供水工程设备费</t>
  </si>
  <si>
    <t>供水（中水）</t>
  </si>
  <si>
    <t>4.3.1</t>
  </si>
  <si>
    <t>中水工程费</t>
  </si>
  <si>
    <t>4.3.2</t>
  </si>
  <si>
    <t>中水工程费（二次网）</t>
  </si>
  <si>
    <t>4.3.3</t>
  </si>
  <si>
    <t>4.3.4</t>
  </si>
  <si>
    <t>4.4.1</t>
  </si>
  <si>
    <t>4.4.2</t>
  </si>
  <si>
    <t>4.5.1</t>
  </si>
  <si>
    <t>供热工程建设费</t>
  </si>
  <si>
    <t>4.5.2</t>
  </si>
  <si>
    <t>4.5.3</t>
  </si>
  <si>
    <t>4.6.1</t>
  </si>
  <si>
    <t>气源发展基金(蓟县另收）</t>
  </si>
  <si>
    <t>4.6.2</t>
  </si>
  <si>
    <t>4.6.3</t>
  </si>
  <si>
    <t>燃气设计费</t>
  </si>
  <si>
    <t>4.6.4</t>
  </si>
  <si>
    <t>燃气表费</t>
  </si>
  <si>
    <t>4.6.5</t>
  </si>
  <si>
    <t>燃气报警器</t>
  </si>
  <si>
    <t>4.6.6</t>
  </si>
  <si>
    <t>4.7.1</t>
  </si>
  <si>
    <t>4.7.2</t>
  </si>
  <si>
    <t>4.7.3</t>
  </si>
  <si>
    <t>室外区内智能化工程</t>
  </si>
  <si>
    <t>4.8.1</t>
  </si>
  <si>
    <t>区停车场管理系统</t>
  </si>
  <si>
    <t>4.8.2</t>
  </si>
  <si>
    <t>安防系统工程、交通设施</t>
  </si>
  <si>
    <t>4.8.3</t>
  </si>
  <si>
    <t>音乐广播、电子屏系统</t>
  </si>
  <si>
    <t>4.9.1</t>
  </si>
  <si>
    <t>4.9.2</t>
  </si>
  <si>
    <t>环卫设施</t>
  </si>
  <si>
    <t>4.9.3</t>
  </si>
  <si>
    <t>交通设施</t>
  </si>
  <si>
    <t>非营业性公建配套费</t>
  </si>
  <si>
    <t>5.2.1</t>
  </si>
  <si>
    <t>5.2.2</t>
  </si>
  <si>
    <t>5.2.3</t>
  </si>
  <si>
    <t>5.2.4</t>
  </si>
  <si>
    <t>不可预见费（建安工程费的千分之五）</t>
  </si>
  <si>
    <t>毛利率</t>
  </si>
  <si>
    <t>资金成本（贷款利息）</t>
  </si>
  <si>
    <t>融资成本</t>
  </si>
  <si>
    <t>税前利润</t>
  </si>
  <si>
    <t>税前利润率</t>
  </si>
  <si>
    <t>二十一</t>
  </si>
  <si>
    <t>税后成本合计</t>
  </si>
  <si>
    <t>二十二</t>
  </si>
  <si>
    <t>二十三</t>
  </si>
  <si>
    <t>蓟县博御园项目动态成本分析表</t>
  </si>
  <si>
    <t>销售面积</t>
  </si>
  <si>
    <t>①</t>
  </si>
  <si>
    <t>②</t>
  </si>
  <si>
    <t>③</t>
  </si>
  <si>
    <t>④</t>
  </si>
  <si>
    <t>⑤</t>
  </si>
  <si>
    <t>⑥=②+③+④+⑤</t>
  </si>
  <si>
    <t>⑦</t>
  </si>
  <si>
    <t>⑧=⑥+⑦</t>
  </si>
  <si>
    <t>⑧-①</t>
  </si>
  <si>
    <t>成本增加29.85万元。  主要原因是土地契税，目标成本1166.89万元是按（土地+大配套费）*3%计算；合同额：1196.756417万元（按容积率1.1计算的大配套费），而目标成本的大配套费的计费面积是按实际容积率0.766。</t>
  </si>
  <si>
    <t>土地契税：（土地+大配套费）*3%；合同额：1196.756417万元（按容积率1.1计算的大配套费）</t>
  </si>
  <si>
    <t>南侧挡墙补勘12根*7米*270=22680元；东侧挡墙预留补勘5万元</t>
  </si>
  <si>
    <t>（1）扣减地库设计费10370*30元=31.11万元；地库设计由冶金院设计。（2）施工图优化设计预估200万</t>
  </si>
  <si>
    <t>二、三期预留2.37万元</t>
  </si>
  <si>
    <t>预计一期入住后1台变压器移位</t>
  </si>
  <si>
    <t>示范区增加，走签证</t>
  </si>
  <si>
    <t>一期入住后增加二期的一个道路开口</t>
  </si>
  <si>
    <t>二、三期建设工程交易服务费4.56+3；设备交易服务费2万</t>
  </si>
  <si>
    <t>二、三期建设工程支付款担保费</t>
  </si>
  <si>
    <t>相同产品形式由于基础不同结构不同，故相应增加费用；同时挡土墙、精装、景观、配套等全部由咨询公司进行预算编制，故费用预计有所增加。</t>
  </si>
  <si>
    <t>此项有可能不发生</t>
  </si>
  <si>
    <t>二、三期</t>
  </si>
  <si>
    <t>一期按泉州报价下浮7%后11032万元+措施费300万元+二三期总包中标价12490万元</t>
  </si>
  <si>
    <t>按33号楼已发生成本估算</t>
  </si>
  <si>
    <t>两个样板间一个售楼处</t>
  </si>
  <si>
    <t>景观：一期剩余900万+二期300万+800万+三期区内档墙800万=2800万元</t>
  </si>
  <si>
    <t>3号楼以南挡墙495万元+北侧地库填土35万元</t>
  </si>
  <si>
    <t>已发生签证约30万，考虑北侧未施工部分可做优化（减景石11万、减苗木约8万）</t>
  </si>
  <si>
    <t>二期地库</t>
  </si>
  <si>
    <t>一、三期</t>
  </si>
  <si>
    <t>地库</t>
  </si>
  <si>
    <t>挖沟石方签证</t>
  </si>
  <si>
    <t>已签定综合管网施工图设计费，不发生专项燃气设计费</t>
  </si>
  <si>
    <t>入住</t>
  </si>
  <si>
    <t>增加光纤入户</t>
  </si>
  <si>
    <t>其中1745万是贷款利息；2000万是购买债权</t>
  </si>
  <si>
    <t>项目成本发生明细</t>
  </si>
  <si>
    <t>单位：元</t>
  </si>
  <si>
    <t>建筑面积：</t>
  </si>
  <si>
    <t>合同编号</t>
  </si>
  <si>
    <t>项    目</t>
  </si>
  <si>
    <t>成本编码</t>
  </si>
  <si>
    <r>
      <rPr>
        <b/>
        <sz val="10"/>
        <rFont val="宋体"/>
        <family val="3"/>
        <charset val="134"/>
      </rPr>
      <t>控制指标</t>
    </r>
    <r>
      <rPr>
        <b/>
        <sz val="8"/>
        <rFont val="宋体"/>
        <family val="3"/>
        <charset val="134"/>
      </rPr>
      <t>（元/m2）</t>
    </r>
  </si>
  <si>
    <t>已发生合同额</t>
  </si>
  <si>
    <r>
      <rPr>
        <b/>
        <sz val="10"/>
        <rFont val="宋体"/>
        <family val="3"/>
        <charset val="134"/>
      </rPr>
      <t xml:space="preserve">已发生平米造价
</t>
    </r>
    <r>
      <rPr>
        <b/>
        <sz val="8"/>
        <rFont val="宋体"/>
        <family val="3"/>
        <charset val="134"/>
      </rPr>
      <t>（元</t>
    </r>
    <r>
      <rPr>
        <b/>
        <sz val="8"/>
        <rFont val="Times New Roman"/>
        <family val="1"/>
      </rPr>
      <t>/m2</t>
    </r>
    <r>
      <rPr>
        <b/>
        <sz val="8"/>
        <rFont val="宋体"/>
        <family val="3"/>
        <charset val="134"/>
      </rPr>
      <t>）</t>
    </r>
  </si>
  <si>
    <t>合同累计拨款</t>
  </si>
  <si>
    <t>成本对比</t>
  </si>
  <si>
    <t>指标对比</t>
  </si>
  <si>
    <t>备      注</t>
  </si>
  <si>
    <t>一、土地及大配套</t>
  </si>
  <si>
    <t>5001.01.01</t>
  </si>
  <si>
    <r>
      <rPr>
        <b/>
        <sz val="10"/>
        <rFont val="黑体"/>
        <family val="3"/>
        <charset val="134"/>
      </rPr>
      <t>1.1</t>
    </r>
    <r>
      <rPr>
        <b/>
        <sz val="10"/>
        <rFont val="黑体"/>
        <family val="3"/>
        <charset val="134"/>
      </rPr>
      <t xml:space="preserve">  </t>
    </r>
    <r>
      <rPr>
        <b/>
        <sz val="10"/>
        <rFont val="黑体"/>
        <family val="3"/>
        <charset val="134"/>
      </rPr>
      <t>土地出让金</t>
    </r>
    <r>
      <rPr>
        <b/>
        <sz val="10"/>
        <color indexed="10"/>
        <rFont val="黑体"/>
        <family val="3"/>
        <charset val="134"/>
      </rPr>
      <t>(土土)</t>
    </r>
  </si>
  <si>
    <t>5001.01.01.01</t>
  </si>
  <si>
    <r>
      <rPr>
        <b/>
        <sz val="10"/>
        <rFont val="黑体"/>
        <family val="3"/>
        <charset val="134"/>
      </rPr>
      <t>1.2</t>
    </r>
    <r>
      <rPr>
        <b/>
        <sz val="10"/>
        <rFont val="黑体"/>
        <family val="3"/>
        <charset val="134"/>
      </rPr>
      <t xml:space="preserve">  </t>
    </r>
    <r>
      <rPr>
        <b/>
        <sz val="10"/>
        <rFont val="黑体"/>
        <family val="3"/>
        <charset val="134"/>
      </rPr>
      <t>大配套费</t>
    </r>
    <r>
      <rPr>
        <b/>
        <sz val="10"/>
        <color indexed="10"/>
        <rFont val="黑体"/>
        <family val="3"/>
        <charset val="134"/>
      </rPr>
      <t>（土配）</t>
    </r>
  </si>
  <si>
    <t>5001.01.01.02</t>
  </si>
  <si>
    <r>
      <rPr>
        <b/>
        <sz val="10"/>
        <rFont val="黑体"/>
        <family val="3"/>
        <charset val="134"/>
      </rPr>
      <t>1.3</t>
    </r>
    <r>
      <rPr>
        <b/>
        <sz val="10"/>
        <rFont val="黑体"/>
        <family val="3"/>
        <charset val="134"/>
      </rPr>
      <t xml:space="preserve">  </t>
    </r>
    <r>
      <rPr>
        <b/>
        <sz val="10"/>
        <rFont val="黑体"/>
        <family val="3"/>
        <charset val="134"/>
      </rPr>
      <t>土地契税</t>
    </r>
    <r>
      <rPr>
        <b/>
        <sz val="10"/>
        <color indexed="10"/>
        <rFont val="黑体"/>
        <family val="3"/>
        <charset val="134"/>
      </rPr>
      <t>（土契）</t>
    </r>
  </si>
  <si>
    <t>5001.01.01.03</t>
  </si>
  <si>
    <r>
      <rPr>
        <b/>
        <sz val="10"/>
        <rFont val="黑体"/>
        <family val="3"/>
        <charset val="134"/>
      </rPr>
      <t>1.4</t>
    </r>
    <r>
      <rPr>
        <b/>
        <sz val="10"/>
        <rFont val="黑体"/>
        <family val="3"/>
        <charset val="134"/>
      </rPr>
      <t xml:space="preserve">  </t>
    </r>
    <r>
      <rPr>
        <b/>
        <sz val="10"/>
        <rFont val="黑体"/>
        <family val="3"/>
        <charset val="134"/>
      </rPr>
      <t>土地交易费</t>
    </r>
    <r>
      <rPr>
        <b/>
        <sz val="10"/>
        <color indexed="10"/>
        <rFont val="黑体"/>
        <family val="3"/>
        <charset val="134"/>
      </rPr>
      <t>（土交）</t>
    </r>
  </si>
  <si>
    <t>5001.01.01.04</t>
  </si>
  <si>
    <r>
      <rPr>
        <b/>
        <sz val="10"/>
        <rFont val="黑体"/>
        <family val="3"/>
        <charset val="134"/>
      </rPr>
      <t>1.5  印花税</t>
    </r>
    <r>
      <rPr>
        <b/>
        <sz val="10"/>
        <color indexed="10"/>
        <rFont val="黑体"/>
        <family val="3"/>
        <charset val="134"/>
      </rPr>
      <t>（土印）</t>
    </r>
  </si>
  <si>
    <t>5001.01.01.05</t>
  </si>
  <si>
    <r>
      <rPr>
        <b/>
        <sz val="10"/>
        <rFont val="黑体"/>
        <family val="3"/>
        <charset val="134"/>
      </rPr>
      <t>1.6  交易手续费</t>
    </r>
    <r>
      <rPr>
        <b/>
        <sz val="10"/>
        <color indexed="10"/>
        <rFont val="黑体"/>
        <family val="3"/>
        <charset val="134"/>
      </rPr>
      <t>（土手）</t>
    </r>
  </si>
  <si>
    <r>
      <rPr>
        <b/>
        <sz val="10"/>
        <rFont val="黑体"/>
        <family val="3"/>
        <charset val="134"/>
      </rPr>
      <t>1.7  拍卖佣金</t>
    </r>
    <r>
      <rPr>
        <b/>
        <sz val="10"/>
        <color rgb="FFFF0000"/>
        <rFont val="黑体"/>
        <family val="3"/>
        <charset val="134"/>
      </rPr>
      <t>（土拍）</t>
    </r>
  </si>
  <si>
    <t>二、前期费用</t>
  </si>
  <si>
    <t>5001.01.02</t>
  </si>
  <si>
    <t>2.1  工程勘查</t>
  </si>
  <si>
    <t>5001.01.02.01</t>
  </si>
  <si>
    <r>
      <rPr>
        <sz val="10"/>
        <rFont val="黑体"/>
        <family val="3"/>
        <charset val="134"/>
      </rPr>
      <t>2</t>
    </r>
    <r>
      <rPr>
        <sz val="10"/>
        <rFont val="黑体"/>
        <family val="3"/>
        <charset val="134"/>
      </rPr>
      <t>.1.1.地质勘查费</t>
    </r>
    <r>
      <rPr>
        <b/>
        <sz val="10"/>
        <color indexed="10"/>
        <rFont val="黑体"/>
        <family val="3"/>
        <charset val="134"/>
      </rPr>
      <t>（前勘勘）</t>
    </r>
  </si>
  <si>
    <r>
      <rPr>
        <sz val="10"/>
        <rFont val="黑体"/>
        <family val="3"/>
        <charset val="134"/>
      </rPr>
      <t>2.1.2.测绘款</t>
    </r>
    <r>
      <rPr>
        <b/>
        <sz val="10"/>
        <color indexed="10"/>
        <rFont val="黑体"/>
        <family val="3"/>
        <charset val="134"/>
      </rPr>
      <t>（前勘绘）</t>
    </r>
  </si>
  <si>
    <r>
      <rPr>
        <sz val="10"/>
        <rFont val="黑体"/>
        <family val="3"/>
        <charset val="134"/>
      </rPr>
      <t>2.1.4.土地证</t>
    </r>
    <r>
      <rPr>
        <b/>
        <sz val="10"/>
        <color indexed="10"/>
        <rFont val="黑体"/>
        <family val="3"/>
        <charset val="134"/>
      </rPr>
      <t>（前勘证）</t>
    </r>
  </si>
  <si>
    <r>
      <rPr>
        <b/>
        <sz val="10"/>
        <rFont val="黑体"/>
        <family val="3"/>
        <charset val="134"/>
      </rPr>
      <t>2</t>
    </r>
    <r>
      <rPr>
        <b/>
        <sz val="10"/>
        <rFont val="黑体"/>
        <family val="3"/>
        <charset val="134"/>
      </rPr>
      <t xml:space="preserve">.2  </t>
    </r>
    <r>
      <rPr>
        <b/>
        <sz val="10"/>
        <rFont val="黑体"/>
        <family val="3"/>
        <charset val="134"/>
      </rPr>
      <t>工程设计</t>
    </r>
  </si>
  <si>
    <t>5001.01.02.02</t>
  </si>
  <si>
    <r>
      <rPr>
        <sz val="10"/>
        <rFont val="黑体"/>
        <family val="3"/>
        <charset val="134"/>
      </rPr>
      <t>2</t>
    </r>
    <r>
      <rPr>
        <sz val="10"/>
        <rFont val="黑体"/>
        <family val="3"/>
        <charset val="134"/>
      </rPr>
      <t>.2.1</t>
    </r>
    <r>
      <rPr>
        <sz val="10"/>
        <rFont val="黑体"/>
        <family val="3"/>
        <charset val="134"/>
      </rPr>
      <t>.方案、施工图设计费</t>
    </r>
    <r>
      <rPr>
        <b/>
        <sz val="10"/>
        <color indexed="10"/>
        <rFont val="黑体"/>
        <family val="3"/>
        <charset val="134"/>
      </rPr>
      <t>（前设设）</t>
    </r>
  </si>
  <si>
    <r>
      <rPr>
        <sz val="10"/>
        <rFont val="黑体"/>
        <family val="3"/>
        <charset val="134"/>
      </rPr>
      <t>2</t>
    </r>
    <r>
      <rPr>
        <sz val="10"/>
        <rFont val="黑体"/>
        <family val="3"/>
        <charset val="134"/>
      </rPr>
      <t>.2.2</t>
    </r>
    <r>
      <rPr>
        <sz val="10"/>
        <rFont val="黑体"/>
        <family val="3"/>
        <charset val="134"/>
      </rPr>
      <t>.成品房设计费</t>
    </r>
    <r>
      <rPr>
        <b/>
        <sz val="10"/>
        <color indexed="10"/>
        <rFont val="黑体"/>
        <family val="3"/>
        <charset val="134"/>
      </rPr>
      <t>（前设成）</t>
    </r>
  </si>
  <si>
    <r>
      <rPr>
        <sz val="10"/>
        <rFont val="黑体"/>
        <family val="3"/>
        <charset val="134"/>
      </rPr>
      <t>2</t>
    </r>
    <r>
      <rPr>
        <sz val="10"/>
        <rFont val="黑体"/>
        <family val="3"/>
        <charset val="134"/>
      </rPr>
      <t>.2.3</t>
    </r>
    <r>
      <rPr>
        <sz val="10"/>
        <rFont val="黑体"/>
        <family val="3"/>
        <charset val="134"/>
      </rPr>
      <t>.景观设计费</t>
    </r>
    <r>
      <rPr>
        <b/>
        <sz val="10"/>
        <color indexed="10"/>
        <rFont val="黑体"/>
        <family val="3"/>
        <charset val="134"/>
      </rPr>
      <t>（前设景）</t>
    </r>
  </si>
  <si>
    <r>
      <rPr>
        <sz val="10"/>
        <rFont val="黑体"/>
        <family val="3"/>
        <charset val="134"/>
      </rPr>
      <t>2.2.4</t>
    </r>
    <r>
      <rPr>
        <sz val="10"/>
        <rFont val="黑体"/>
        <family val="3"/>
        <charset val="134"/>
      </rPr>
      <t>.综合管网设计费</t>
    </r>
    <r>
      <rPr>
        <b/>
        <sz val="10"/>
        <color indexed="10"/>
        <rFont val="黑体"/>
        <family val="3"/>
        <charset val="134"/>
      </rPr>
      <t>（前设网）</t>
    </r>
  </si>
  <si>
    <r>
      <rPr>
        <sz val="10"/>
        <rFont val="黑体"/>
        <family val="3"/>
        <charset val="134"/>
      </rPr>
      <t>2.2.5</t>
    </r>
    <r>
      <rPr>
        <sz val="10"/>
        <rFont val="黑体"/>
        <family val="3"/>
        <charset val="134"/>
      </rPr>
      <t>.其他设计费(含人防设计费、排水、自来水)</t>
    </r>
    <r>
      <rPr>
        <b/>
        <sz val="10"/>
        <color indexed="10"/>
        <rFont val="黑体"/>
        <family val="3"/>
        <charset val="134"/>
      </rPr>
      <t>（前设其）</t>
    </r>
  </si>
  <si>
    <r>
      <rPr>
        <sz val="10"/>
        <rFont val="黑体"/>
        <family val="3"/>
        <charset val="134"/>
      </rPr>
      <t>2.2.6.施工图审查费</t>
    </r>
    <r>
      <rPr>
        <b/>
        <sz val="10"/>
        <color indexed="10"/>
        <rFont val="黑体"/>
        <family val="3"/>
        <charset val="134"/>
      </rPr>
      <t>（前设审）</t>
    </r>
  </si>
  <si>
    <r>
      <rPr>
        <sz val="10"/>
        <rFont val="黑体"/>
        <family val="3"/>
        <charset val="134"/>
      </rPr>
      <t>2.2.7.其它杂项</t>
    </r>
    <r>
      <rPr>
        <b/>
        <sz val="10"/>
        <color indexed="10"/>
        <rFont val="黑体"/>
        <family val="3"/>
        <charset val="134"/>
      </rPr>
      <t>（前设图）</t>
    </r>
  </si>
  <si>
    <t>2.3  三通一平</t>
  </si>
  <si>
    <t>5001.01.02.03</t>
  </si>
  <si>
    <r>
      <rPr>
        <sz val="10"/>
        <rFont val="黑体"/>
        <family val="3"/>
        <charset val="134"/>
      </rPr>
      <t>2.3.1.临电工程费红线内外</t>
    </r>
    <r>
      <rPr>
        <b/>
        <sz val="10"/>
        <color indexed="10"/>
        <rFont val="黑体"/>
        <family val="3"/>
        <charset val="134"/>
      </rPr>
      <t>（前临电）</t>
    </r>
  </si>
  <si>
    <r>
      <rPr>
        <sz val="10"/>
        <rFont val="黑体"/>
        <family val="3"/>
        <charset val="134"/>
      </rPr>
      <t>2.3.2</t>
    </r>
    <r>
      <rPr>
        <sz val="10"/>
        <rFont val="黑体"/>
        <family val="3"/>
        <charset val="134"/>
      </rPr>
      <t>.临水工程费红线内外</t>
    </r>
    <r>
      <rPr>
        <b/>
        <sz val="10"/>
        <color indexed="10"/>
        <rFont val="黑体"/>
        <family val="3"/>
        <charset val="134"/>
      </rPr>
      <t>（前临水）</t>
    </r>
  </si>
  <si>
    <r>
      <rPr>
        <sz val="10"/>
        <rFont val="黑体"/>
        <family val="3"/>
        <charset val="134"/>
      </rPr>
      <t>2.3.3</t>
    </r>
    <r>
      <rPr>
        <sz val="10"/>
        <rFont val="黑体"/>
        <family val="3"/>
        <charset val="134"/>
      </rPr>
      <t>.临排工程费</t>
    </r>
    <r>
      <rPr>
        <b/>
        <sz val="10"/>
        <color indexed="10"/>
        <rFont val="黑体"/>
        <family val="3"/>
        <charset val="134"/>
      </rPr>
      <t>（前临排）</t>
    </r>
  </si>
  <si>
    <r>
      <rPr>
        <sz val="10"/>
        <rFont val="黑体"/>
        <family val="3"/>
        <charset val="134"/>
      </rPr>
      <t>2.3.4.场地平整</t>
    </r>
    <r>
      <rPr>
        <b/>
        <sz val="10"/>
        <color indexed="10"/>
        <rFont val="黑体"/>
        <family val="3"/>
        <charset val="134"/>
      </rPr>
      <t>（前临土）</t>
    </r>
  </si>
  <si>
    <r>
      <rPr>
        <sz val="10"/>
        <rFont val="黑体"/>
        <family val="3"/>
        <charset val="134"/>
      </rPr>
      <t>2.3.5.临时设施</t>
    </r>
    <r>
      <rPr>
        <b/>
        <sz val="10"/>
        <color indexed="10"/>
        <rFont val="黑体"/>
        <family val="3"/>
        <charset val="134"/>
      </rPr>
      <t>（前临围）</t>
    </r>
  </si>
  <si>
    <r>
      <rPr>
        <sz val="10"/>
        <rFont val="黑体"/>
        <family val="3"/>
        <charset val="134"/>
      </rPr>
      <t>2.3.6.道路开口费</t>
    </r>
    <r>
      <rPr>
        <b/>
        <sz val="10"/>
        <color indexed="10"/>
        <rFont val="黑体"/>
        <family val="3"/>
        <charset val="134"/>
      </rPr>
      <t>（前道口）</t>
    </r>
  </si>
  <si>
    <r>
      <rPr>
        <sz val="10"/>
        <rFont val="黑体"/>
        <family val="3"/>
        <charset val="134"/>
      </rPr>
      <t>2.3.7.地上障碍物拆除</t>
    </r>
    <r>
      <rPr>
        <b/>
        <sz val="10"/>
        <color indexed="10"/>
        <rFont val="黑体"/>
        <family val="3"/>
        <charset val="134"/>
      </rPr>
      <t>（前临障）</t>
    </r>
  </si>
  <si>
    <r>
      <rPr>
        <b/>
        <sz val="10"/>
        <rFont val="黑体"/>
        <family val="3"/>
        <charset val="134"/>
      </rPr>
      <t>2.4</t>
    </r>
    <r>
      <rPr>
        <b/>
        <sz val="10"/>
        <rFont val="黑体"/>
        <family val="3"/>
        <charset val="134"/>
      </rPr>
      <t xml:space="preserve">  </t>
    </r>
    <r>
      <rPr>
        <b/>
        <sz val="10"/>
        <rFont val="黑体"/>
        <family val="3"/>
        <charset val="134"/>
      </rPr>
      <t>招标代理咨询费</t>
    </r>
  </si>
  <si>
    <t>5001.01.02.05</t>
  </si>
  <si>
    <r>
      <rPr>
        <sz val="10"/>
        <rFont val="黑体"/>
        <family val="3"/>
        <charset val="134"/>
      </rPr>
      <t>2.4.1.招标代理费（建筑、监理、勘察、设计、物业）</t>
    </r>
    <r>
      <rPr>
        <b/>
        <sz val="10"/>
        <color indexed="10"/>
        <rFont val="黑体"/>
        <family val="3"/>
        <charset val="134"/>
      </rPr>
      <t>（前标代）</t>
    </r>
  </si>
  <si>
    <r>
      <rPr>
        <sz val="10"/>
        <rFont val="黑体"/>
        <family val="3"/>
        <charset val="134"/>
      </rPr>
      <t>2.4.2.工程建设交易服务费（建筑、监理、勘察、设计、物业）</t>
    </r>
    <r>
      <rPr>
        <b/>
        <sz val="10"/>
        <color indexed="10"/>
        <rFont val="黑体"/>
        <family val="3"/>
        <charset val="134"/>
      </rPr>
      <t>（前标服）</t>
    </r>
  </si>
  <si>
    <r>
      <rPr>
        <sz val="10"/>
        <rFont val="黑体"/>
        <family val="3"/>
        <charset val="134"/>
      </rPr>
      <t>2.4.4.工程支付款担保费</t>
    </r>
    <r>
      <rPr>
        <b/>
        <sz val="10"/>
        <color indexed="10"/>
        <rFont val="黑体"/>
        <family val="3"/>
        <charset val="134"/>
      </rPr>
      <t>（前标担）</t>
    </r>
  </si>
  <si>
    <r>
      <rPr>
        <sz val="10"/>
        <rFont val="黑体"/>
        <family val="3"/>
        <charset val="134"/>
      </rPr>
      <t>2.4.5.造价咨询费</t>
    </r>
    <r>
      <rPr>
        <b/>
        <sz val="10"/>
        <color indexed="10"/>
        <rFont val="黑体"/>
        <family val="3"/>
        <charset val="134"/>
      </rPr>
      <t>（前标咨）</t>
    </r>
  </si>
  <si>
    <r>
      <rPr>
        <b/>
        <sz val="10"/>
        <rFont val="黑体"/>
        <family val="3"/>
        <charset val="134"/>
      </rPr>
      <t>2.5</t>
    </r>
    <r>
      <rPr>
        <b/>
        <sz val="10"/>
        <rFont val="黑体"/>
        <family val="3"/>
        <charset val="134"/>
      </rPr>
      <t xml:space="preserve">  </t>
    </r>
    <r>
      <rPr>
        <b/>
        <sz val="10"/>
        <rFont val="黑体"/>
        <family val="3"/>
        <charset val="134"/>
      </rPr>
      <t>环境、能评费用</t>
    </r>
  </si>
  <si>
    <r>
      <rPr>
        <sz val="10"/>
        <rFont val="黑体"/>
        <family val="3"/>
        <charset val="134"/>
      </rPr>
      <t>2.5.1.环境评估费</t>
    </r>
    <r>
      <rPr>
        <b/>
        <sz val="10"/>
        <color indexed="10"/>
        <rFont val="黑体"/>
        <family val="3"/>
        <charset val="134"/>
      </rPr>
      <t>（前环评）</t>
    </r>
  </si>
  <si>
    <t>2.5.2.环境验收费用</t>
  </si>
  <si>
    <t>2.5.3.地质灾害评估</t>
  </si>
  <si>
    <r>
      <rPr>
        <sz val="10"/>
        <rFont val="黑体"/>
        <family val="3"/>
        <charset val="134"/>
      </rPr>
      <t>2.5.4.能源评估费</t>
    </r>
    <r>
      <rPr>
        <b/>
        <sz val="10"/>
        <color indexed="10"/>
        <rFont val="黑体"/>
        <family val="3"/>
        <charset val="134"/>
      </rPr>
      <t>（前能评）</t>
    </r>
  </si>
  <si>
    <t>2.6 办理施工许可证费用</t>
  </si>
  <si>
    <r>
      <rPr>
        <sz val="10"/>
        <rFont val="黑体"/>
        <family val="3"/>
        <charset val="134"/>
      </rPr>
      <t>2.6.1.墙改费</t>
    </r>
    <r>
      <rPr>
        <b/>
        <sz val="10"/>
        <color indexed="10"/>
        <rFont val="黑体"/>
        <family val="3"/>
        <charset val="134"/>
      </rPr>
      <t>（前墙）</t>
    </r>
  </si>
  <si>
    <r>
      <rPr>
        <sz val="10"/>
        <rFont val="黑体"/>
        <family val="3"/>
        <charset val="134"/>
      </rPr>
      <t>2.6.2.水泥专项基金</t>
    </r>
    <r>
      <rPr>
        <b/>
        <sz val="10"/>
        <color indexed="10"/>
        <rFont val="黑体"/>
        <family val="3"/>
        <charset val="134"/>
      </rPr>
      <t>（前泥）</t>
    </r>
  </si>
  <si>
    <r>
      <rPr>
        <sz val="10"/>
        <rFont val="黑体"/>
        <family val="3"/>
        <charset val="134"/>
      </rPr>
      <t>2.6.3.人防易地建设费</t>
    </r>
    <r>
      <rPr>
        <b/>
        <sz val="10"/>
        <color indexed="10"/>
        <rFont val="黑体"/>
        <family val="3"/>
        <charset val="134"/>
      </rPr>
      <t>（前人建）</t>
    </r>
  </si>
  <si>
    <r>
      <rPr>
        <sz val="10"/>
        <rFont val="黑体"/>
        <family val="3"/>
        <charset val="134"/>
      </rPr>
      <t>2.6.4.地名标志费</t>
    </r>
    <r>
      <rPr>
        <b/>
        <sz val="10"/>
        <color indexed="10"/>
        <rFont val="黑体"/>
        <family val="3"/>
        <charset val="134"/>
      </rPr>
      <t>（前地）</t>
    </r>
  </si>
  <si>
    <t>2.6.5.地名公告费</t>
  </si>
  <si>
    <t>2.6.6.楼栋、单元标志牌费</t>
  </si>
  <si>
    <t>2.7.2.电气消防安全检测费</t>
  </si>
  <si>
    <t>2.7.3.室内环境检测费</t>
  </si>
  <si>
    <t>2.7.4.档案存档费</t>
  </si>
  <si>
    <t>2.7.5.人防监督及档案编制</t>
  </si>
  <si>
    <r>
      <rPr>
        <sz val="10"/>
        <rFont val="黑体"/>
        <family val="3"/>
        <charset val="134"/>
      </rPr>
      <t>2.7.6.消防存档费</t>
    </r>
    <r>
      <rPr>
        <sz val="10"/>
        <color rgb="FFFF0000"/>
        <rFont val="黑体"/>
        <family val="3"/>
        <charset val="134"/>
      </rPr>
      <t>（前消档）</t>
    </r>
  </si>
  <si>
    <r>
      <rPr>
        <b/>
        <sz val="10"/>
        <rFont val="黑体"/>
        <family val="3"/>
        <charset val="134"/>
      </rPr>
      <t>2.8 销售相关费用</t>
    </r>
    <r>
      <rPr>
        <b/>
        <sz val="10"/>
        <color rgb="FFFF0000"/>
        <rFont val="黑体"/>
        <family val="3"/>
        <charset val="134"/>
      </rPr>
      <t>(前销）</t>
    </r>
  </si>
  <si>
    <r>
      <rPr>
        <sz val="10"/>
        <rFont val="黑体"/>
        <family val="3"/>
        <charset val="134"/>
      </rPr>
      <t>2.8.1.地籍地形图、核地</t>
    </r>
    <r>
      <rPr>
        <b/>
        <sz val="10"/>
        <color indexed="10"/>
        <rFont val="黑体"/>
        <family val="3"/>
        <charset val="134"/>
      </rPr>
      <t>（前核地）</t>
    </r>
  </si>
  <si>
    <r>
      <rPr>
        <sz val="10"/>
        <rFont val="黑体"/>
        <family val="3"/>
        <charset val="134"/>
      </rPr>
      <t>2.8</t>
    </r>
    <r>
      <rPr>
        <sz val="10"/>
        <rFont val="黑体"/>
        <family val="3"/>
        <charset val="134"/>
      </rPr>
      <t>.2</t>
    </r>
    <r>
      <rPr>
        <sz val="10"/>
        <rFont val="黑体"/>
        <family val="3"/>
        <charset val="134"/>
      </rPr>
      <t>.销售许可证公告费</t>
    </r>
  </si>
  <si>
    <t>2.8.3.预售登记费</t>
  </si>
  <si>
    <t>2.8.4.分户土地登记费</t>
  </si>
  <si>
    <r>
      <rPr>
        <sz val="10"/>
        <rFont val="黑体"/>
        <family val="3"/>
        <charset val="134"/>
      </rPr>
      <t>2.8</t>
    </r>
    <r>
      <rPr>
        <sz val="10"/>
        <rFont val="黑体"/>
        <family val="3"/>
        <charset val="134"/>
      </rPr>
      <t>.</t>
    </r>
    <r>
      <rPr>
        <sz val="10"/>
        <rFont val="黑体"/>
        <family val="3"/>
        <charset val="134"/>
      </rPr>
      <t>5</t>
    </r>
    <r>
      <rPr>
        <sz val="10"/>
        <rFont val="黑体"/>
        <family val="3"/>
        <charset val="134"/>
      </rPr>
      <t>.</t>
    </r>
    <r>
      <rPr>
        <sz val="10"/>
        <rFont val="黑体"/>
        <family val="3"/>
        <charset val="134"/>
      </rPr>
      <t>准入证公告费</t>
    </r>
  </si>
  <si>
    <r>
      <rPr>
        <sz val="10"/>
        <rFont val="黑体"/>
        <family val="3"/>
        <charset val="134"/>
      </rPr>
      <t>2.8.6.房产测绘费（面积测量）</t>
    </r>
    <r>
      <rPr>
        <b/>
        <sz val="10"/>
        <color rgb="FFFF0000"/>
        <rFont val="黑体"/>
        <family val="3"/>
        <charset val="134"/>
      </rPr>
      <t>（前面）</t>
    </r>
  </si>
  <si>
    <r>
      <rPr>
        <sz val="10"/>
        <rFont val="黑体"/>
        <family val="3"/>
        <charset val="134"/>
      </rPr>
      <t>2.8</t>
    </r>
    <r>
      <rPr>
        <sz val="10"/>
        <rFont val="黑体"/>
        <family val="3"/>
        <charset val="134"/>
      </rPr>
      <t>.</t>
    </r>
    <r>
      <rPr>
        <sz val="10"/>
        <rFont val="黑体"/>
        <family val="3"/>
        <charset val="134"/>
      </rPr>
      <t>7</t>
    </r>
    <r>
      <rPr>
        <sz val="10"/>
        <rFont val="黑体"/>
        <family val="3"/>
        <charset val="134"/>
      </rPr>
      <t>.</t>
    </r>
    <r>
      <rPr>
        <sz val="10"/>
        <rFont val="黑体"/>
        <family val="3"/>
        <charset val="134"/>
      </rPr>
      <t>房屋转让手续费（产权登记）</t>
    </r>
  </si>
  <si>
    <r>
      <rPr>
        <b/>
        <sz val="10"/>
        <rFont val="黑体"/>
        <family val="3"/>
        <charset val="134"/>
      </rPr>
      <t>2.9 其他</t>
    </r>
    <r>
      <rPr>
        <b/>
        <sz val="10"/>
        <color indexed="10"/>
        <rFont val="黑体"/>
        <family val="3"/>
        <charset val="134"/>
      </rPr>
      <t>（前其他）</t>
    </r>
  </si>
  <si>
    <r>
      <rPr>
        <sz val="10"/>
        <color indexed="10"/>
        <rFont val="黑体"/>
        <family val="3"/>
        <charset val="134"/>
      </rPr>
      <t>JXA-0</t>
    </r>
    <r>
      <rPr>
        <sz val="10"/>
        <color indexed="10"/>
        <rFont val="黑体"/>
        <family val="3"/>
        <charset val="134"/>
      </rPr>
      <t>30W</t>
    </r>
  </si>
  <si>
    <t>三、建安工程费</t>
  </si>
  <si>
    <t>5001.01.03</t>
  </si>
  <si>
    <t>3.1 桩基、土方、基坑支护工程</t>
  </si>
  <si>
    <t>5001.01.03.01</t>
  </si>
  <si>
    <r>
      <rPr>
        <sz val="10"/>
        <rFont val="黑体"/>
        <family val="3"/>
        <charset val="134"/>
      </rPr>
      <t>3</t>
    </r>
    <r>
      <rPr>
        <sz val="10"/>
        <rFont val="黑体"/>
        <family val="3"/>
        <charset val="134"/>
      </rPr>
      <t>.1.1.桩基础工程费</t>
    </r>
    <r>
      <rPr>
        <b/>
        <sz val="10"/>
        <color indexed="10"/>
        <rFont val="黑体"/>
        <family val="3"/>
        <charset val="134"/>
      </rPr>
      <t>（建桩工）</t>
    </r>
  </si>
  <si>
    <r>
      <rPr>
        <sz val="10"/>
        <rFont val="黑体"/>
        <family val="3"/>
        <charset val="134"/>
      </rPr>
      <t>3</t>
    </r>
    <r>
      <rPr>
        <sz val="10"/>
        <rFont val="黑体"/>
        <family val="3"/>
        <charset val="134"/>
      </rPr>
      <t>.1.2</t>
    </r>
    <r>
      <rPr>
        <sz val="10"/>
        <rFont val="黑体"/>
        <family val="3"/>
        <charset val="134"/>
      </rPr>
      <t>.桩检测费用</t>
    </r>
    <r>
      <rPr>
        <b/>
        <sz val="10"/>
        <color indexed="10"/>
        <rFont val="黑体"/>
        <family val="3"/>
        <charset val="134"/>
      </rPr>
      <t>（建桩检）</t>
    </r>
  </si>
  <si>
    <r>
      <rPr>
        <sz val="10"/>
        <rFont val="黑体"/>
        <family val="3"/>
        <charset val="134"/>
      </rPr>
      <t>3.1.3</t>
    </r>
    <r>
      <rPr>
        <sz val="10"/>
        <rFont val="黑体"/>
        <family val="3"/>
        <charset val="134"/>
      </rPr>
      <t>.挖填土方</t>
    </r>
    <r>
      <rPr>
        <b/>
        <sz val="10"/>
        <color indexed="10"/>
        <rFont val="黑体"/>
        <family val="3"/>
        <charset val="134"/>
      </rPr>
      <t>（建桩土）</t>
    </r>
  </si>
  <si>
    <r>
      <rPr>
        <sz val="10"/>
        <rFont val="黑体"/>
        <family val="3"/>
        <charset val="134"/>
      </rPr>
      <t>3.1.4.地基处理费（强夯）</t>
    </r>
    <r>
      <rPr>
        <b/>
        <sz val="10"/>
        <color indexed="10"/>
        <rFont val="黑体"/>
        <family val="3"/>
        <charset val="134"/>
      </rPr>
      <t>（建基）</t>
    </r>
  </si>
  <si>
    <r>
      <rPr>
        <sz val="10"/>
        <color indexed="10"/>
        <rFont val="黑体"/>
        <family val="3"/>
        <charset val="134"/>
      </rPr>
      <t>JXA-073</t>
    </r>
    <r>
      <rPr>
        <sz val="10"/>
        <color indexed="10"/>
        <rFont val="黑体"/>
        <family val="3"/>
        <charset val="134"/>
      </rPr>
      <t>B</t>
    </r>
  </si>
  <si>
    <t>3.1.5.地基处理费（换填）</t>
  </si>
  <si>
    <r>
      <rPr>
        <sz val="10"/>
        <rFont val="黑体"/>
        <family val="3"/>
        <charset val="134"/>
      </rPr>
      <t>3.1.6.沉降观测</t>
    </r>
    <r>
      <rPr>
        <b/>
        <sz val="10"/>
        <color indexed="10"/>
        <rFont val="黑体"/>
        <family val="3"/>
        <charset val="134"/>
      </rPr>
      <t>(建沉）</t>
    </r>
  </si>
  <si>
    <r>
      <rPr>
        <sz val="10"/>
        <rFont val="黑体"/>
        <family val="3"/>
        <charset val="134"/>
      </rPr>
      <t>3.1.7.建筑物定位测量及工程竣工验收测量</t>
    </r>
    <r>
      <rPr>
        <b/>
        <sz val="10"/>
        <color indexed="10"/>
        <rFont val="黑体"/>
        <family val="3"/>
        <charset val="134"/>
      </rPr>
      <t>（建定测）</t>
    </r>
  </si>
  <si>
    <t xml:space="preserve">JXA-060W </t>
  </si>
  <si>
    <r>
      <rPr>
        <sz val="10"/>
        <color indexed="10"/>
        <rFont val="黑体"/>
        <family val="3"/>
        <charset val="134"/>
      </rPr>
      <t>JXA-06</t>
    </r>
    <r>
      <rPr>
        <sz val="10"/>
        <color indexed="10"/>
        <rFont val="黑体"/>
        <family val="3"/>
        <charset val="134"/>
      </rPr>
      <t>4</t>
    </r>
    <r>
      <rPr>
        <sz val="10"/>
        <color indexed="10"/>
        <rFont val="黑体"/>
        <family val="3"/>
        <charset val="134"/>
      </rPr>
      <t xml:space="preserve"> </t>
    </r>
  </si>
  <si>
    <r>
      <rPr>
        <sz val="10"/>
        <color indexed="10"/>
        <rFont val="黑体"/>
        <family val="3"/>
        <charset val="134"/>
      </rPr>
      <t>JXA-</t>
    </r>
    <r>
      <rPr>
        <sz val="10"/>
        <color indexed="10"/>
        <rFont val="黑体"/>
        <family val="3"/>
        <charset val="134"/>
      </rPr>
      <t xml:space="preserve">123 </t>
    </r>
  </si>
  <si>
    <r>
      <rPr>
        <b/>
        <sz val="10"/>
        <rFont val="黑体"/>
        <family val="3"/>
        <charset val="134"/>
      </rPr>
      <t>3.2 主体建安</t>
    </r>
    <r>
      <rPr>
        <b/>
        <sz val="10"/>
        <color indexed="10"/>
        <rFont val="黑体"/>
        <family val="3"/>
        <charset val="134"/>
      </rPr>
      <t>（建主）</t>
    </r>
  </si>
  <si>
    <t>5001.01.03.02</t>
  </si>
  <si>
    <r>
      <rPr>
        <sz val="10"/>
        <rFont val="黑体"/>
        <family val="3"/>
        <charset val="134"/>
      </rPr>
      <t>3.2.1.建安工程费</t>
    </r>
    <r>
      <rPr>
        <b/>
        <sz val="10"/>
        <color rgb="FFFF0000"/>
        <rFont val="黑体"/>
        <family val="3"/>
        <charset val="134"/>
      </rPr>
      <t>(建主建）</t>
    </r>
  </si>
  <si>
    <t xml:space="preserve">JXA-057 </t>
  </si>
  <si>
    <t xml:space="preserve">JXA-169 </t>
  </si>
  <si>
    <t>3.2.2.公共部位精装修</t>
  </si>
  <si>
    <t xml:space="preserve">JXA-132 </t>
  </si>
  <si>
    <t>3.2.3.精装修（样板间、会所）</t>
  </si>
  <si>
    <t xml:space="preserve">JXA-118 </t>
  </si>
  <si>
    <t xml:space="preserve">JXA-121 </t>
  </si>
  <si>
    <t xml:space="preserve">JXA-033 </t>
  </si>
  <si>
    <t>3.2.4.外檐保温石材及涂料</t>
  </si>
  <si>
    <t xml:space="preserve">JXA-110 </t>
  </si>
  <si>
    <t xml:space="preserve">JXA-116 </t>
  </si>
  <si>
    <t xml:space="preserve">JXA-131 </t>
  </si>
  <si>
    <t>3.2.5.外檐断桥铝合金门窗</t>
  </si>
  <si>
    <t xml:space="preserve">JXA-103 </t>
  </si>
  <si>
    <t>3.2.6.铝合金空调百叶</t>
  </si>
  <si>
    <t xml:space="preserve">JXA-136 </t>
  </si>
  <si>
    <t>3.2.7.入户门（不设小院门)</t>
  </si>
  <si>
    <t xml:space="preserve">JXA-129 </t>
  </si>
  <si>
    <t xml:space="preserve">JXA-124 </t>
  </si>
  <si>
    <t xml:space="preserve">JXA-135 </t>
  </si>
  <si>
    <t xml:space="preserve">JXA-177 </t>
  </si>
  <si>
    <t>3.2.8.配电箱及电表箱</t>
  </si>
  <si>
    <t xml:space="preserve">JXA-098 </t>
  </si>
  <si>
    <r>
      <rPr>
        <b/>
        <sz val="10"/>
        <rFont val="黑体"/>
        <family val="3"/>
        <charset val="134"/>
      </rPr>
      <t>3.</t>
    </r>
    <r>
      <rPr>
        <b/>
        <sz val="10"/>
        <rFont val="黑体"/>
        <family val="3"/>
        <charset val="134"/>
      </rPr>
      <t>3</t>
    </r>
    <r>
      <rPr>
        <b/>
        <sz val="10"/>
        <rFont val="黑体"/>
        <family val="3"/>
        <charset val="134"/>
      </rPr>
      <t xml:space="preserve"> </t>
    </r>
    <r>
      <rPr>
        <b/>
        <sz val="10"/>
        <rFont val="黑体"/>
        <family val="3"/>
        <charset val="134"/>
      </rPr>
      <t>设施设备</t>
    </r>
  </si>
  <si>
    <r>
      <rPr>
        <sz val="10"/>
        <rFont val="黑体"/>
        <family val="3"/>
        <charset val="134"/>
      </rPr>
      <t>3.5.1</t>
    </r>
    <r>
      <rPr>
        <sz val="10"/>
        <rFont val="黑体"/>
        <family val="3"/>
        <charset val="134"/>
      </rPr>
      <t>.电梯工程</t>
    </r>
  </si>
  <si>
    <r>
      <rPr>
        <sz val="10"/>
        <rFont val="黑体"/>
        <family val="3"/>
        <charset val="134"/>
      </rPr>
      <t>3.5.2</t>
    </r>
    <r>
      <rPr>
        <sz val="10"/>
        <rFont val="黑体"/>
        <family val="3"/>
        <charset val="134"/>
      </rPr>
      <t>.智能化</t>
    </r>
  </si>
  <si>
    <r>
      <rPr>
        <sz val="10"/>
        <rFont val="黑体"/>
        <family val="3"/>
        <charset val="134"/>
      </rPr>
      <t>3.5.3</t>
    </r>
    <r>
      <rPr>
        <sz val="10"/>
        <rFont val="黑体"/>
        <family val="3"/>
        <charset val="134"/>
      </rPr>
      <t>.消防工程</t>
    </r>
  </si>
  <si>
    <r>
      <rPr>
        <sz val="10"/>
        <rFont val="黑体"/>
        <family val="3"/>
        <charset val="134"/>
      </rPr>
      <t>3.5.4</t>
    </r>
    <r>
      <rPr>
        <sz val="10"/>
        <rFont val="黑体"/>
        <family val="3"/>
        <charset val="134"/>
      </rPr>
      <t>.人防工程</t>
    </r>
  </si>
  <si>
    <t>3.5.5.空调系统工程</t>
  </si>
  <si>
    <r>
      <rPr>
        <sz val="10"/>
        <rFont val="黑体"/>
        <family val="3"/>
        <charset val="134"/>
      </rPr>
      <t>3.5.6</t>
    </r>
    <r>
      <rPr>
        <sz val="10"/>
        <rFont val="黑体"/>
        <family val="3"/>
        <charset val="134"/>
      </rPr>
      <t>.通风系统工程</t>
    </r>
  </si>
  <si>
    <t>3.5.7.机械车位（双层）</t>
  </si>
  <si>
    <t>3.5.8.太阳能系统（四步节能）</t>
  </si>
  <si>
    <r>
      <rPr>
        <b/>
        <sz val="10"/>
        <rFont val="黑体"/>
        <family val="3"/>
        <charset val="134"/>
      </rPr>
      <t>3.4 环境工程</t>
    </r>
    <r>
      <rPr>
        <b/>
        <sz val="10"/>
        <color rgb="FFFF0000"/>
        <rFont val="黑体"/>
        <family val="3"/>
        <charset val="134"/>
      </rPr>
      <t>（建环）</t>
    </r>
  </si>
  <si>
    <t>3.4.1.区内景观工程（建环内）</t>
  </si>
  <si>
    <t>3.4.2.区外挡土墙</t>
  </si>
  <si>
    <t>3.4.2.区外景观（建环外）</t>
  </si>
  <si>
    <r>
      <rPr>
        <b/>
        <sz val="10"/>
        <rFont val="黑体"/>
        <family val="3"/>
        <charset val="134"/>
      </rPr>
      <t>3.5 监理费</t>
    </r>
    <r>
      <rPr>
        <b/>
        <sz val="10"/>
        <color indexed="10"/>
        <rFont val="黑体"/>
        <family val="3"/>
        <charset val="134"/>
      </rPr>
      <t>（建监）</t>
    </r>
  </si>
  <si>
    <t>5001.01.03.03</t>
  </si>
  <si>
    <t>3.5.1.土建监理费（建监土）</t>
  </si>
  <si>
    <t>3.5.2.人防监理费（建监人）</t>
  </si>
  <si>
    <t>3.6 变更签证</t>
  </si>
  <si>
    <r>
      <rPr>
        <b/>
        <sz val="10"/>
        <rFont val="黑体"/>
        <family val="3"/>
        <charset val="134"/>
      </rPr>
      <t>3</t>
    </r>
    <r>
      <rPr>
        <b/>
        <sz val="10"/>
        <rFont val="黑体"/>
        <family val="3"/>
        <charset val="134"/>
      </rPr>
      <t>.7 其他建安</t>
    </r>
  </si>
  <si>
    <t>四、小区基础配套</t>
  </si>
  <si>
    <t>5001.01.04</t>
  </si>
  <si>
    <r>
      <rPr>
        <b/>
        <sz val="10"/>
        <rFont val="黑体"/>
        <family val="3"/>
        <charset val="134"/>
      </rPr>
      <t>4</t>
    </r>
    <r>
      <rPr>
        <b/>
        <sz val="10"/>
        <rFont val="黑体"/>
        <family val="3"/>
        <charset val="134"/>
      </rPr>
      <t xml:space="preserve">.1 </t>
    </r>
    <r>
      <rPr>
        <b/>
        <sz val="10"/>
        <rFont val="黑体"/>
        <family val="3"/>
        <charset val="134"/>
      </rPr>
      <t>供电</t>
    </r>
  </si>
  <si>
    <t>5001.01.04.01</t>
  </si>
  <si>
    <r>
      <rPr>
        <sz val="10"/>
        <rFont val="黑体"/>
        <family val="3"/>
        <charset val="134"/>
      </rPr>
      <t>4</t>
    </r>
    <r>
      <rPr>
        <sz val="10"/>
        <rFont val="黑体"/>
        <family val="3"/>
        <charset val="134"/>
      </rPr>
      <t>.1.1</t>
    </r>
    <r>
      <rPr>
        <sz val="10"/>
        <rFont val="黑体"/>
        <family val="3"/>
        <charset val="134"/>
      </rPr>
      <t>.电力工程</t>
    </r>
    <r>
      <rPr>
        <b/>
        <sz val="10"/>
        <color indexed="10"/>
        <rFont val="黑体"/>
        <family val="3"/>
        <charset val="134"/>
      </rPr>
      <t>（基电工）</t>
    </r>
  </si>
  <si>
    <r>
      <rPr>
        <sz val="10"/>
        <rFont val="黑体"/>
        <family val="3"/>
        <charset val="134"/>
      </rPr>
      <t>4</t>
    </r>
    <r>
      <rPr>
        <sz val="10"/>
        <rFont val="黑体"/>
        <family val="3"/>
        <charset val="134"/>
      </rPr>
      <t>.1.2</t>
    </r>
    <r>
      <rPr>
        <sz val="10"/>
        <rFont val="黑体"/>
        <family val="3"/>
        <charset val="134"/>
      </rPr>
      <t>.一户一表</t>
    </r>
    <r>
      <rPr>
        <b/>
        <sz val="10"/>
        <color indexed="10"/>
        <rFont val="黑体"/>
        <family val="3"/>
        <charset val="134"/>
      </rPr>
      <t>（基电表）</t>
    </r>
  </si>
  <si>
    <t>4.1.3.外线路由费及破路补偿</t>
  </si>
  <si>
    <t>4.1.4.配电柜</t>
  </si>
  <si>
    <r>
      <rPr>
        <sz val="10"/>
        <rFont val="黑体"/>
        <family val="3"/>
        <charset val="134"/>
      </rPr>
      <t>4</t>
    </r>
    <r>
      <rPr>
        <sz val="10"/>
        <rFont val="黑体"/>
        <family val="3"/>
        <charset val="134"/>
      </rPr>
      <t>.1.5.内缆工程费</t>
    </r>
  </si>
  <si>
    <r>
      <rPr>
        <sz val="10"/>
        <rFont val="黑体"/>
        <family val="3"/>
        <charset val="134"/>
      </rPr>
      <t>4.1.6.箱式站基础、CF箱基础、土建变电站</t>
    </r>
    <r>
      <rPr>
        <b/>
        <sz val="10"/>
        <color rgb="FFFF0000"/>
        <rFont val="黑体"/>
        <family val="3"/>
        <charset val="134"/>
      </rPr>
      <t>（基电箱）</t>
    </r>
  </si>
  <si>
    <r>
      <rPr>
        <sz val="10"/>
        <rFont val="黑体"/>
        <family val="3"/>
        <charset val="134"/>
      </rPr>
      <t>4.1.7</t>
    </r>
    <r>
      <rPr>
        <sz val="10"/>
        <rFont val="黑体"/>
        <family val="3"/>
        <charset val="134"/>
      </rPr>
      <t>.红号站设备</t>
    </r>
  </si>
  <si>
    <r>
      <rPr>
        <b/>
        <sz val="10"/>
        <rFont val="黑体"/>
        <family val="3"/>
        <charset val="134"/>
      </rPr>
      <t>4</t>
    </r>
    <r>
      <rPr>
        <b/>
        <sz val="10"/>
        <rFont val="黑体"/>
        <family val="3"/>
        <charset val="134"/>
      </rPr>
      <t xml:space="preserve">.2 </t>
    </r>
    <r>
      <rPr>
        <b/>
        <sz val="10"/>
        <rFont val="黑体"/>
        <family val="3"/>
        <charset val="134"/>
      </rPr>
      <t>供水</t>
    </r>
  </si>
  <si>
    <t>5001.01.04.02</t>
  </si>
  <si>
    <r>
      <rPr>
        <sz val="10"/>
        <rFont val="黑体"/>
        <family val="3"/>
        <charset val="134"/>
      </rPr>
      <t>4</t>
    </r>
    <r>
      <rPr>
        <sz val="10"/>
        <rFont val="黑体"/>
        <family val="3"/>
        <charset val="134"/>
      </rPr>
      <t>.2.1</t>
    </r>
    <r>
      <rPr>
        <sz val="10"/>
        <rFont val="黑体"/>
        <family val="3"/>
        <charset val="134"/>
      </rPr>
      <t>.自来水工程费</t>
    </r>
    <r>
      <rPr>
        <b/>
        <sz val="10"/>
        <color indexed="10"/>
        <rFont val="黑体"/>
        <family val="3"/>
        <charset val="134"/>
      </rPr>
      <t>（基水工）</t>
    </r>
  </si>
  <si>
    <r>
      <rPr>
        <sz val="10"/>
        <rFont val="黑体"/>
        <family val="3"/>
        <charset val="134"/>
      </rPr>
      <t>4.2.2.自来水二次网工程费</t>
    </r>
    <r>
      <rPr>
        <b/>
        <sz val="10"/>
        <color indexed="10"/>
        <rFont val="黑体"/>
        <family val="3"/>
        <charset val="134"/>
      </rPr>
      <t>（基水工）</t>
    </r>
  </si>
  <si>
    <r>
      <rPr>
        <sz val="10"/>
        <rFont val="黑体"/>
        <family val="3"/>
        <charset val="134"/>
      </rPr>
      <t>4.2.3.水表</t>
    </r>
    <r>
      <rPr>
        <b/>
        <sz val="10"/>
        <color indexed="10"/>
        <rFont val="黑体"/>
        <family val="3"/>
        <charset val="134"/>
      </rPr>
      <t>（基水表）</t>
    </r>
  </si>
  <si>
    <r>
      <rPr>
        <sz val="10"/>
        <rFont val="黑体"/>
        <family val="3"/>
        <charset val="134"/>
      </rPr>
      <t>4.2.4.室外消火灾栓</t>
    </r>
    <r>
      <rPr>
        <b/>
        <sz val="10"/>
        <color indexed="10"/>
        <rFont val="黑体"/>
        <family val="3"/>
        <charset val="134"/>
      </rPr>
      <t>（）</t>
    </r>
  </si>
  <si>
    <r>
      <rPr>
        <sz val="10"/>
        <rFont val="黑体"/>
        <family val="3"/>
        <charset val="134"/>
      </rPr>
      <t>4.2.5.水土保持设施补偿费</t>
    </r>
    <r>
      <rPr>
        <b/>
        <sz val="10"/>
        <color indexed="10"/>
        <rFont val="黑体"/>
        <family val="3"/>
        <charset val="134"/>
      </rPr>
      <t>（基水补）</t>
    </r>
  </si>
  <si>
    <r>
      <rPr>
        <sz val="10"/>
        <rFont val="黑体"/>
        <family val="3"/>
        <charset val="134"/>
      </rPr>
      <t>4.2.6.地下水资源费</t>
    </r>
    <r>
      <rPr>
        <b/>
        <sz val="10"/>
        <color indexed="10"/>
        <rFont val="黑体"/>
        <family val="3"/>
        <charset val="134"/>
      </rPr>
      <t>（基水地）</t>
    </r>
  </si>
  <si>
    <r>
      <rPr>
        <sz val="10"/>
        <rFont val="黑体"/>
        <family val="3"/>
        <charset val="134"/>
      </rPr>
      <t>4.2.7.水土保持方案编制费</t>
    </r>
    <r>
      <rPr>
        <b/>
        <sz val="10"/>
        <color indexed="10"/>
        <rFont val="黑体"/>
        <family val="3"/>
        <charset val="134"/>
      </rPr>
      <t>（基水保）</t>
    </r>
  </si>
  <si>
    <r>
      <rPr>
        <sz val="10"/>
        <rFont val="黑体"/>
        <family val="3"/>
        <charset val="134"/>
      </rPr>
      <t>4.2.8.用水报告书编制费</t>
    </r>
    <r>
      <rPr>
        <b/>
        <sz val="10"/>
        <color indexed="10"/>
        <rFont val="黑体"/>
        <family val="3"/>
        <charset val="134"/>
      </rPr>
      <t>（基水用）</t>
    </r>
  </si>
  <si>
    <r>
      <rPr>
        <sz val="10"/>
        <rFont val="黑体"/>
        <family val="3"/>
        <charset val="134"/>
      </rPr>
      <t>4.2.9.二次供水工程设备</t>
    </r>
    <r>
      <rPr>
        <b/>
        <sz val="10"/>
        <color indexed="10"/>
        <rFont val="黑体"/>
        <family val="3"/>
        <charset val="134"/>
      </rPr>
      <t>（基水设）</t>
    </r>
  </si>
  <si>
    <r>
      <rPr>
        <b/>
        <sz val="10"/>
        <rFont val="黑体"/>
        <family val="3"/>
        <charset val="134"/>
      </rPr>
      <t xml:space="preserve">4.3 </t>
    </r>
    <r>
      <rPr>
        <b/>
        <sz val="10"/>
        <rFont val="黑体"/>
        <family val="3"/>
        <charset val="134"/>
      </rPr>
      <t>供水</t>
    </r>
  </si>
  <si>
    <r>
      <rPr>
        <sz val="10"/>
        <rFont val="黑体"/>
        <family val="3"/>
        <charset val="134"/>
      </rPr>
      <t>4.3.1.中水工程费</t>
    </r>
    <r>
      <rPr>
        <b/>
        <sz val="10"/>
        <color rgb="FFFF0000"/>
        <rFont val="黑体"/>
        <family val="3"/>
        <charset val="134"/>
      </rPr>
      <t>（基水工）</t>
    </r>
  </si>
  <si>
    <r>
      <rPr>
        <sz val="10"/>
        <rFont val="黑体"/>
        <family val="3"/>
        <charset val="134"/>
      </rPr>
      <t>4.3.1.中水二次网工程费</t>
    </r>
    <r>
      <rPr>
        <b/>
        <sz val="10"/>
        <color rgb="FFFF0000"/>
        <rFont val="黑体"/>
        <family val="3"/>
        <charset val="134"/>
      </rPr>
      <t>（基水工）</t>
    </r>
  </si>
  <si>
    <r>
      <rPr>
        <sz val="10"/>
        <rFont val="黑体"/>
        <family val="3"/>
        <charset val="134"/>
      </rPr>
      <t>4.3.2</t>
    </r>
    <r>
      <rPr>
        <sz val="10"/>
        <rFont val="黑体"/>
        <family val="3"/>
        <charset val="134"/>
      </rPr>
      <t>.水表</t>
    </r>
    <r>
      <rPr>
        <b/>
        <sz val="10"/>
        <color indexed="10"/>
        <rFont val="黑体"/>
        <family val="3"/>
        <charset val="134"/>
      </rPr>
      <t>（基中表）</t>
    </r>
  </si>
  <si>
    <r>
      <rPr>
        <sz val="10"/>
        <rFont val="黑体"/>
        <family val="3"/>
        <charset val="134"/>
      </rPr>
      <t>4.3.3</t>
    </r>
    <r>
      <rPr>
        <sz val="10"/>
        <rFont val="黑体"/>
        <family val="3"/>
        <charset val="134"/>
      </rPr>
      <t>.二次供水工程设备</t>
    </r>
    <r>
      <rPr>
        <b/>
        <sz val="10"/>
        <color indexed="10"/>
        <rFont val="黑体"/>
        <family val="3"/>
        <charset val="134"/>
      </rPr>
      <t>（基中设）</t>
    </r>
  </si>
  <si>
    <r>
      <rPr>
        <b/>
        <sz val="10"/>
        <rFont val="黑体"/>
        <family val="3"/>
        <charset val="134"/>
      </rPr>
      <t>4</t>
    </r>
    <r>
      <rPr>
        <b/>
        <sz val="10"/>
        <rFont val="黑体"/>
        <family val="3"/>
        <charset val="134"/>
      </rPr>
      <t>.4 排水</t>
    </r>
  </si>
  <si>
    <t>5001.01.04.06</t>
  </si>
  <si>
    <r>
      <rPr>
        <sz val="10"/>
        <rFont val="黑体"/>
        <family val="3"/>
        <charset val="134"/>
      </rPr>
      <t>4</t>
    </r>
    <r>
      <rPr>
        <sz val="10"/>
        <rFont val="黑体"/>
        <family val="3"/>
        <charset val="134"/>
      </rPr>
      <t>.4.1.排水工程</t>
    </r>
    <r>
      <rPr>
        <b/>
        <sz val="10"/>
        <color indexed="10"/>
        <rFont val="黑体"/>
        <family val="3"/>
        <charset val="134"/>
      </rPr>
      <t>（基排工）</t>
    </r>
  </si>
  <si>
    <r>
      <rPr>
        <sz val="10"/>
        <rFont val="黑体"/>
        <family val="3"/>
        <charset val="134"/>
      </rPr>
      <t>4</t>
    </r>
    <r>
      <rPr>
        <sz val="10"/>
        <rFont val="黑体"/>
        <family val="3"/>
        <charset val="134"/>
      </rPr>
      <t>.4.2.排水破路施工</t>
    </r>
    <r>
      <rPr>
        <b/>
        <sz val="10"/>
        <color indexed="10"/>
        <rFont val="黑体"/>
        <family val="3"/>
        <charset val="134"/>
      </rPr>
      <t>（基排破）</t>
    </r>
  </si>
  <si>
    <r>
      <rPr>
        <b/>
        <sz val="10"/>
        <rFont val="黑体"/>
        <family val="3"/>
        <charset val="134"/>
      </rPr>
      <t>4</t>
    </r>
    <r>
      <rPr>
        <b/>
        <sz val="10"/>
        <rFont val="黑体"/>
        <family val="3"/>
        <charset val="134"/>
      </rPr>
      <t xml:space="preserve">.5 </t>
    </r>
    <r>
      <rPr>
        <b/>
        <sz val="10"/>
        <rFont val="黑体"/>
        <family val="3"/>
        <charset val="134"/>
      </rPr>
      <t>供热</t>
    </r>
  </si>
  <si>
    <t>5001.01.04.05</t>
  </si>
  <si>
    <r>
      <rPr>
        <sz val="10"/>
        <rFont val="黑体"/>
        <family val="3"/>
        <charset val="134"/>
      </rPr>
      <t>4.5.1</t>
    </r>
    <r>
      <rPr>
        <sz val="10"/>
        <rFont val="黑体"/>
        <family val="3"/>
        <charset val="134"/>
      </rPr>
      <t>.供热工程建设</t>
    </r>
    <r>
      <rPr>
        <b/>
        <sz val="10"/>
        <color indexed="10"/>
        <rFont val="黑体"/>
        <family val="3"/>
        <charset val="134"/>
      </rPr>
      <t>（基热工）</t>
    </r>
  </si>
  <si>
    <r>
      <rPr>
        <sz val="10"/>
        <color indexed="10"/>
        <rFont val="Times New Roman"/>
        <family val="1"/>
      </rPr>
      <t>JXA-069</t>
    </r>
    <r>
      <rPr>
        <sz val="10"/>
        <color indexed="10"/>
        <rFont val="宋体"/>
        <family val="3"/>
        <charset val="134"/>
      </rPr>
      <t>（</t>
    </r>
    <r>
      <rPr>
        <sz val="10"/>
        <color indexed="10"/>
        <rFont val="Times New Roman"/>
        <family val="1"/>
      </rPr>
      <t>1</t>
    </r>
    <r>
      <rPr>
        <sz val="10"/>
        <color indexed="10"/>
        <rFont val="宋体"/>
        <family val="3"/>
        <charset val="134"/>
      </rPr>
      <t>）</t>
    </r>
  </si>
  <si>
    <r>
      <rPr>
        <sz val="10"/>
        <rFont val="黑体"/>
        <family val="3"/>
        <charset val="134"/>
      </rPr>
      <t>4</t>
    </r>
    <r>
      <rPr>
        <sz val="10"/>
        <rFont val="黑体"/>
        <family val="3"/>
        <charset val="134"/>
      </rPr>
      <t>.5.2</t>
    </r>
    <r>
      <rPr>
        <sz val="10"/>
        <rFont val="黑体"/>
        <family val="3"/>
        <charset val="134"/>
      </rPr>
      <t>.供热内网</t>
    </r>
    <r>
      <rPr>
        <b/>
        <sz val="10"/>
        <color indexed="10"/>
        <rFont val="黑体"/>
        <family val="3"/>
        <charset val="134"/>
      </rPr>
      <t>（基热内）</t>
    </r>
  </si>
  <si>
    <r>
      <rPr>
        <sz val="10"/>
        <rFont val="黑体"/>
        <family val="3"/>
        <charset val="134"/>
      </rPr>
      <t>4</t>
    </r>
    <r>
      <rPr>
        <sz val="10"/>
        <rFont val="黑体"/>
        <family val="3"/>
        <charset val="134"/>
      </rPr>
      <t>.5.3</t>
    </r>
    <r>
      <rPr>
        <sz val="10"/>
        <rFont val="黑体"/>
        <family val="3"/>
        <charset val="134"/>
      </rPr>
      <t>.热计量表</t>
    </r>
    <r>
      <rPr>
        <b/>
        <sz val="10"/>
        <color indexed="10"/>
        <rFont val="黑体"/>
        <family val="3"/>
        <charset val="134"/>
      </rPr>
      <t>（基热表）</t>
    </r>
  </si>
  <si>
    <r>
      <rPr>
        <sz val="10"/>
        <color indexed="10"/>
        <rFont val="Times New Roman"/>
        <family val="1"/>
      </rPr>
      <t>JXA-069</t>
    </r>
    <r>
      <rPr>
        <sz val="10"/>
        <color indexed="10"/>
        <rFont val="宋体"/>
        <family val="3"/>
        <charset val="134"/>
      </rPr>
      <t>（</t>
    </r>
    <r>
      <rPr>
        <sz val="10"/>
        <color indexed="10"/>
        <rFont val="Times New Roman"/>
        <family val="1"/>
      </rPr>
      <t>2</t>
    </r>
    <r>
      <rPr>
        <sz val="10"/>
        <color indexed="10"/>
        <rFont val="宋体"/>
        <family val="3"/>
        <charset val="134"/>
      </rPr>
      <t>）</t>
    </r>
  </si>
  <si>
    <t>4.6 燃气</t>
  </si>
  <si>
    <t>5001.01.04.04</t>
  </si>
  <si>
    <r>
      <rPr>
        <sz val="10"/>
        <rFont val="黑体"/>
        <family val="3"/>
        <charset val="134"/>
      </rPr>
      <t>4.</t>
    </r>
    <r>
      <rPr>
        <sz val="10"/>
        <rFont val="黑体"/>
        <family val="3"/>
        <charset val="134"/>
      </rPr>
      <t>6</t>
    </r>
    <r>
      <rPr>
        <sz val="10"/>
        <rFont val="黑体"/>
        <family val="3"/>
        <charset val="134"/>
      </rPr>
      <t>.1</t>
    </r>
    <r>
      <rPr>
        <sz val="10"/>
        <rFont val="黑体"/>
        <family val="3"/>
        <charset val="134"/>
      </rPr>
      <t>.气源发展基金</t>
    </r>
    <r>
      <rPr>
        <b/>
        <sz val="10"/>
        <color indexed="10"/>
        <rFont val="黑体"/>
        <family val="3"/>
        <charset val="134"/>
      </rPr>
      <t>（基气源）</t>
    </r>
  </si>
  <si>
    <r>
      <rPr>
        <sz val="10"/>
        <rFont val="黑体"/>
        <family val="3"/>
        <charset val="134"/>
      </rPr>
      <t>4.</t>
    </r>
    <r>
      <rPr>
        <sz val="10"/>
        <rFont val="黑体"/>
        <family val="3"/>
        <charset val="134"/>
      </rPr>
      <t>6</t>
    </r>
    <r>
      <rPr>
        <sz val="10"/>
        <rFont val="黑体"/>
        <family val="3"/>
        <charset val="134"/>
      </rPr>
      <t>.2</t>
    </r>
    <r>
      <rPr>
        <sz val="10"/>
        <rFont val="黑体"/>
        <family val="3"/>
        <charset val="134"/>
      </rPr>
      <t>.燃气工程</t>
    </r>
    <r>
      <rPr>
        <b/>
        <sz val="10"/>
        <color indexed="10"/>
        <rFont val="黑体"/>
        <family val="3"/>
        <charset val="134"/>
      </rPr>
      <t>（基气工）</t>
    </r>
  </si>
  <si>
    <t>4.6.3.燃气设计费</t>
  </si>
  <si>
    <r>
      <rPr>
        <sz val="10"/>
        <rFont val="黑体"/>
        <family val="3"/>
        <charset val="134"/>
      </rPr>
      <t>4.6.4.燃气表费</t>
    </r>
    <r>
      <rPr>
        <b/>
        <sz val="10"/>
        <color rgb="FFFF0000"/>
        <rFont val="黑体"/>
        <family val="3"/>
        <charset val="134"/>
      </rPr>
      <t>（基气表）</t>
    </r>
  </si>
  <si>
    <t>4.6.5.燃气报警器</t>
  </si>
  <si>
    <t>4.6.6.点火费</t>
  </si>
  <si>
    <r>
      <rPr>
        <b/>
        <sz val="10"/>
        <rFont val="黑体"/>
        <family val="3"/>
        <charset val="134"/>
      </rPr>
      <t>4.7 视讯</t>
    </r>
    <r>
      <rPr>
        <b/>
        <sz val="10"/>
        <color rgb="FFFF0000"/>
        <rFont val="黑体"/>
        <family val="3"/>
        <charset val="134"/>
      </rPr>
      <t>（基视讯）</t>
    </r>
  </si>
  <si>
    <t>5001.01.04.07</t>
  </si>
  <si>
    <r>
      <rPr>
        <sz val="10"/>
        <rFont val="黑体"/>
        <family val="3"/>
        <charset val="134"/>
      </rPr>
      <t>4</t>
    </r>
    <r>
      <rPr>
        <sz val="10"/>
        <rFont val="黑体"/>
        <family val="3"/>
        <charset val="134"/>
      </rPr>
      <t>.7.1</t>
    </r>
    <r>
      <rPr>
        <sz val="10"/>
        <rFont val="黑体"/>
        <family val="3"/>
        <charset val="134"/>
      </rPr>
      <t>.电视线路安装</t>
    </r>
    <r>
      <rPr>
        <b/>
        <sz val="10"/>
        <color indexed="10"/>
        <rFont val="黑体"/>
        <family val="3"/>
        <charset val="134"/>
      </rPr>
      <t>（基视装）</t>
    </r>
  </si>
  <si>
    <r>
      <rPr>
        <sz val="10"/>
        <rFont val="黑体"/>
        <family val="3"/>
        <charset val="134"/>
      </rPr>
      <t>4</t>
    </r>
    <r>
      <rPr>
        <sz val="10"/>
        <rFont val="黑体"/>
        <family val="3"/>
        <charset val="134"/>
      </rPr>
      <t>.7.2</t>
    </r>
    <r>
      <rPr>
        <sz val="10"/>
        <rFont val="黑体"/>
        <family val="3"/>
        <charset val="134"/>
      </rPr>
      <t>.电视外网工程</t>
    </r>
    <r>
      <rPr>
        <b/>
        <sz val="10"/>
        <color indexed="10"/>
        <rFont val="黑体"/>
        <family val="3"/>
        <charset val="134"/>
      </rPr>
      <t>（基视网）</t>
    </r>
  </si>
  <si>
    <r>
      <rPr>
        <sz val="10"/>
        <rFont val="黑体"/>
        <family val="3"/>
        <charset val="134"/>
      </rPr>
      <t>4</t>
    </r>
    <r>
      <rPr>
        <sz val="10"/>
        <rFont val="黑体"/>
        <family val="3"/>
        <charset val="134"/>
      </rPr>
      <t>.7.3</t>
    </r>
    <r>
      <rPr>
        <sz val="10"/>
        <rFont val="黑体"/>
        <family val="3"/>
        <charset val="134"/>
      </rPr>
      <t>.通讯线路安装费</t>
    </r>
    <r>
      <rPr>
        <b/>
        <sz val="10"/>
        <color indexed="10"/>
        <rFont val="黑体"/>
        <family val="3"/>
        <charset val="134"/>
      </rPr>
      <t>（基视讯）</t>
    </r>
  </si>
  <si>
    <t>4.8 室外区内智能化工程</t>
  </si>
  <si>
    <t>4.8.1.区停车场管理系统</t>
  </si>
  <si>
    <t>4.8.2.安防系统工程、交通设施</t>
  </si>
  <si>
    <t>4.8.3.音乐广播、电子屏系统</t>
  </si>
  <si>
    <t>4.8 其他基础设施费</t>
  </si>
  <si>
    <t>5001.01.04.10</t>
  </si>
  <si>
    <r>
      <rPr>
        <sz val="10"/>
        <rFont val="黑体"/>
        <family val="3"/>
        <charset val="134"/>
      </rPr>
      <t>4</t>
    </r>
    <r>
      <rPr>
        <sz val="10"/>
        <rFont val="黑体"/>
        <family val="3"/>
        <charset val="134"/>
      </rPr>
      <t>.8.1</t>
    </r>
    <r>
      <rPr>
        <sz val="10"/>
        <rFont val="黑体"/>
        <family val="3"/>
        <charset val="134"/>
      </rPr>
      <t>.邮政设施</t>
    </r>
    <r>
      <rPr>
        <b/>
        <sz val="10"/>
        <color indexed="10"/>
        <rFont val="黑体"/>
        <family val="3"/>
        <charset val="134"/>
      </rPr>
      <t>（基邮）</t>
    </r>
  </si>
  <si>
    <r>
      <rPr>
        <sz val="10"/>
        <rFont val="黑体"/>
        <family val="3"/>
        <charset val="134"/>
      </rPr>
      <t>4</t>
    </r>
    <r>
      <rPr>
        <sz val="10"/>
        <rFont val="黑体"/>
        <family val="3"/>
        <charset val="134"/>
      </rPr>
      <t>.8.2</t>
    </r>
    <r>
      <rPr>
        <sz val="10"/>
        <rFont val="黑体"/>
        <family val="3"/>
        <charset val="134"/>
      </rPr>
      <t>.环卫设施</t>
    </r>
    <r>
      <rPr>
        <b/>
        <sz val="10"/>
        <color indexed="10"/>
        <rFont val="黑体"/>
        <family val="3"/>
        <charset val="134"/>
      </rPr>
      <t>（基环）</t>
    </r>
  </si>
  <si>
    <r>
      <rPr>
        <sz val="10"/>
        <rFont val="黑体"/>
        <family val="3"/>
        <charset val="134"/>
      </rPr>
      <t>4</t>
    </r>
    <r>
      <rPr>
        <sz val="10"/>
        <rFont val="黑体"/>
        <family val="3"/>
        <charset val="134"/>
      </rPr>
      <t>.8.3</t>
    </r>
    <r>
      <rPr>
        <sz val="10"/>
        <rFont val="黑体"/>
        <family val="3"/>
        <charset val="134"/>
      </rPr>
      <t>.其他</t>
    </r>
    <r>
      <rPr>
        <b/>
        <sz val="10"/>
        <color indexed="10"/>
        <rFont val="黑体"/>
        <family val="3"/>
        <charset val="134"/>
      </rPr>
      <t>（基其）</t>
    </r>
  </si>
  <si>
    <t>五、公用配套设施</t>
  </si>
  <si>
    <t>5001.01.05</t>
  </si>
  <si>
    <r>
      <rPr>
        <b/>
        <sz val="10"/>
        <rFont val="黑体"/>
        <family val="3"/>
        <charset val="134"/>
      </rPr>
      <t>5</t>
    </r>
    <r>
      <rPr>
        <b/>
        <sz val="10"/>
        <rFont val="黑体"/>
        <family val="3"/>
        <charset val="134"/>
      </rPr>
      <t>.1 非营业性公建配套费</t>
    </r>
    <r>
      <rPr>
        <b/>
        <sz val="10"/>
        <color indexed="10"/>
        <rFont val="黑体"/>
        <family val="3"/>
        <charset val="134"/>
      </rPr>
      <t>（公配小）</t>
    </r>
  </si>
  <si>
    <t>5001.01.05.01</t>
  </si>
  <si>
    <r>
      <rPr>
        <b/>
        <sz val="10"/>
        <rFont val="黑体"/>
        <family val="3"/>
        <charset val="134"/>
      </rPr>
      <t>5</t>
    </r>
    <r>
      <rPr>
        <b/>
        <sz val="10"/>
        <rFont val="黑体"/>
        <family val="3"/>
        <charset val="134"/>
      </rPr>
      <t>.2 物业管理费</t>
    </r>
  </si>
  <si>
    <t>5001.01.05.03</t>
  </si>
  <si>
    <r>
      <rPr>
        <sz val="10"/>
        <rFont val="黑体"/>
        <family val="3"/>
        <charset val="134"/>
      </rPr>
      <t>5.3.1</t>
    </r>
    <r>
      <rPr>
        <sz val="10"/>
        <rFont val="黑体"/>
        <family val="3"/>
        <charset val="134"/>
      </rPr>
      <t>.物业开办费（入住）</t>
    </r>
    <r>
      <rPr>
        <b/>
        <sz val="10"/>
        <color indexed="10"/>
        <rFont val="黑体"/>
        <family val="3"/>
        <charset val="134"/>
      </rPr>
      <t>（公物开）</t>
    </r>
  </si>
  <si>
    <r>
      <rPr>
        <sz val="10"/>
        <rFont val="黑体"/>
        <family val="3"/>
        <charset val="134"/>
      </rPr>
      <t>5.3.2</t>
    </r>
    <r>
      <rPr>
        <sz val="10"/>
        <rFont val="黑体"/>
        <family val="3"/>
        <charset val="134"/>
      </rPr>
      <t>.前期配合费（开发期间）</t>
    </r>
    <r>
      <rPr>
        <b/>
        <sz val="10"/>
        <color indexed="10"/>
        <rFont val="黑体"/>
        <family val="3"/>
        <charset val="134"/>
      </rPr>
      <t>（公物其）</t>
    </r>
  </si>
  <si>
    <t>5.3.3.验房费</t>
  </si>
  <si>
    <t>5.3.4.空房管理费</t>
  </si>
  <si>
    <t>5.3 空房采暖费</t>
  </si>
  <si>
    <r>
      <rPr>
        <b/>
        <sz val="10"/>
        <rFont val="黑体"/>
        <family val="3"/>
        <charset val="134"/>
      </rPr>
      <t xml:space="preserve">5.4 </t>
    </r>
    <r>
      <rPr>
        <b/>
        <sz val="10"/>
        <rFont val="黑体"/>
        <family val="3"/>
        <charset val="134"/>
      </rPr>
      <t>其他</t>
    </r>
    <r>
      <rPr>
        <b/>
        <sz val="10"/>
        <color indexed="10"/>
        <rFont val="黑体"/>
        <family val="3"/>
        <charset val="134"/>
      </rPr>
      <t>（公其）</t>
    </r>
  </si>
  <si>
    <t>5001.01.05.02</t>
  </si>
  <si>
    <t>六、不可预见费</t>
  </si>
  <si>
    <t>除土地款成本小计</t>
  </si>
  <si>
    <t>七、直接成本小计</t>
  </si>
  <si>
    <t>八、公共设施维修基金</t>
  </si>
  <si>
    <t>九、开发间接费</t>
  </si>
  <si>
    <t>5001.01.07</t>
  </si>
  <si>
    <t>9.1 销售费用</t>
  </si>
  <si>
    <r>
      <rPr>
        <b/>
        <sz val="10"/>
        <rFont val="黑体"/>
        <family val="3"/>
        <charset val="134"/>
      </rPr>
      <t>9.1.1 人员管理</t>
    </r>
    <r>
      <rPr>
        <b/>
        <sz val="10"/>
        <color indexed="10"/>
        <rFont val="黑体"/>
        <family val="3"/>
        <charset val="134"/>
      </rPr>
      <t>（销管）</t>
    </r>
  </si>
  <si>
    <r>
      <rPr>
        <sz val="10"/>
        <rFont val="黑体"/>
        <family val="3"/>
        <charset val="134"/>
      </rPr>
      <t>9.1.1.1.人员管理</t>
    </r>
    <r>
      <rPr>
        <b/>
        <sz val="10"/>
        <color indexed="10"/>
        <rFont val="黑体"/>
        <family val="3"/>
        <charset val="134"/>
      </rPr>
      <t>（销销人）</t>
    </r>
  </si>
  <si>
    <r>
      <rPr>
        <sz val="10"/>
        <rFont val="黑体"/>
        <family val="3"/>
        <charset val="134"/>
      </rPr>
      <t>9.1.1.2.销售设施</t>
    </r>
    <r>
      <rPr>
        <b/>
        <sz val="10"/>
        <color indexed="10"/>
        <rFont val="黑体"/>
        <family val="3"/>
        <charset val="134"/>
      </rPr>
      <t>（销销设）</t>
    </r>
  </si>
  <si>
    <r>
      <rPr>
        <sz val="10"/>
        <rFont val="黑体"/>
        <family val="3"/>
        <charset val="134"/>
      </rPr>
      <t>9.1.1.3.现场运营</t>
    </r>
    <r>
      <rPr>
        <b/>
        <sz val="10"/>
        <color indexed="10"/>
        <rFont val="黑体"/>
        <family val="3"/>
        <charset val="134"/>
      </rPr>
      <t>（销销运）</t>
    </r>
  </si>
  <si>
    <r>
      <rPr>
        <b/>
        <sz val="10"/>
        <rFont val="黑体"/>
        <family val="3"/>
        <charset val="134"/>
      </rPr>
      <t>9</t>
    </r>
    <r>
      <rPr>
        <b/>
        <sz val="10"/>
        <rFont val="黑体"/>
        <family val="3"/>
        <charset val="134"/>
      </rPr>
      <t xml:space="preserve">.1.2 </t>
    </r>
    <r>
      <rPr>
        <b/>
        <sz val="10"/>
        <rFont val="黑体"/>
        <family val="3"/>
        <charset val="134"/>
      </rPr>
      <t>销售管理费用</t>
    </r>
    <r>
      <rPr>
        <b/>
        <sz val="10"/>
        <color indexed="10"/>
        <rFont val="黑体"/>
        <family val="3"/>
        <charset val="134"/>
      </rPr>
      <t>（销管）</t>
    </r>
  </si>
  <si>
    <r>
      <rPr>
        <sz val="10"/>
        <rFont val="黑体"/>
        <family val="3"/>
        <charset val="134"/>
      </rPr>
      <t>9</t>
    </r>
    <r>
      <rPr>
        <sz val="10"/>
        <rFont val="黑体"/>
        <family val="3"/>
        <charset val="134"/>
      </rPr>
      <t>.1.2.1 线上推广</t>
    </r>
    <r>
      <rPr>
        <b/>
        <sz val="10"/>
        <color indexed="10"/>
        <rFont val="黑体"/>
        <family val="3"/>
        <charset val="134"/>
      </rPr>
      <t>（销管上）</t>
    </r>
  </si>
  <si>
    <r>
      <rPr>
        <sz val="10"/>
        <rFont val="黑体"/>
        <family val="3"/>
        <charset val="134"/>
      </rPr>
      <t>9</t>
    </r>
    <r>
      <rPr>
        <sz val="10"/>
        <rFont val="黑体"/>
        <family val="3"/>
        <charset val="134"/>
      </rPr>
      <t>.1.2.2线下活动</t>
    </r>
    <r>
      <rPr>
        <b/>
        <sz val="10"/>
        <color indexed="10"/>
        <rFont val="黑体"/>
        <family val="3"/>
        <charset val="134"/>
      </rPr>
      <t>（销管下）</t>
    </r>
  </si>
  <si>
    <r>
      <rPr>
        <sz val="10"/>
        <rFont val="黑体"/>
        <family val="3"/>
        <charset val="134"/>
      </rPr>
      <t xml:space="preserve">9.1.2.3 </t>
    </r>
    <r>
      <rPr>
        <sz val="10"/>
        <rFont val="黑体"/>
        <family val="3"/>
        <charset val="134"/>
      </rPr>
      <t>销售物料</t>
    </r>
    <r>
      <rPr>
        <b/>
        <sz val="10"/>
        <color indexed="10"/>
        <rFont val="黑体"/>
        <family val="3"/>
        <charset val="134"/>
      </rPr>
      <t>（销管物）</t>
    </r>
  </si>
  <si>
    <r>
      <rPr>
        <sz val="10"/>
        <rFont val="黑体"/>
        <family val="3"/>
        <charset val="134"/>
      </rPr>
      <t>9.1.2.4 广告设计</t>
    </r>
    <r>
      <rPr>
        <b/>
        <sz val="10"/>
        <color indexed="10"/>
        <rFont val="黑体"/>
        <family val="3"/>
        <charset val="134"/>
      </rPr>
      <t>（销管广）</t>
    </r>
  </si>
  <si>
    <r>
      <rPr>
        <b/>
        <sz val="10"/>
        <rFont val="黑体"/>
        <family val="3"/>
        <charset val="134"/>
      </rPr>
      <t>9</t>
    </r>
    <r>
      <rPr>
        <b/>
        <sz val="10"/>
        <rFont val="黑体"/>
        <family val="3"/>
        <charset val="134"/>
      </rPr>
      <t xml:space="preserve">.2 </t>
    </r>
    <r>
      <rPr>
        <b/>
        <sz val="10"/>
        <rFont val="黑体"/>
        <family val="3"/>
        <charset val="134"/>
      </rPr>
      <t>管理费用</t>
    </r>
  </si>
  <si>
    <r>
      <rPr>
        <b/>
        <sz val="10"/>
        <rFont val="黑体"/>
        <family val="3"/>
        <charset val="134"/>
      </rPr>
      <t xml:space="preserve">9.2.1 </t>
    </r>
    <r>
      <rPr>
        <b/>
        <sz val="10"/>
        <rFont val="黑体"/>
        <family val="3"/>
        <charset val="134"/>
      </rPr>
      <t>人力资源费用</t>
    </r>
  </si>
  <si>
    <t>07-10月</t>
  </si>
  <si>
    <t>11月</t>
  </si>
  <si>
    <t>12月</t>
  </si>
  <si>
    <t>2014.1月</t>
  </si>
  <si>
    <t>2014.2月</t>
  </si>
  <si>
    <t>2014.3月</t>
  </si>
  <si>
    <t>2014.4月</t>
  </si>
  <si>
    <t>9.2.2 办公费</t>
  </si>
  <si>
    <t>9.2.3 租赁费</t>
  </si>
  <si>
    <t>9.2.4 固定资产</t>
  </si>
  <si>
    <t>9.2.5 招待费</t>
  </si>
  <si>
    <t>9.2.6 交通费</t>
  </si>
  <si>
    <t>9.2.7 其他费用</t>
  </si>
  <si>
    <t>9.2.8  印花税</t>
  </si>
  <si>
    <t>9.3 资金成本</t>
  </si>
  <si>
    <r>
      <rPr>
        <b/>
        <sz val="10"/>
        <rFont val="黑体"/>
        <family val="3"/>
        <charset val="134"/>
      </rPr>
      <t xml:space="preserve">9.3.1 </t>
    </r>
    <r>
      <rPr>
        <b/>
        <sz val="10"/>
        <rFont val="黑体"/>
        <family val="3"/>
        <charset val="134"/>
      </rPr>
      <t>融资成本</t>
    </r>
  </si>
  <si>
    <r>
      <rPr>
        <b/>
        <sz val="10"/>
        <rFont val="黑体"/>
        <family val="3"/>
        <charset val="134"/>
      </rPr>
      <t xml:space="preserve">9.3.2 </t>
    </r>
    <r>
      <rPr>
        <b/>
        <sz val="10"/>
        <rFont val="黑体"/>
        <family val="3"/>
        <charset val="134"/>
      </rPr>
      <t>贷款利息</t>
    </r>
  </si>
  <si>
    <t>十、销售收入</t>
  </si>
  <si>
    <t>10.1 住宅收入</t>
  </si>
  <si>
    <t>10.2 车库收入</t>
  </si>
  <si>
    <t>10.3 商业收入</t>
  </si>
  <si>
    <t>10.4 其他收入</t>
  </si>
  <si>
    <t>十一、税金</t>
  </si>
  <si>
    <t>5001.01.06</t>
  </si>
  <si>
    <t>11.1 营业税金及附加</t>
  </si>
  <si>
    <t>11.2 土地增值税</t>
  </si>
  <si>
    <t>11.3 其他税金</t>
  </si>
  <si>
    <t>房产税</t>
  </si>
  <si>
    <t>土地合同印花税</t>
  </si>
  <si>
    <t>11.4 所得税</t>
  </si>
  <si>
    <t>11.5 契税</t>
  </si>
  <si>
    <t>11.6 城镇土地使用税</t>
  </si>
  <si>
    <t>十二、税前成本合计</t>
  </si>
  <si>
    <t>十三、税前利润</t>
  </si>
  <si>
    <t>十四、税前利润率</t>
  </si>
  <si>
    <t>十五、税后成本合计</t>
  </si>
  <si>
    <t>十六、税后利润</t>
  </si>
  <si>
    <t>十七、税后净利润率</t>
  </si>
  <si>
    <t>十八、自有资金回报率</t>
  </si>
  <si>
    <t>十九、预缴税金</t>
  </si>
  <si>
    <t>二十、预缴税成本合计</t>
  </si>
  <si>
    <t>二十一、预缴税利润</t>
  </si>
  <si>
    <t>二十二、预缴税利润率</t>
  </si>
  <si>
    <t>二十三、预缴税后自有资金回报率</t>
  </si>
  <si>
    <t>XXX项目动态成本分析表</t>
    <phoneticPr fontId="4" type="noConversion"/>
  </si>
  <si>
    <t>项           目</t>
    <phoneticPr fontId="4" type="noConversion"/>
  </si>
  <si>
    <t>原目标成本</t>
    <phoneticPr fontId="4" type="noConversion"/>
  </si>
  <si>
    <t>新目标成本</t>
    <phoneticPr fontId="4" type="noConversion"/>
  </si>
  <si>
    <t>?</t>
    <phoneticPr fontId="4" type="noConversion"/>
  </si>
  <si>
    <t>截至上月已发生</t>
    <phoneticPr fontId="4" type="noConversion"/>
  </si>
  <si>
    <t>本月</t>
    <phoneticPr fontId="4" type="noConversion"/>
  </si>
  <si>
    <t>已发生成本</t>
    <phoneticPr fontId="4" type="noConversion"/>
  </si>
  <si>
    <t>待发生成本</t>
    <phoneticPr fontId="4" type="noConversion"/>
  </si>
  <si>
    <r>
      <t>控制指标</t>
    </r>
    <r>
      <rPr>
        <b/>
        <sz val="8"/>
        <rFont val="宋体"/>
        <family val="3"/>
        <charset val="134"/>
      </rPr>
      <t>（元/m3）</t>
    </r>
    <phoneticPr fontId="4" type="noConversion"/>
  </si>
  <si>
    <t>总投资（万元）</t>
    <phoneticPr fontId="4" type="noConversion"/>
  </si>
  <si>
    <t>合同值</t>
    <phoneticPr fontId="4" type="noConversion"/>
  </si>
  <si>
    <t>结算差异</t>
    <phoneticPr fontId="4" type="noConversion"/>
  </si>
  <si>
    <t>⑥=②+③+④+⑤</t>
    <phoneticPr fontId="4" type="noConversion"/>
  </si>
  <si>
    <t>土地及大配套费</t>
    <phoneticPr fontId="4" type="noConversion"/>
  </si>
  <si>
    <t>土地及大配套费一级项目控制
指标之和</t>
    <phoneticPr fontId="4" type="noConversion"/>
  </si>
  <si>
    <t>土地及大配套费一级项目总投资之和</t>
    <phoneticPr fontId="4" type="noConversion"/>
  </si>
  <si>
    <t>土地及大配套费一级项目新目标成本之和</t>
    <phoneticPr fontId="4" type="noConversion"/>
  </si>
  <si>
    <t>土地及大配套费一级项目合同值之和</t>
    <phoneticPr fontId="4" type="noConversion"/>
  </si>
  <si>
    <t>土地及大配套费一级项目结算差异之和</t>
    <phoneticPr fontId="4" type="noConversion"/>
  </si>
  <si>
    <t>土地及大配套费一级项目已发生成本之和</t>
    <phoneticPr fontId="4" type="noConversion"/>
  </si>
  <si>
    <t>？</t>
  </si>
  <si>
    <t>土地及大配套费一级项目待发生成本之和</t>
    <phoneticPr fontId="4" type="noConversion"/>
  </si>
  <si>
    <t>土地及大配套费一级项目本月动态成本之和</t>
    <phoneticPr fontId="4" type="noConversion"/>
  </si>
  <si>
    <t>一级项目</t>
    <phoneticPr fontId="4" type="noConversion"/>
  </si>
  <si>
    <t>二级项目控制指标之和</t>
  </si>
  <si>
    <t>二级项目新目标成本之和</t>
  </si>
  <si>
    <t>二级项目合同值之和</t>
  </si>
  <si>
    <t>二级项目结算差异之和</t>
  </si>
  <si>
    <t>二级项目本月成本增加之和</t>
  </si>
  <si>
    <t>1.1.1</t>
    <phoneticPr fontId="4" type="noConversion"/>
  </si>
  <si>
    <t>二级项目</t>
    <phoneticPr fontId="4" type="noConversion"/>
  </si>
  <si>
    <t>？</t>
    <phoneticPr fontId="4" type="noConversion"/>
  </si>
  <si>
    <t>前期费用</t>
    <phoneticPr fontId="4" type="noConversion"/>
  </si>
  <si>
    <t>前期费用一级项目控制
指标之和</t>
    <phoneticPr fontId="4" type="noConversion"/>
  </si>
  <si>
    <t>前期费用一级项目总投资之和</t>
  </si>
  <si>
    <t>前期费用一级项目新目标成本之和</t>
  </si>
  <si>
    <t>前期费用一级项目合同值之和</t>
  </si>
  <si>
    <t>前期费用一级项目结算差异之和</t>
  </si>
  <si>
    <t>前期费用一级项目已发生成本之和</t>
  </si>
  <si>
    <t>前期费用一级项目待发生成本之和</t>
  </si>
  <si>
    <t>前期费用一级项目本月动态成本之和</t>
  </si>
  <si>
    <t>前期费用一级项目本月成本增加之和</t>
  </si>
  <si>
    <t>2.1.1</t>
    <phoneticPr fontId="4" type="noConversion"/>
  </si>
  <si>
    <t>建安工程费</t>
    <phoneticPr fontId="4" type="noConversion"/>
  </si>
  <si>
    <t>建安工程费一级项目控制指标之和</t>
    <phoneticPr fontId="4" type="noConversion"/>
  </si>
  <si>
    <t>建安工程费一级项目总投资之和</t>
    <phoneticPr fontId="4" type="noConversion"/>
  </si>
  <si>
    <t>建安工程费一级项目新目标成本之和</t>
    <phoneticPr fontId="4" type="noConversion"/>
  </si>
  <si>
    <t>建安工程一级项目费合同值之和</t>
    <phoneticPr fontId="4" type="noConversion"/>
  </si>
  <si>
    <t>建安工程费一级项目结算差异之和</t>
    <phoneticPr fontId="4" type="noConversion"/>
  </si>
  <si>
    <t>建安工程费一级项目合同值之和</t>
    <phoneticPr fontId="4" type="noConversion"/>
  </si>
  <si>
    <t>建安工程费一级项目已发生成本之和</t>
    <phoneticPr fontId="4" type="noConversion"/>
  </si>
  <si>
    <t>建安工程费一级项目待发生成本之和</t>
    <phoneticPr fontId="4" type="noConversion"/>
  </si>
  <si>
    <t>建安工程费一级项目本月动态成本之和</t>
    <phoneticPr fontId="4" type="noConversion"/>
  </si>
  <si>
    <t>建安工程费一级项目本月成本增加之和</t>
    <phoneticPr fontId="4" type="noConversion"/>
  </si>
  <si>
    <t>3.1.1</t>
    <phoneticPr fontId="4" type="noConversion"/>
  </si>
  <si>
    <t>基础设施费</t>
    <phoneticPr fontId="4" type="noConversion"/>
  </si>
  <si>
    <t>基础设施费一级项目控制指标之和</t>
  </si>
  <si>
    <t>基础设施费一级项目总投资之和</t>
  </si>
  <si>
    <t>基础设施费一级项目新目标成本之和</t>
  </si>
  <si>
    <t>基础设施费一级项目合同值之和</t>
  </si>
  <si>
    <t>基础设施费一级项目结算差异之和</t>
  </si>
  <si>
    <t>基础设施费一级项目已发生成本之和</t>
  </si>
  <si>
    <t>基础设施费一级项目待发生成本之和</t>
  </si>
  <si>
    <t>基础设施费一级项目本月动态成本之和</t>
  </si>
  <si>
    <t>基础设施费一级项目本月成本增加之和</t>
  </si>
  <si>
    <t>4.1.1</t>
    <phoneticPr fontId="4" type="noConversion"/>
  </si>
  <si>
    <t>公用配套设施</t>
    <phoneticPr fontId="4" type="noConversion"/>
  </si>
  <si>
    <t>公用配套设施一级项目控制指标之和</t>
  </si>
  <si>
    <t>公用配套设施一级项目总投资之和</t>
  </si>
  <si>
    <t>公用配套设施一级项目新目标成本之和</t>
  </si>
  <si>
    <t>公用配套设施一级项目合同值之和</t>
  </si>
  <si>
    <t>公用配套设施一级项目结算差异之和</t>
  </si>
  <si>
    <t>公用配套设施一级项目已发生成本之和</t>
  </si>
  <si>
    <t>公用配套设施一级项目待发生成本之和</t>
  </si>
  <si>
    <t>公用配套设施一级项目本月动态成本之和</t>
  </si>
  <si>
    <t>公用配套设施一级项目本月成本增加之和</t>
  </si>
  <si>
    <t>5.1.1</t>
    <phoneticPr fontId="4" type="noConversion"/>
  </si>
  <si>
    <t>不可预见费（建安工程费的千分之五）</t>
    <phoneticPr fontId="4" type="noConversion"/>
  </si>
  <si>
    <t>不可预见费一级项目控制指标之和</t>
  </si>
  <si>
    <t>不可预见费一级项目总投资之和</t>
  </si>
  <si>
    <t>不可预见费一级项目新目标成本之和</t>
  </si>
  <si>
    <t>不可预见费一级项目合同值之和</t>
  </si>
  <si>
    <t>不可预见费一级项目结算差异之和</t>
  </si>
  <si>
    <t>不可预见费一级项目已发生成本之和</t>
  </si>
  <si>
    <t>不可预见费一级项目待发生成本之和</t>
  </si>
  <si>
    <t>不可预见费一级项目本月动态成本之和</t>
  </si>
  <si>
    <t>不可预见费一级项目本月成本增加之和</t>
  </si>
  <si>
    <t>6.1.1</t>
    <phoneticPr fontId="4" type="noConversion"/>
  </si>
  <si>
    <t>前六大类之和</t>
    <phoneticPr fontId="4" type="noConversion"/>
  </si>
  <si>
    <t>N18-J18 销售价格测算表销售额总计-已发生成本</t>
    <phoneticPr fontId="4" type="noConversion"/>
  </si>
  <si>
    <t>N165*0.02 销售收入*0.02</t>
    <phoneticPr fontId="4" type="noConversion"/>
  </si>
  <si>
    <t>项目大类是否会变动？</t>
    <phoneticPr fontId="4" type="noConversion"/>
  </si>
  <si>
    <t>每一大类下的一级项目和二级项目是否会变动？</t>
    <phoneticPr fontId="4" type="noConversion"/>
  </si>
  <si>
    <t>新目标成本的值如何得到？</t>
    <phoneticPr fontId="4" type="noConversion"/>
  </si>
  <si>
    <t>截至上月已发生结算差异的值如何得到？</t>
    <phoneticPr fontId="4" type="noConversion"/>
  </si>
  <si>
    <t>本月合同值的值如何得到？</t>
    <phoneticPr fontId="4" type="noConversion"/>
  </si>
  <si>
    <t>本月结算差异的值如何得到？</t>
    <phoneticPr fontId="4" type="noConversion"/>
  </si>
  <si>
    <t>原目标成本中总投资（万元）上面的单元格内容是什么？如何确定值？</t>
    <phoneticPr fontId="4" type="noConversion"/>
  </si>
  <si>
    <t>第八大类销售收入已发生成本如何得到？</t>
    <phoneticPr fontId="4" type="noConversion"/>
  </si>
  <si>
    <t>销售费用已发生成本如何计算?</t>
  </si>
  <si>
    <t>管理费用已发生成本如何计算?</t>
  </si>
  <si>
    <t>公共设施维修基金已发生成本如何计算?</t>
  </si>
  <si>
    <t>资金成本（贷款利息）已发生成本如何计算?</t>
  </si>
  <si>
    <t>融资成本已发生成本如何计算?</t>
  </si>
  <si>
    <t>营业税金已发生成本如何计算?</t>
  </si>
  <si>
    <t>销售费用待发生成本如何计算？</t>
  </si>
  <si>
    <t>管理费用待发生成本如何计算？</t>
  </si>
  <si>
    <t>公共设施维修基金待发生成本如何计算？</t>
  </si>
  <si>
    <t>资金成本（贷款利息）待发生成本如何计算？</t>
  </si>
  <si>
    <t>融资成本待发生成本如何计算？</t>
  </si>
  <si>
    <t>营业税金待发生成本如何计算？</t>
  </si>
  <si>
    <t>土地增值税本月动态成本如何计算？</t>
    <phoneticPr fontId="4" type="noConversion"/>
  </si>
  <si>
    <t>工程合同及拨款统计</t>
  </si>
  <si>
    <t>新编号</t>
  </si>
  <si>
    <t>签定日期</t>
  </si>
  <si>
    <t>工程项目</t>
  </si>
  <si>
    <t>施工单位</t>
  </si>
  <si>
    <t>合同造价（元）</t>
  </si>
  <si>
    <t>本月拨款（元）</t>
  </si>
  <si>
    <t>结算合同值</t>
  </si>
  <si>
    <t>签证总额</t>
  </si>
  <si>
    <t>累计拨款（元）</t>
  </si>
  <si>
    <r>
      <rPr>
        <sz val="12"/>
        <rFont val="宋体"/>
        <family val="3"/>
        <charset val="134"/>
      </rPr>
      <t>拨款率</t>
    </r>
    <r>
      <rPr>
        <sz val="12"/>
        <rFont val="Times New Roman"/>
        <family val="1"/>
      </rPr>
      <t xml:space="preserve">   %</t>
    </r>
  </si>
  <si>
    <t>预提款（元）</t>
  </si>
  <si>
    <t>部门</t>
  </si>
  <si>
    <t>付款方式</t>
  </si>
  <si>
    <t>质保</t>
  </si>
  <si>
    <t>未付</t>
  </si>
  <si>
    <t>备注</t>
  </si>
  <si>
    <t>2013.7.19</t>
  </si>
  <si>
    <t>前核地</t>
  </si>
  <si>
    <t>南郡蓝山核定用地图合同</t>
  </si>
  <si>
    <t>天津市蓟县测绘队</t>
  </si>
  <si>
    <t>工程部</t>
  </si>
  <si>
    <t>取得测绘成果后一次性付清合同款</t>
  </si>
  <si>
    <t>前勘绘</t>
  </si>
  <si>
    <t>天津蓟县项目地形图测绘合同</t>
  </si>
  <si>
    <t>签订起3日内支付全部合同款</t>
  </si>
  <si>
    <t>2013.8.9</t>
  </si>
  <si>
    <t>前勘勘</t>
  </si>
  <si>
    <t>初勘合同</t>
  </si>
  <si>
    <t>天津市勘察院</t>
  </si>
  <si>
    <t>乙方提交正式勘察成果资料后并办理完结算手续10天内，发包人应一次性付清结算价款</t>
  </si>
  <si>
    <t>2013.8.19</t>
  </si>
  <si>
    <t>前设设</t>
  </si>
  <si>
    <t>建筑方案及施工图设计合同</t>
  </si>
  <si>
    <t>北京新纪元建筑工程设计有限公司</t>
  </si>
  <si>
    <t>1)合同签订生效后七个工作日内，甲方向乙方支付总设计费用的15%作为定金；
2)乙方向甲方提交规划方案设计成果且甲方确认后七个工作日内，甲方向乙方支付设计费为总设
  计费用的15%;
3)乙方配合甲方完成修建性详细规划报审工作并取得《修建性详细规划审定通知书》后七个工作
  日内，甲方向乙方支付设计费为总设计费用的5%;
4)乙方向甲方提交建筑单体方案设计成果且甲方确认后七个工作日内，甲方向乙方支付设计费为
  总设计费用的15%;
5)乙方配合甲方完成建筑单体方案设计报审工作并取得《建设工程设计方案审定通知书》后七个
  工作日内，甲方向乙方支付设计费为总设计费用的5%;
6)乙方向甲方提交建筑单体方案深化设计成果且甲方确认后七个工作日内，甲方向乙方支付设计
  费为总设计费用的5%;
7)乙方配合甲方完成报建工作并取得《建设工程规划许可证》后七个工作日内，甲方向乙方支付
  设计费为总设计费用的5%;
8)乙方完成全部施工图，经甲方专业设计师审核无问题后，甲方向乙方支付设计费为总设计费用
  的10%;
9)施工图通过各专业主管部门外审部门审查合格后，甲方向乙方支付设计费为总设计费用的10%;
10)结构主体封顶，甲方向乙方支付设计费为总设计费用的5%;
11)工程竣工验收合格后，甲方向乙方付清余款。
    注：甲方向乙方支付款项时，乙方须向甲方提供符合天津市税务部门要求的正式等额发票，
    否则甲方有权拒付款项，且不属于甲方违约</t>
  </si>
  <si>
    <t>土土</t>
  </si>
  <si>
    <t>天津市国有建设用地使用权出让合同</t>
  </si>
  <si>
    <t>天津市国土资源和房屋管理局蓟县国土资源分局</t>
  </si>
  <si>
    <t>开发部</t>
  </si>
  <si>
    <t>合同签订之日起30日内，缴付不低于50%土地出让款。合同签订之日起90日内，缴齐全部土地出让金</t>
  </si>
  <si>
    <t>2013.10.23</t>
  </si>
  <si>
    <t>土交</t>
  </si>
  <si>
    <t>代理代办费（蓟县国土收取）</t>
  </si>
  <si>
    <t>一次性</t>
  </si>
  <si>
    <t>2013.10.29</t>
  </si>
  <si>
    <t>土其</t>
  </si>
  <si>
    <t>国有土地使用权登记费</t>
  </si>
  <si>
    <t>天津市蓟县地籍管理中心</t>
  </si>
  <si>
    <t>2013.5.23</t>
  </si>
  <si>
    <t>土地交易代理代办费</t>
  </si>
  <si>
    <t>天津市土地交易中心</t>
  </si>
  <si>
    <t>土地交易手续费</t>
  </si>
  <si>
    <t>2013.8.31</t>
  </si>
  <si>
    <t>土拍</t>
  </si>
  <si>
    <t>土地拍卖佣金（蓟县063号）</t>
  </si>
  <si>
    <t>宁波富地企业管理咨询服务有限公司</t>
  </si>
  <si>
    <t>2013.11.14</t>
  </si>
  <si>
    <t>管线实测费（买图）</t>
  </si>
  <si>
    <t>天津市蓟县地下空间规划信息中心</t>
  </si>
  <si>
    <t>2013.11.20</t>
  </si>
  <si>
    <t>管线实测费</t>
  </si>
  <si>
    <t>2013.11.27</t>
  </si>
  <si>
    <t>建环内</t>
  </si>
  <si>
    <t>蓟县苗木采购与种植养护工程施工合同</t>
  </si>
  <si>
    <t>天津市静海县泽森苗圃</t>
  </si>
  <si>
    <t xml:space="preserve">3.1 本工程采用固定单价包干，固定综合单价见附件一《天津蓟县苗木工程报价表》，不再调整。
3.1.1  签订合同后，截止到2014年2月28日之前，若甲方实际采购数量有变动，乙方需无偿按附件一中固定单价提供苗木给甲方。
3.1.2  若因甲方原因实际从基地移栽到项目现场的苗木数量发生减少， 则此批苗木由甲方自行处理。
3.1.3  若部分苗木在基地内的养殖周期未达到合同规定的2年时间时，甲方支付当年养管费时会按月扣减未实施养管月份的费用，月度扣减费用按附件一中2年总报价平均均摊到月度的方式计算。
3.1.4  若部分苗木在养殖苗圃内的养殖周期超过合同规定的2年时间时，超出时间的养殖费用待工程结算时甲方支付给乙方，计算原则按附件一中2年总报价平均均摊到月度，再核算超出的月份数量计算。
3.1.5 工程结算时，乙方需提供苗木批次采购、移栽、养管情况统计等文件签收依据，相关管理部门检测合格依据，水费用结清单，甲方签字确认的工程竣工验收单等甲方需乙方提供的全部结算资料后，并配合甲方到现场清点实际苗木，确认成活率后，方可启动结算手续，并按附件中的固定单价计算本工程结算总价款。
</t>
  </si>
  <si>
    <t>履约保函</t>
  </si>
  <si>
    <t>2014.3.10</t>
  </si>
  <si>
    <t>前设图</t>
  </si>
  <si>
    <t>图纸打印</t>
  </si>
  <si>
    <t>王为</t>
  </si>
  <si>
    <t>2013.12.3</t>
  </si>
  <si>
    <t>前标咨</t>
  </si>
  <si>
    <t>（一、三期）造价咨询合同</t>
  </si>
  <si>
    <t>天津中天华建工程咨询有限公司</t>
  </si>
  <si>
    <t>成本部</t>
  </si>
  <si>
    <t xml:space="preserve">1、咨询费的支付以单个楼座为单位，下条中的“咨询费”均指乙方所咨询的栋号相应的咨询费。
2、乙方提供预算书及清单标底标的文件并经甲方抽验合格确认无误并与施工单位核对完毕，提供双方认定的成果文件后15日内支付至咨询费的50％；工程竣工后，乙方递交所有第三方的工程最终结算书，经双方盖章确认后30日内，付至咨询费的90%；咨询结果提供后6个月后15日内，不出现任何争议支付至咨询费的100％。 
3、乙方应在甲方付每笔咨询费前，提供等额合法有效发票。如未能提供，甲方有权扣留其咨询费直至乙方开具等额的有效发票。
4、咨询费采用转账支票支付。
</t>
  </si>
  <si>
    <t>2013.1.21</t>
  </si>
  <si>
    <t>前临土</t>
  </si>
  <si>
    <t>场地平整</t>
  </si>
  <si>
    <t>天津市蓟县振东建筑有限责任公司</t>
  </si>
  <si>
    <t>2013.11.25</t>
  </si>
  <si>
    <t>土契</t>
  </si>
  <si>
    <t>蓟县国土资源分局</t>
  </si>
  <si>
    <t>财务部</t>
  </si>
  <si>
    <t>JXA-018</t>
  </si>
  <si>
    <r>
      <rPr>
        <sz val="10"/>
        <rFont val="宋体"/>
        <family val="3"/>
        <charset val="134"/>
      </rPr>
      <t>2013.2.26</t>
    </r>
  </si>
  <si>
    <t>前其他</t>
  </si>
  <si>
    <t>模型制作合同</t>
  </si>
  <si>
    <t>北京恩思轩宇模型科技有限公司</t>
  </si>
  <si>
    <t>研发部</t>
  </si>
  <si>
    <r>
      <rPr>
        <sz val="10"/>
        <rFont val="宋体"/>
        <family val="3"/>
        <charset val="134"/>
      </rPr>
      <t>2013.11.27</t>
    </r>
  </si>
  <si>
    <t>技术服务费《2014年造价信息参考》</t>
  </si>
  <si>
    <t>天津市建设工程造价信息中心</t>
  </si>
  <si>
    <t>运营部</t>
  </si>
  <si>
    <r>
      <rPr>
        <sz val="10"/>
        <rFont val="宋体"/>
        <family val="3"/>
        <charset val="134"/>
      </rPr>
      <t>2013.11.28</t>
    </r>
  </si>
  <si>
    <t>技术咨询费《2014年工程造价信息》</t>
  </si>
  <si>
    <t>天津市建设工程造价和招标管理协会</t>
  </si>
  <si>
    <r>
      <rPr>
        <sz val="10"/>
        <rFont val="宋体"/>
        <family val="3"/>
        <charset val="134"/>
      </rPr>
      <t>2013.11.29</t>
    </r>
  </si>
  <si>
    <t>彩色打印效果图39张</t>
  </si>
  <si>
    <t>天津市蓟县东方打印室</t>
  </si>
  <si>
    <t>销售部</t>
  </si>
  <si>
    <r>
      <rPr>
        <sz val="10"/>
        <rFont val="宋体"/>
        <family val="3"/>
        <charset val="134"/>
      </rPr>
      <t>2013.11.30</t>
    </r>
  </si>
  <si>
    <t>天津富多彩数码快印有限公司</t>
  </si>
  <si>
    <t>2014.3.14</t>
  </si>
  <si>
    <t>前临障</t>
  </si>
  <si>
    <t>柿子树补偿协议书</t>
  </si>
  <si>
    <t>渔阳镇七里峰村民委员会</t>
  </si>
  <si>
    <t>2015.1.6</t>
  </si>
  <si>
    <t>苗木增补协议</t>
  </si>
  <si>
    <t>2014.12.26</t>
  </si>
  <si>
    <t>前道口</t>
  </si>
  <si>
    <t>南侧道路开口</t>
  </si>
  <si>
    <t>天津市蓟县公路路政支队</t>
  </si>
  <si>
    <t>西侧道路开口</t>
  </si>
  <si>
    <t>JXA-027W</t>
  </si>
  <si>
    <t>2014.12.29</t>
  </si>
  <si>
    <t>一期在建工程评估费</t>
  </si>
  <si>
    <t>天津杰诺德房地产价格评估咨询有限公司</t>
  </si>
  <si>
    <t>图纸复印费</t>
  </si>
  <si>
    <t>天津市宝坻区汇彩打字复印服务中心</t>
  </si>
  <si>
    <t>不可预见</t>
  </si>
  <si>
    <t>专家论证费</t>
  </si>
  <si>
    <t>天津忆江南企业管理咨询服务有限公司</t>
  </si>
  <si>
    <t>JXA-030W</t>
  </si>
  <si>
    <t>图纸打印费</t>
  </si>
  <si>
    <t>天津市蓟县张雷办公用品商店</t>
  </si>
  <si>
    <t>JXA-031W</t>
  </si>
  <si>
    <r>
      <rPr>
        <sz val="10"/>
        <rFont val="宋体"/>
        <family val="3"/>
        <charset val="134"/>
      </rPr>
      <t>201</t>
    </r>
    <r>
      <rPr>
        <sz val="10"/>
        <rFont val="宋体"/>
        <family val="3"/>
        <charset val="134"/>
      </rPr>
      <t>5</t>
    </r>
    <r>
      <rPr>
        <sz val="10"/>
        <rFont val="宋体"/>
        <family val="3"/>
        <charset val="134"/>
      </rPr>
      <t>.1.9</t>
    </r>
  </si>
  <si>
    <t>一期工程在建工程（15个楼）房屋所有权登记费</t>
  </si>
  <si>
    <t>天津市财政局</t>
  </si>
  <si>
    <t>账务部</t>
  </si>
  <si>
    <t>JXA-032W</t>
  </si>
  <si>
    <t>2015.2.12</t>
  </si>
  <si>
    <t>蓟县在建工程保费</t>
  </si>
  <si>
    <t>太平财产保险有限公司天津分公司</t>
  </si>
  <si>
    <t>2015.12.28</t>
  </si>
  <si>
    <t>建安</t>
  </si>
  <si>
    <t>维修改建工程（集团办公室精装）</t>
  </si>
  <si>
    <t>天津市锦适名研装饰设计有限公司</t>
  </si>
  <si>
    <t>2014.4.15</t>
  </si>
  <si>
    <t>2014.4.20</t>
  </si>
  <si>
    <t>建设工程勘察合同(详勘）</t>
  </si>
  <si>
    <t>天津华北工程勘察设计有限公司</t>
  </si>
  <si>
    <t>勘察人出具中间勘察成果报告且勘察人提供相应金额的合规发票后支付至合同价款的30%；提交完整勘察成果报告后三个月内，或在此期间经市建委审图部门审查合格后且勘察人提供相应金额的合规发票后支付至合同价款的70%；提交完整勘察成果报告后二年内，或在此期间内地基工程全部验收合格且勘察人提供至结算价全额的合规发票后支付至结算价的100%，其中地基工程验收分为三期，每期支付合同价款的10%。如勘察人不及时提供发票，则发包人有权拒付或顺延付款时间。勘察人需配合发包人进行竣工验收备案手续的相关工作。</t>
  </si>
  <si>
    <t>2014.4.23</t>
  </si>
  <si>
    <t>建环外</t>
  </si>
  <si>
    <t>挡土墙施工合同（西侧、南侧）</t>
  </si>
  <si>
    <t xml:space="preserve">（1） 砖挡土墙施工完成后，待甲方验收合格后30日内支付已完成工程的合同价款的70%  。                                                
（2）施工完成钢筋砼挡土墙墙长300m后，待甲方验收合格后30日内支付已完成工程的合同价款的70%  。                                                               
（3） 工程全部完工后，待甲方验收合格后30日内支付至已完成工程的合同价款的70%  。                                                                                                                                                  
（4） 工程验收合格，乙方办理完工程交接手续及竣工资料移交手续，乙方向甲方递交合格竣工结算报告及完整的结算资料，结算资料必须符合甲方审核要求，工程结算完成后45日内支付至结算价款的95%  。                                                                                                             
（5）质保期满两年后30日内支付结算总价的5%，（本金不计息）。
</t>
  </si>
  <si>
    <t>2014.4.</t>
  </si>
  <si>
    <t>前设其</t>
  </si>
  <si>
    <t>地库及人防设计合同</t>
  </si>
  <si>
    <t>天津冶金规划设计院</t>
  </si>
  <si>
    <t xml:space="preserve">8.1本协议生效后一周内，委托方支付设计费总额的30％作为定金（协议结算时，定金抵作设计费）。8.2完成初步设计文件并经过人防审图审批通过时，支付设计费的20%；8.3取得施工图时，支付设计费的总额的40%；取得人防验收合格后，支付设计费总额的10%。
</t>
  </si>
  <si>
    <t>2014.4.18</t>
  </si>
  <si>
    <t>前设景</t>
  </si>
  <si>
    <t>景观设计合同</t>
  </si>
  <si>
    <t>天津宏石筑景景观设计有限公司（更名为：砂樘（天津）城市设计有限公司）</t>
  </si>
  <si>
    <t>1、定金20% 2、概念设计10% 3、方案设计15% 4、扩初设计初稿20% 5、扩初设计终稿15% 6、施工图设计10% 7、尾款10%。</t>
  </si>
  <si>
    <t>2014.5.19</t>
  </si>
  <si>
    <t>公告展示牌（报修详）</t>
  </si>
  <si>
    <t>前期部</t>
  </si>
  <si>
    <t>2014.5.21</t>
  </si>
  <si>
    <t>前临围</t>
  </si>
  <si>
    <t>博御园临时围墙工程</t>
  </si>
  <si>
    <t>天津宏鑫鼎泰建筑工程有限公司</t>
  </si>
  <si>
    <t xml:space="preserve">工程全部完工并验收合格后15日内支付至合同价款的80%，，结算完成后十五日内付至结算额95%，余款质保期满后15日内付清，本金不计利息。本工程质量保修期为两年。
工程款的支付：甲方将以支票的方式支付，甲方支付以上款项时，乙方须先提供工程所在地区有效的等额发票，如不提供，甲方有权顺延付款。甲、乙双方办妥结算手续后，甲方支付除保修金外的最后一笔结算款同时，乙方向甲方提供的发票金额应当包含保修金金额。
</t>
  </si>
  <si>
    <t>2014.5.26</t>
  </si>
  <si>
    <t>基电工</t>
  </si>
  <si>
    <t>一期电力配套费</t>
  </si>
  <si>
    <t>天津市电力公司蓟县分公司</t>
  </si>
  <si>
    <t>2014.4.28</t>
  </si>
  <si>
    <t>前标代</t>
  </si>
  <si>
    <t>招投标代理（设计、勘察、工程、监理）</t>
  </si>
  <si>
    <t>天津建安建设项目管理有限公司</t>
  </si>
  <si>
    <t xml:space="preserve">招标代理合同签署后，七日内支付招标代理服务费的30%，勘察、设计、监理招标手续完成后支付招标代理服务费的40%，施工招标分三个阶段，完成施工招标第一阶段支付招标代理服务费的10% ；完成施工招标第二阶段支付招标代理服务费的10%；完成施工招标第三阶段支付招标代理服务费的10% </t>
  </si>
  <si>
    <t>前能评</t>
  </si>
  <si>
    <t>固定资产投资项目合理用能评估合同（能评）</t>
  </si>
  <si>
    <t>天津天发源环境保护事务代理中心有限公司</t>
  </si>
  <si>
    <t xml:space="preserve">（1）  签订本合同后，开始出具报告五个工作日内，支付60%咨询费，共计大写：人民币陆万叁仟元整（￥63000.00元）。 
（2）节能评估文件通过当地相关主管部门审批，取得关于本项目的能评批复后5个工作日内，支付40%咨询费，计大写：人民币肆万贰仟元整（￥42000.00元）。 
</t>
  </si>
  <si>
    <t>前环评</t>
  </si>
  <si>
    <t>技术咨询合同(环评）</t>
  </si>
  <si>
    <t>天津市环境保护科学研究院</t>
  </si>
  <si>
    <t xml:space="preserve">（1）本项目取得天津市环境工程评估中心技术评估意见后3个工作日内甲方支付报酬总额80%，即大写：人民币壹拾叁万贰仟元整（￥132000.00元整）；
（2）取得当地环境行政主管部门关于本项目的环境批复后3个工作日内甲方支付报酬总额的20%，即大写：人民币叁万叁仟元整（￥33000.00元整）；
</t>
  </si>
  <si>
    <t>2014.5.4</t>
  </si>
  <si>
    <t>拨地定桩（红线测绘）</t>
  </si>
  <si>
    <t>2015.4.22</t>
  </si>
  <si>
    <t>一期电力配套费（泵房、供热站动力负荷）</t>
  </si>
  <si>
    <t>2014.6.11</t>
  </si>
  <si>
    <t>前临电</t>
  </si>
  <si>
    <t>临时电设计费</t>
  </si>
  <si>
    <t>天津市龙宇电力工程设计有限公司</t>
  </si>
  <si>
    <t>发包人取活时及提交文件时一次性付清所有设计费用不留尾款。</t>
  </si>
  <si>
    <t>2014.6.</t>
  </si>
  <si>
    <t>建监</t>
  </si>
  <si>
    <t>监理工程</t>
  </si>
  <si>
    <t>天津市环外监理有限公司</t>
  </si>
  <si>
    <t>1、工程正式开工且监理已开展工作30天后付5% 2、地基备案验收合格后付15% 3、基础备案完付15% 4、主体备案完付30% 5、通过工程竣工验收合格后付10% 6、整理完成全部备案资料并督促施工单位整理备案资料，备案完成后付10% 7景观工程完成且验收合格后付8% 8、配套工程完毕组织业主进住完成付2% 9、余款5%待工程保修期满后10内付清</t>
  </si>
  <si>
    <t>2014.6.17</t>
  </si>
  <si>
    <t>彩钢临时围挡</t>
  </si>
  <si>
    <t xml:space="preserve">工程全部完工并验收合格后15日内支付合同价款的100% </t>
  </si>
  <si>
    <t>地下障碍物拆除</t>
  </si>
  <si>
    <t>天津渔阳建工集团机械施工有限公司</t>
  </si>
  <si>
    <t>工程全部完工并验收合格后15日内支付合同价款的100% 。</t>
  </si>
  <si>
    <t>2014.6.16</t>
  </si>
  <si>
    <t>临电工程费</t>
  </si>
  <si>
    <t>天津市信弘德电力工程有限公司蓟县分公司</t>
  </si>
  <si>
    <t>1、合同签订3日内付90% 2、余款验收合格并送电后一周内付清</t>
  </si>
  <si>
    <t>前标服</t>
  </si>
  <si>
    <t>勘察、设计交易服务费（全项目）</t>
  </si>
  <si>
    <t>天津市工程建设交易服务中心</t>
  </si>
  <si>
    <t>挡土墙施工合同（重签）</t>
  </si>
  <si>
    <t>天津市蓟县宏拓建筑有限公司</t>
  </si>
  <si>
    <t>6.1西侧挡墙（含级配砂石）：总价共计￥588486元。
（1）西侧挡墙施工完成后，待甲方验收合格后30日内支付已完成工程的剩余工程款（即支付：￥38896.5元）。（截止2014.12.24已就已完工程支付“天津市蓟县振东建筑有限责任公司”工程款1243479元，本次支付为剩余工程款）。
（2）工程验收合格，乙方办理完工程交接手续及竣工资料移交手续，乙方向甲方递交合格竣工结算报告及完整的结算资料，结算资料必须符合甲方审核要求，工程结算完成后45日内支付至结算价款的95%（即支付：￥457991.25元）。
（3）质保期满两年后30日内支付结算总价的5%（即支付：￥91598.25元），（本金不计息）。
6.2南侧挡墙：总价共计￥2550000元
（1）南侧挡墙施工完成后，待甲方验收合格后30日内支付已完成工程的合同价款的70%（即支付：￥1785000元）。
（2）工程验收合格，乙方办理完工程交接手续及竣工资料移交手续，乙方向甲方递交合格竣工结算报告及完整的结算资料，结算资料必须符合甲方审核要求，工程结算完成后45日内支付至结算价款的95%（即支付：￥637500元）。
（3）质保期满两年后30日内支付结算总价的5%（即支付：￥127500元），（本金不计息）。</t>
  </si>
  <si>
    <t>2014.6.27</t>
  </si>
  <si>
    <t>负荷管理装置费、外部供电工程费</t>
  </si>
  <si>
    <t>天津市电力分公司蓟县分公司</t>
  </si>
  <si>
    <t>公路占路费</t>
  </si>
  <si>
    <t>天津市蓟县路政支队</t>
  </si>
  <si>
    <t>2015.12.4</t>
  </si>
  <si>
    <t>变压器移位（一台）</t>
  </si>
  <si>
    <t>天津市聚鑫达建设工程有限公司</t>
  </si>
  <si>
    <t>合同签定后一次性付清</t>
  </si>
  <si>
    <t>JXA-057</t>
  </si>
  <si>
    <t>2015.12.11</t>
  </si>
  <si>
    <t>建主建</t>
  </si>
  <si>
    <t>清运拉圾（三期）</t>
  </si>
  <si>
    <t>完工后一个月内付至总价的90%，打桩单位进场，现场满足打村庄要求后一个月内付清余款。</t>
  </si>
  <si>
    <t>JXA-058W</t>
  </si>
  <si>
    <t>2014.7.9</t>
  </si>
  <si>
    <t>蓟县土地评估费</t>
  </si>
  <si>
    <t>一次性付款</t>
  </si>
  <si>
    <t>2014.8.14</t>
  </si>
  <si>
    <t>装表临时用电高压供电合同</t>
  </si>
  <si>
    <t>国网天津市电力公司蓟县供电分公司</t>
  </si>
  <si>
    <t>抄表日为每月19日，每月25日前 缴纳电费</t>
  </si>
  <si>
    <t>JXA-060W</t>
  </si>
  <si>
    <t>2014.7.16</t>
  </si>
  <si>
    <t>建定测</t>
  </si>
  <si>
    <t>建筑物放线（一期楼座测绘）</t>
  </si>
  <si>
    <t>2015.3.26</t>
  </si>
  <si>
    <t>基电箱</t>
  </si>
  <si>
    <t>配电站电力设计费</t>
  </si>
  <si>
    <t>天津市龙宇达电力工程设计有限公司</t>
  </si>
  <si>
    <t>公配小</t>
  </si>
  <si>
    <t>小配套费（一期）</t>
  </si>
  <si>
    <t>蓟县建设管理委员会</t>
  </si>
  <si>
    <t>前墙</t>
  </si>
  <si>
    <t>墙改费（一期）</t>
  </si>
  <si>
    <t>JXA-064</t>
  </si>
  <si>
    <r>
      <rPr>
        <sz val="10"/>
        <rFont val="宋体"/>
        <family val="3"/>
        <charset val="134"/>
      </rPr>
      <t>201</t>
    </r>
    <r>
      <rPr>
        <sz val="10"/>
        <rFont val="宋体"/>
        <family val="3"/>
        <charset val="134"/>
      </rPr>
      <t>5</t>
    </r>
    <r>
      <rPr>
        <sz val="10"/>
        <rFont val="宋体"/>
        <family val="3"/>
        <charset val="134"/>
      </rPr>
      <t>.</t>
    </r>
    <r>
      <rPr>
        <sz val="10"/>
        <rFont val="宋体"/>
        <family val="3"/>
        <charset val="134"/>
      </rPr>
      <t>2</t>
    </r>
    <r>
      <rPr>
        <sz val="10"/>
        <rFont val="宋体"/>
        <family val="3"/>
        <charset val="134"/>
      </rPr>
      <t>.</t>
    </r>
    <r>
      <rPr>
        <sz val="10"/>
        <rFont val="宋体"/>
        <family val="3"/>
        <charset val="134"/>
      </rPr>
      <t>6</t>
    </r>
  </si>
  <si>
    <t>二期放线、检线报告</t>
  </si>
  <si>
    <t>2014.7.21</t>
  </si>
  <si>
    <t>前人建</t>
  </si>
  <si>
    <t>人防易地建设费</t>
  </si>
  <si>
    <t>蓟县人民政府人民防空办公室</t>
  </si>
  <si>
    <t>2014.7.24</t>
  </si>
  <si>
    <t>前人档</t>
  </si>
  <si>
    <t>人防工程资料编制费</t>
  </si>
  <si>
    <t>天津市人防工程建设管理站</t>
  </si>
  <si>
    <t>前地</t>
  </si>
  <si>
    <t>地名标志费及地名公告费</t>
  </si>
  <si>
    <t>蓟县规划局</t>
  </si>
  <si>
    <t>前设审</t>
  </si>
  <si>
    <t>博御园施工图审查（一期）</t>
  </si>
  <si>
    <t>天津华苑建筑工程咨询有限公司</t>
  </si>
  <si>
    <t>2015.3.03</t>
  </si>
  <si>
    <t>一期施工图审查变更补充协议</t>
  </si>
  <si>
    <t>2015.3.27</t>
  </si>
  <si>
    <t>一期施工图审查（中部地下室变更）</t>
  </si>
  <si>
    <t>2015.7.6</t>
  </si>
  <si>
    <t>一期施工图审查（1.2.3.23#变更）</t>
  </si>
  <si>
    <r>
      <rPr>
        <sz val="10"/>
        <rFont val="Times New Roman"/>
        <family val="1"/>
      </rPr>
      <t>JXA-069</t>
    </r>
    <r>
      <rPr>
        <sz val="10"/>
        <rFont val="宋体"/>
        <family val="3"/>
        <charset val="134"/>
      </rPr>
      <t>（</t>
    </r>
    <r>
      <rPr>
        <sz val="10"/>
        <rFont val="Times New Roman"/>
        <family val="1"/>
      </rPr>
      <t>1</t>
    </r>
    <r>
      <rPr>
        <sz val="10"/>
        <rFont val="宋体"/>
        <family val="3"/>
        <charset val="134"/>
      </rPr>
      <t>）</t>
    </r>
  </si>
  <si>
    <t>基热工</t>
  </si>
  <si>
    <t>供热配套合同（工程建设费）</t>
  </si>
  <si>
    <t>天津市蓟县供热服务中心</t>
  </si>
  <si>
    <r>
      <rPr>
        <sz val="10"/>
        <rFont val="Times New Roman"/>
        <family val="1"/>
      </rPr>
      <t>JXA-069</t>
    </r>
    <r>
      <rPr>
        <sz val="10"/>
        <rFont val="宋体"/>
        <family val="3"/>
        <charset val="134"/>
      </rPr>
      <t>（</t>
    </r>
    <r>
      <rPr>
        <sz val="10"/>
        <rFont val="Times New Roman"/>
        <family val="1"/>
      </rPr>
      <t>2</t>
    </r>
    <r>
      <rPr>
        <sz val="10"/>
        <rFont val="宋体"/>
        <family val="3"/>
        <charset val="134"/>
      </rPr>
      <t>）</t>
    </r>
  </si>
  <si>
    <t>基热表</t>
  </si>
  <si>
    <t>供热配套合同（热计量装配费）</t>
  </si>
  <si>
    <t>2014.8.5</t>
  </si>
  <si>
    <t>基热内</t>
  </si>
  <si>
    <t>供用热协议书（二次管网）</t>
  </si>
  <si>
    <t>蓟县鑫泰物业管理有限公司</t>
  </si>
  <si>
    <t>2014.10.29</t>
  </si>
  <si>
    <t>基水用</t>
  </si>
  <si>
    <t>用水报告书技术服务合同</t>
  </si>
  <si>
    <t>天津市润野水资源开发技术咨询有限公司</t>
  </si>
  <si>
    <t>基水保</t>
  </si>
  <si>
    <t>水土保持方案报告书技术服务合同</t>
  </si>
  <si>
    <t>天津市蓟县水土保持技术咨询服务站</t>
  </si>
  <si>
    <t>建基</t>
  </si>
  <si>
    <t>示范区强夯工程合同</t>
  </si>
  <si>
    <t>天津华勘集团有限公司</t>
  </si>
  <si>
    <t xml:space="preserve">1  工程完工50％时甲方向乙方付总工程款的25％；
2  全部工程完工经验收合格后甲方向乙方付至总工程款的75％；
3  地基验收合格检测报告出具后，甲方向乙方付清结算工程款的95％：
4  留结算工程款的5％为工程质量保证金，竣工验收满一年后无息返还。
5  若乙方在施工中使用甲方水、电等费用，从工程款中扣除。
</t>
  </si>
  <si>
    <t>JXA-073B</t>
  </si>
  <si>
    <r>
      <rPr>
        <sz val="10"/>
        <rFont val="宋体"/>
        <family val="3"/>
        <charset val="134"/>
      </rPr>
      <t>201</t>
    </r>
    <r>
      <rPr>
        <sz val="10"/>
        <rFont val="宋体"/>
        <family val="3"/>
        <charset val="134"/>
      </rPr>
      <t>5</t>
    </r>
    <r>
      <rPr>
        <sz val="10"/>
        <rFont val="宋体"/>
        <family val="3"/>
        <charset val="134"/>
      </rPr>
      <t>.</t>
    </r>
    <r>
      <rPr>
        <sz val="10"/>
        <rFont val="宋体"/>
        <family val="3"/>
        <charset val="134"/>
      </rPr>
      <t>2</t>
    </r>
    <r>
      <rPr>
        <sz val="10"/>
        <rFont val="宋体"/>
        <family val="3"/>
        <charset val="134"/>
      </rPr>
      <t>.</t>
    </r>
    <r>
      <rPr>
        <sz val="10"/>
        <rFont val="宋体"/>
        <family val="3"/>
        <charset val="134"/>
      </rPr>
      <t>5</t>
    </r>
  </si>
  <si>
    <t>一期强夯工程补充合同</t>
  </si>
  <si>
    <t>基水地</t>
  </si>
  <si>
    <t>天津市蓟县节约用水事务管理中心</t>
  </si>
  <si>
    <t>基水补</t>
  </si>
  <si>
    <t>天津市蓟县水土保持检查监督站</t>
  </si>
  <si>
    <t>2014.8.4</t>
  </si>
  <si>
    <t>前环</t>
  </si>
  <si>
    <t>环境报告评估合同</t>
  </si>
  <si>
    <t>天津市环境工程评估中心</t>
  </si>
  <si>
    <t>2014.8.6</t>
  </si>
  <si>
    <t>前标担</t>
  </si>
  <si>
    <t>支付委托保证合同（一期）</t>
  </si>
  <si>
    <t>天津融诚挚信投资担保有限公司</t>
  </si>
  <si>
    <t>2014.8.9</t>
  </si>
  <si>
    <t>前泥</t>
  </si>
  <si>
    <t>水泥基金（一期）</t>
  </si>
  <si>
    <t>2014.8.11</t>
  </si>
  <si>
    <t>土配</t>
  </si>
  <si>
    <t>大配套费（一期）</t>
  </si>
  <si>
    <t>2014.9.3</t>
  </si>
  <si>
    <t>基气源</t>
  </si>
  <si>
    <t>气源发展费（一期）(蓟县另收）</t>
  </si>
  <si>
    <t>建设工程交易服务费（一期）</t>
  </si>
  <si>
    <t>工程监理交易服务费（全项目）</t>
  </si>
  <si>
    <t>物业招标服务费（全项目）</t>
  </si>
  <si>
    <t>天津市物业管理招标服务中心</t>
  </si>
  <si>
    <t>2014.8.8</t>
  </si>
  <si>
    <t>前临水</t>
  </si>
  <si>
    <t>临时水施工费</t>
  </si>
  <si>
    <t>蓟县自来水管理所</t>
  </si>
  <si>
    <t>JXA-085W</t>
  </si>
  <si>
    <t>2014.8.15</t>
  </si>
  <si>
    <t>前稳</t>
  </si>
  <si>
    <t>一标段稳定保证金（一期）</t>
  </si>
  <si>
    <t>JXA-086W</t>
  </si>
  <si>
    <t>前</t>
  </si>
  <si>
    <t>农民工资预储工资</t>
  </si>
  <si>
    <t>JXA-087W</t>
  </si>
  <si>
    <t>文明施工措施费</t>
  </si>
  <si>
    <t>前设网</t>
  </si>
  <si>
    <t>蓟县项目综合管网设计合同（方案）</t>
  </si>
  <si>
    <t>天津华厦建筑设计有限公司</t>
  </si>
  <si>
    <t>建安设备交易服务费（一期）蓟县收取</t>
  </si>
  <si>
    <t>2014.8.19</t>
  </si>
  <si>
    <t>区内外挡土墙及边坡支护设计合同</t>
  </si>
  <si>
    <t>2014.12.11</t>
  </si>
  <si>
    <t>智能化设计合同</t>
  </si>
  <si>
    <t>天津北方金誉科技发展有限公司</t>
  </si>
  <si>
    <t>设计人提交设计文件并通过后15天内，支付100%设计费。</t>
  </si>
  <si>
    <t>2014.9.18</t>
  </si>
  <si>
    <t>临水施工占路及修复费</t>
  </si>
  <si>
    <t>2014.8.28</t>
  </si>
  <si>
    <t>一期工程强夯检测（一期）</t>
  </si>
  <si>
    <t>天津市津海岩土工程有限责任公司</t>
  </si>
  <si>
    <t>全部成果报告提交后一周内一次性付清。</t>
  </si>
  <si>
    <t>JXA-094W</t>
  </si>
  <si>
    <t>临时用水水费（一期）</t>
  </si>
  <si>
    <t>2014.9.23</t>
  </si>
  <si>
    <t>前面</t>
  </si>
  <si>
    <t>前置面积测量（一期）</t>
  </si>
  <si>
    <t>天津市国土资源测绘和房屋测量中心</t>
  </si>
  <si>
    <t>领取前置测量测绘成果前需一次性付清</t>
  </si>
  <si>
    <t>2014.9.19</t>
  </si>
  <si>
    <t>前设</t>
  </si>
  <si>
    <t>北京米罗那装饰设计有限公司</t>
  </si>
  <si>
    <t>2014.11.5</t>
  </si>
  <si>
    <t>综合管网（给水、中水、雨水、污水配套工程设计）（施工图）</t>
  </si>
  <si>
    <t>天津华夏建筑设计有限公司</t>
  </si>
  <si>
    <t>（1）出图后7日内支付设计费的80%；（2）各专业管线施工完成，验收后7日内支付设计费的20%。</t>
  </si>
  <si>
    <t>JXA-098</t>
  </si>
  <si>
    <t>建主</t>
  </si>
  <si>
    <t>一期配电箱采购合同（含电表箱）</t>
  </si>
  <si>
    <t>天津市隆裕电器有限公司</t>
  </si>
  <si>
    <t>合同签订后5天内丙方提供合同额20%的履约保函（银行保函或企业保函），甲方收到丙方履约保函15天内付合同金额的20％作为预付款；货运至现场，经甲方及监理单位验收合格后，拨付合同价款（按每批实际供货数量计算）的50％；待全部工程竣工验收合格后支付至合同总价款的80%，完成结算后15天内，拨付至结算价款的95％；余款在设备投入正式使用贰年后的一个月内结清。</t>
  </si>
  <si>
    <t>2014.12.1</t>
  </si>
  <si>
    <t>建沉</t>
  </si>
  <si>
    <t>沉降观测合同</t>
  </si>
  <si>
    <t>天津市房屋质量安全鉴定检测中心</t>
  </si>
  <si>
    <t xml:space="preserve"> 乙方一期（56540.62m2）全部工程布点完毕后，甲方支付一期对应监测费的50%，即22616.2元；提供一期建筑物沉降监测技术总结报告后付清一期监测费余款，即22616.2元；乙方二、三期（47338.17m2）全部工程布点完毕后，甲方支付二、三期对应监测费的50%，即18935.3元；提供二、三期建筑物沉降监测技术总结报告后付清二、三期对应监测费余款，即18935.3元。</t>
  </si>
  <si>
    <t>物业招投标代理合同</t>
  </si>
  <si>
    <t>天津市晓波房地产物业管理有限公司</t>
  </si>
  <si>
    <t xml:space="preserve">第一期：甲方在签订本协议后七个工作日内向乙方支付费用70000 元（大写： 柒万元整 ）；
第二期：甲方招投标完毕并确定中标人且乙方向甲方移交全部相关资料后(中标通知书)，甲方向乙方支付费用70000 元（大写：柒万元整  ）； 
</t>
  </si>
  <si>
    <r>
      <rPr>
        <sz val="10"/>
        <rFont val="宋体"/>
        <family val="3"/>
        <charset val="134"/>
      </rPr>
      <t>201</t>
    </r>
    <r>
      <rPr>
        <sz val="10"/>
        <rFont val="宋体"/>
        <family val="3"/>
        <charset val="134"/>
      </rPr>
      <t>5</t>
    </r>
    <r>
      <rPr>
        <sz val="10"/>
        <rFont val="宋体"/>
        <family val="3"/>
        <charset val="134"/>
      </rPr>
      <t>.1.</t>
    </r>
    <r>
      <rPr>
        <sz val="10"/>
        <rFont val="宋体"/>
        <family val="3"/>
        <charset val="134"/>
      </rPr>
      <t>7</t>
    </r>
  </si>
  <si>
    <t>天津兰苑绿化工程有限公司</t>
  </si>
  <si>
    <t xml:space="preserve">1.2014年12月底前支付已完工程总产值的70%；
2.2015年开始按月支付各月已完产值的70%；
3.所有变更、签证不在产值付款中考虑；
4.工程移交资料，现场整理完毕、清理干净经甲方验收合格、甲丙双方结算完成、签订工程竣工结算文件并与甲方签订尾保和养管协议书后付至结算价款的90%；
5.质保、养护期满一年后15日，由甲方出具确认配合无误证明后15日内付至总款的95%；
6.工程质保及苗木养护期满（均为两年）后15日后无任何质量问题付清余款。
7.质保期自工程竣工验收合格、资料交齐之日起算。
</t>
  </si>
  <si>
    <t>总包一期工程</t>
  </si>
  <si>
    <t>天津泉州建设工程集团有限公司</t>
  </si>
  <si>
    <t>JXA-103</t>
  </si>
  <si>
    <t>一期断桥铝合金门窗安装</t>
  </si>
  <si>
    <t>天津江胜建筑工程有限公司</t>
  </si>
  <si>
    <t>A、第一标段（25#--42#及附属用房楼）：面积共计：3680.4㎡，合同总额为人民币：  ￥2774581元整（大写：贰佰柒拾柒万肆仟伍佰捌拾壹元整），付款如下：
1. 签订合同后14工作日，甲方向乙方支付本标段合同价款10％，人民币277458元（大写：贰拾柒万柒仟肆佰伍拾捌元整）作为预付款，同时乙方向甲方提供等额的预付款保函（企业保函）。
2. 门窗框扇安装完成50%，经甲方及监理单位验收合格后，拨付该标段合同价款的20％，人民币554916元（大写：伍拾伍万肆仟玖佰壹拾陆元整）给乙方；
3. 门窗框扇安装完成，打胶封口完毕后，经甲方及监理单位验收合格后，拨付该标段合同价款的45％，人民币1248561元（大写：壹佰贰拾肆万捌仟伍佰陆拾壹元整）给乙方；
4. 总包整体竣工验收合格后7日内，拨付该标段合同价款的5%，人民币138729元（大写：壹拾叁万捌仟柒佰贰拾玖元整）给乙方；
5. 工程全部验收合格且按土建洞口尺寸结算完成后14天内，拨付至结算价款的95％；
6. 余款在工程整体竣工一年后视工程保修情况结清。
B、第二标段（12#--24#楼）：面积共计：3250.5㎡，合同总额为人民币：￥2450488元整（大写：贰佰肆拾伍万零肆佰捌拾捌元整），付款如下：
1. 进场前30日甲方向乙方发放生产通知单，乙方接到通知单后开始生产，甲方向乙方支付本标段合同价款10％，人民币245049元（大写：贰拾肆万伍仟零肆拾玖元整）作为预付款。
2. 门窗框扇安装完成50%，经甲方及监理单位验收合格后，拨付该标段合同价款的20％，人民币490098元（大写：肆拾玖万零玖拾捌元整）25％给乙方；
3. 门窗框扇安装完成，打胶完毕后，经甲方及监理单位验收合格后，拨付该标段合同价款的45％，人民币1102720元（大写：壹佰壹拾万零贰仟柒佰贰拾元整）给乙方；
4. 总包整体竣工验收合格后7日内，拨付该标段合同价款的5%，人民币122524元（大写：壹拾贰万贰仟伍佰贰拾肆元整）给乙方；
5. 工程全部验收合格且按土建洞口尺寸结算完成后14天内，拨付至结算价款的95％；
6. 余款在工程整体竣工一年后视工程保修情况结清。
C、第三标段（1#--11#楼）：面积共计：2090.94㎡，合同总额为人民币：￥1576318元整（大写：壹佰伍拾柒万陆仟叁佰壹拾捌元整），付款如下：
1. 进场前30日甲方向乙方发放生产通知单，乙方接到通知单后开始生产，甲方向乙方支付本标段合同价款10％，人民币157632元（大写：壹拾伍万柒仟陆佰叁拾贰元整）。
2. 门窗框扇安装完成50%，经甲方及监理单位验收合格后，拨付该标段合同价款的45％，人民币709343元（大写：柒拾万零玖仟叁佰肆拾叁元整）给乙方；
3. 门窗工程全部完成后，再拨付该标段合同价款的20％，人民币315264元（大写：叁拾壹万伍仟贰佰陆拾肆元整）给乙方；
4. 总包整体竣工验收合格后7日内，拨付该标段合同价款的5%，人民币78816元（大写：柒万捌仟捌佰壹拾陆元整）给乙方；
5. 工程全部验收合格且按土建洞口尺寸结算完成后14天内，拨付至结算价款的95％；
6. 余款在工程整体竣工一年后视工程保修情况结清。</t>
  </si>
  <si>
    <t>JXA-104</t>
  </si>
  <si>
    <t>基中工</t>
  </si>
  <si>
    <t>一期中水配套工程</t>
  </si>
  <si>
    <t>合同签订后付40万，示范区通水付50万，余款416534元于下一期进场施工前一次性付清。</t>
  </si>
  <si>
    <t>2015.3.31</t>
  </si>
  <si>
    <t>基中水</t>
  </si>
  <si>
    <t>一期自来水配套工程</t>
  </si>
  <si>
    <t>示范区进场前付65万元</t>
  </si>
  <si>
    <t>2015.4.28</t>
  </si>
  <si>
    <t>基视</t>
  </si>
  <si>
    <t>政务网IP电视及宽带接入协议</t>
  </si>
  <si>
    <t>天津新众影视传媒有限公司</t>
  </si>
  <si>
    <t>售楼处中央空调安装合同</t>
  </si>
  <si>
    <t>天津荣润世纪科技有限公司</t>
  </si>
  <si>
    <t xml:space="preserve">（1）全部室内机及主要材料送至现场后，甲方支付丙方合同总价的40％，即人民币180245.00元（大写：壹拾捌万零贰佰肆拾伍元整）。
（2）全部设备安装完毕验收合格后七日内，甲方支付合同总价的55％，即人民币247836.00元（大写：贰拾肆万柒仟捌佰叁拾陆元整）。
（3）尾款：合同总价的5%作为质量保证金，在质保期满后七日内付清（保质期为贰年）即人民币22531元（大写：贰万贰仟伍佰叁拾壹元整）。
</t>
  </si>
  <si>
    <t>2015.4.23</t>
  </si>
  <si>
    <t>示范区景观</t>
  </si>
  <si>
    <t>天津兰苑园林绿化工程有限公司</t>
  </si>
  <si>
    <t xml:space="preserve">3.3.1.完成以下工程节点，经甲方及监理验收合格后10日内，甲方向乙方支付合同总价款的30％，即¥2849584.00元，（大写：人民币贰佰捌拾肆万玖仟伍佰捌拾肆元整）：
3.3.1.1.水系防水、泊岸、堆砌等完成80％；
3.3.1.2.路床结构完成80％；
3.3.1.3.小品（包括：喷泉、廊架、涌泉等构筑物）结构完成50％；
3.3.1.4.地形堆砌完成60％；
3.3.2.全部工程完工，经甲方、监理验收合格后一个月，甲方向乙方支付合同总价款的20％，即¥1899723.00元，（大写：人民币壹佰捌拾玖万玖仟柒佰贰拾叁元整）；
3.3.3.全部工程完工，经甲方、监理验收合格后三个月，甲方向乙方支付合同总价款的30％，即¥2849584.00元，（大写：人民币贰佰捌拾肆万玖仟伍佰捌拾肆元整）；
3.3.4.全部工程完工，经甲方、监理验收合格一年后，甲方向乙方支付至结算总价款的90％；
3.3.5.工程质保及苗木养护期满（均为两年）后15日后无任何质量问题付清余款。质保期自工程竣工验收合格、备案资料交齐之日起算。
</t>
  </si>
  <si>
    <t>2015.5.14</t>
  </si>
  <si>
    <t>基气工</t>
  </si>
  <si>
    <t>一期燃气配套工程</t>
  </si>
  <si>
    <t>津燃润燃气有限公司</t>
  </si>
  <si>
    <t>（1）签订合同后，付10%；（2）施工前付60%；（3）工程竣工乙方出具配套准许交付使用证前，支付30%。</t>
  </si>
  <si>
    <t>JXA-110</t>
  </si>
  <si>
    <t>一期保温涂料线条线角</t>
  </si>
  <si>
    <t>天津万通达建筑工程有限公司</t>
  </si>
  <si>
    <t xml:space="preserve">（一）一标段（30—38#、40#-41#、配电站 共12个栋号）：
1. 2015年4月，甲方向乙方支付一标段总价的20％作为预付款，支付二、三、四标段总价5%（即：¥1705504.00元，大写：人民币壹佰柒拾万伍仟伍佰零肆元整）作为定金，锁定所有价格，同时乙方提供等额的预付款保函（企业保函），该企业保函待结算完成作废；
2. 一标段工程全部完工（含施工洞口），经甲方及监理验收合格，资料上交齐全后20日内付至合同价的75%（即：¥2111152.00元，大写：人民币贰佰壹拾壹万壹仟壹佰伍拾贰元整）；
（二）二标段（12--29#  共18个楼）：
1. 二标段开工前一个月甲方向乙方支付该标段总价的15％（即：¥1637707.00元，大写：人民币壹佰陆拾叁万柒仟柒佰零柒元整）作为预付款，同时乙方提供等额的预付款企业保函（一级资质企业）；
2. 二标段工程全部完工（含施工洞口），经甲方及监理验收合格，资料上交齐全后20日内付至合同价的75%（即：¥6004926.00元，大写：人民币陆佰万肆仟玖佰贰拾陆元整）；
（三）三标段（1--11#   共11个楼）：
1. 三标段开工前一个月甲方向乙方支付该标段总价的15％（即：¥978576.00元，大写：人民币玖拾柒万捌仟伍佰柒拾陆元整）作为预付款，同时乙方提供等额的预付款企业保函（一级资质企业）；
2. 三标段工程全部完工（含施工洞口），经甲方及监理验收合格，资料上交齐全后20日内付至合同价的75%（即：¥3588111.00元，大写：人民币叁佰伍拾捌万捌仟壹佰壹拾壹元整）；
（四）四标段（39#、42# 共2个楼）：
1. 四标段开工前一个月甲方向乙方支付该标段总价的15％（即：¥197152.00元，大写：人民币壹拾玖万柒仟壹佰伍拾贰元整）作为预付款，同时乙方提供等额的预付款企业保函（一级资质企业）；
2. 四标段工程全部完工（含施工洞口），经甲方及监理验收合格，资料上交齐全后20日内付至合同价的75%（即：¥722894.00元，大写：人民币柒拾贰万贰仟捌佰玖拾肆元整）；
（五）工程竣工备案验收合格、办理完成结算手续，经结算审核完成30天内付至决算价的90％；
（六）在工程竣工备案完成后，保修期满一年无质量问题后20日内，支付至结算造价的95%；
（七）在工程竣工备案完成后，保修期满两年无质量问题后20日内，付清全款。
</t>
  </si>
  <si>
    <t>联排样板间中央空调安装合同</t>
  </si>
  <si>
    <t xml:space="preserve">（1）全部室内机及主要材料送至现场后，甲方支付丙方合同总价的40％，即人民币31834.00元（大写：叁万壹仟捌佰叁拾肆元整）。
（2）全部设备安装完毕验收合格后七日内，甲方支付合同总价的55％，即人民币43771.00元（大写：肆万叁仟柒佰柒拾壹元整）。
（3）尾款：合同总价的5%作为质量保证金，在质保期满后七日内付清（保质期为贰年）即人民币3979元（大写：叁仟玖佰柒拾玖元整）。
</t>
  </si>
  <si>
    <t>2015.4.17</t>
  </si>
  <si>
    <t>基排工</t>
  </si>
  <si>
    <t>一期排水配套工程</t>
  </si>
  <si>
    <t>应先期缴纳899986元，剩余款项根据工程进度分期缴清</t>
  </si>
  <si>
    <t>二、三期图审合同</t>
  </si>
  <si>
    <t>2015.5.6</t>
  </si>
  <si>
    <t>一期排水配套工程挖土方</t>
  </si>
  <si>
    <t>天津聚宝龙投资有限公司</t>
  </si>
  <si>
    <t>示范区施工进场前付7万，示范区之外施工进场前付10万。</t>
  </si>
  <si>
    <t>弱电综合管网工程</t>
  </si>
  <si>
    <t>天津市玉宇建筑工程有限公司</t>
  </si>
  <si>
    <t>工程分三期进行，分别为一期（示范区）31-42号楼，二期为1-30号楼及公建地库，三期为43-72号楼。一期（示范区）完工后，甲方支付合同总价的20%；二期完工后支付合同总价的35%；三期完工后支付合同总价的30%；待工程全部完工、验收合格且结算完成后支付至结算总价的95%；余款5%作为质量保证金，贰年后付清。</t>
  </si>
  <si>
    <t>JXA-116</t>
  </si>
  <si>
    <t>外檐石材一体板及保温（一期）</t>
  </si>
  <si>
    <t>山东华德隆建设有限公司</t>
  </si>
  <si>
    <t>2015.5.10</t>
  </si>
  <si>
    <t>前置测量购买本册费（一期）</t>
  </si>
  <si>
    <t>JXA-118</t>
  </si>
  <si>
    <t>2015.5.22</t>
  </si>
  <si>
    <t>售楼处样板间精装修工程</t>
  </si>
  <si>
    <t>天津磊德建筑装饰工程有限公司</t>
  </si>
  <si>
    <t xml:space="preserve">1.本工程无预付款；
2.施工过程中不考虑支付工程款；
3.工程完工，经过甲方、监理共同验收合格后3日内，甲方向乙方支付至合同总价款的50％，即：¥1880397元，（大写：人民币壹佰捌拾捌万零叁佰玖拾柒元整）；
4.工程完工，经过甲方、监理共同验收合格后3个月后3日内，甲方向乙方支付至合同总价款的85％，即：¥1316278元，（大写：人民币壹佰叁拾壹万陆仟贰佰柒拾捌元整）；
5.工程验收合格并结算完毕后一个月内，甲方向乙方支付至结算价款的95％；
6.余款5％作为质保金，视维修情况予以拨款：若质保期内甲方售后部门通知维修，乙方累计三次未予以维修，甲方有权扣除乙方所有质保款作为维修款；若乙方能够履行及时维修义务，工程竣工验收合格2年（质保期满）后10日内一次性付清。
</t>
  </si>
  <si>
    <t>一期供热二次网工程土方挖填</t>
  </si>
  <si>
    <t>示范区施工进场前付7万，示范区之外施工进场前付13万。</t>
  </si>
  <si>
    <t>2015.5.29</t>
  </si>
  <si>
    <t>示范区智能化工程</t>
  </si>
  <si>
    <t xml:space="preserve">1. 全部智能化工程完工且验收合格，支付合同总额的70%；计￥359100元（大写：叁拾伍万玖仟壹佰元整）。
2. 待工程竣工且完成结算后一个月内支付到结算价款的95%；
3. 结算款额的5%作为本项目的保修款，保修期两年，保修期满后甲方一次无息支付乙方扣除必要的保修费用后的剩余款额，保修期为从竣工验收合格之日开始计算。
</t>
  </si>
  <si>
    <t>JXA-121</t>
  </si>
  <si>
    <t>2015.5.11</t>
  </si>
  <si>
    <t>售楼处、样板间钢结构工程</t>
  </si>
  <si>
    <t>天津博斯特膜装饰工程有限公司</t>
  </si>
  <si>
    <t xml:space="preserve">1) 合同签订后10日内甲方向乙方支付10万元（大写：拾万元整）作为预付款；
2) 竣工验收完成后10日内甲方向乙方支付至合同总造价的90%，即：¥214712元（大写：人民币贰拾壹万肆仟柒佰壹拾贰元整）；
3) 全部工程通过竣工验收合格并结算完成后7个工作日内，甲方向乙方支付至结算价款的95%；
4) 剩余5%为质保金（质保期两年），甲方于乙方竣工验收合格2年后15个工作日内（不计利息）向乙方付清质保金，但应扣除在保修期期间内发生的由甲方先行支付的有关维修费用。
</t>
  </si>
  <si>
    <t>2015.6.18</t>
  </si>
  <si>
    <t>建环</t>
  </si>
  <si>
    <t>示范区围墙（示范区部分大区及小院围墙）</t>
  </si>
  <si>
    <t xml:space="preserve">3.3.1.整体工程量完成50%，经甲方及监理验收合格后10日内，甲方向乙方支付合同总价款的30％，即¥339488.00元，（大写：人民币叁拾叁万玖仟肆佰捌拾捌元整）：
3.3.2.全部工程完工，经甲方、监理验收合格后一个月，甲方向乙方支付合同总价款的20％，即¥226328.00元，（大写：人民币贰拾贰万陆仟叁佰贰拾捌元整）；
3.3.3.全部工程完工，经甲方、监理验收合格后三个月，甲方向乙方支付合同总价款的30％，即¥339491.00元，（大写：人民币叁拾叁万玖仟肆佰玖拾壹元整）；
3.3.4.全部工程完工，经甲方、监理验收合格一年后，甲方向乙方支付至结算总价款的90％；
3.3.5.工程质保（为两年）后15日后无任何质量问题付清余款。质保期自工程竣工验收合格、备案资料交齐之日起算。
</t>
  </si>
  <si>
    <t>JXA-123</t>
  </si>
  <si>
    <t>2015.6.24</t>
  </si>
  <si>
    <t>三期放、验线报告</t>
  </si>
  <si>
    <t>JXA-124</t>
  </si>
  <si>
    <t>一期入户门采购安装合同</t>
  </si>
  <si>
    <t>黑龙江龙业木业有限责任公司</t>
  </si>
  <si>
    <t xml:space="preserve">1. 以30#~38#、40#、41#楼作为示范区标段，1#~29#、39#、42#楼作为一个标段，按标段进行工程款支付；
2. 30#~38#、40#、41#楼示范区标段：
1) 门数量：81樘，共计：¥401125.00元
2) 合同签订，甲方支付本标段工程造价的20%作为预付款，即：¥80225.00元（大写：人民币捌万零贰佰贰拾伍元整），同时乙方提供具备一级担保资质的担保单位提供的等额的预付款保函（企业保函）；
3) 本标段门全部安装完毕，经验收合格后15日内，甲方向乙方支付本标段合同额的50%，即：¥200563.00元（大写：人民币贰拾万零伍佰陆拾叁元整）；
3. 1#~29#、39#、42#楼标段：
1) 门数量：344樘，共计：1373572.00元
2) 该标的门进场前2个月支付本标段工程造价的20%作为预付款，即：¥274714.00元（大写：人民币贰拾柒万肆仟柒佰壹拾肆元整），同时乙方提供具备一级担保资质的担保单位提供的等额的预付款保函（企业保函）
3) 所有门全部安装完毕，经验收合格后15日内，甲方向乙方支付本标段合同额的50%，即：¥686786.00元（大写：人民币陆拾捌万陆仟柒佰捌拾陆元整）；
4. 全部工程通过竣工验收合格后15日内，甲方向乙方支付合同价款的90%，即：¥354939.00元（大写：人民币叁拾伍万肆仟玖佰叁拾玖元整）；
5. 甲乙双方完成办理结算手续后15日内，甲方向乙方支付合同价款的95%；
6. 剩余5%为一年质保金。甲方于乙方提供齐全的付款资料（出具的保修合格证明、相应金额的发票、请款说明等）15个工作日内支付乙方（不计利息），但应扣除在保修期期间内发生的由甲方先行支付的有关维修费用。
6. 每次付款时乙方需向甲方提供等额的正式增值税发票。
7. 乙方不得因任何原因延误供货和安装时间，否则应承担因延误给甲方及第三方带来的损失，按3‰/天记取。
</t>
  </si>
  <si>
    <t>2015.6.30</t>
  </si>
  <si>
    <t>前销</t>
  </si>
  <si>
    <t>商品房预售登记费（一期143套）</t>
  </si>
  <si>
    <t>销许公告费（一期22个楼的）</t>
  </si>
  <si>
    <t>天津蓝狮广告传播有限公司</t>
  </si>
  <si>
    <t>排水市政接口</t>
  </si>
  <si>
    <t>天津力恒市政工程有限公司</t>
  </si>
  <si>
    <t>示范区夜景照明</t>
  </si>
  <si>
    <t>天津鑫润达建筑工程有限公司</t>
  </si>
  <si>
    <t xml:space="preserve">1、按照工程进度支付工程款：工程完成60%，支付合同总额的40%，计人民币85380.00元（大写： 捌万伍仟叁佰捌拾 元）；全部夜景照明工程完工且验收合格，支付合同总额的40%；计人民币85380.00元（大写： 捌万伍仟叁佰捌拾 元）。
2、待工程竣工且完成结算后一个月内支付到结算价款的95%；结算款额的5%作为本项目的保修款，保修期两年，保修期满后甲方一次无息支付乙方扣除必要的保修费用后的剩余款额，保修期为从竣工验收合格之日开始计算。
</t>
  </si>
  <si>
    <t>JXA-129</t>
  </si>
  <si>
    <t>一期入户门感应密码锁采购安装</t>
  </si>
  <si>
    <t>广东坚朗五金制品股份有限公司</t>
  </si>
  <si>
    <t>5.1本合同工程预付款为合同价的20%，即50065元，大写伍万零陆拾伍元整。甲乙双方合同签订之日起15个工作日内甲方支付给乙方，同时乙方向甲方提供甲方认可之有担保资质的担保公司开具的等额企业保函作为预付款保函。
5.2感应密码锁正式插芯到场后，30日内甲方向乙方支付到该标段合同总额的50%；。
5.3感应密码锁送达甲方指定地点、甲方验收合格后30日内，甲方向乙方支付该标段的货款额达到本合同总货款80% ；分批供货的，分批送达甲方指定地点、甲方验收合格后30日内，甲方向乙方支付的货款额达到该批货款的80%后开始安装；
5.4感应密码锁安装完毕、甲乙双方验收合格之日起7日内甲方向乙方支付的货款额达到该标段合同总额的95%
5.5工程质保金为本合同总额的5%，质保期自该标段感应密码锁安装验收之日起两年，两年后7日内甲方向乙方付清全部余款。
5.6乙方需在甲方每笔付款前向甲方提供等额增值税务发票，乙方的发票不作为甲方已经向乙方支付货款的凭证，甲方向乙方账户汇款或开具支票的凭证与发票一起印证，作为向乙方支付了货款证据。</t>
  </si>
  <si>
    <t>房屋转让手续费（一期22个楼）产权登记</t>
  </si>
  <si>
    <t>蓟县房地产管理局</t>
  </si>
  <si>
    <t>JXA-131</t>
  </si>
  <si>
    <t>2015.8.17</t>
  </si>
  <si>
    <t>大门入口外檐装饰</t>
  </si>
  <si>
    <t xml:space="preserve">1. 本工程无预付款；
2. 施工过程中不考虑支付工程款；
3. 工程验收合格后，乙方提供给甲方完善的工程竣工备案资料中乙方需提供的文件，经甲方及相关职能部门验收合格，乙方提供给甲方有管辖权的相关政府部门的验收合格证明等文件、结算资料并经甲方确认，办理完毕结算手续后 30 个工作日内，甲方向乙方支付至结算价款的95％；即：¥ 531684元，（大写：人民币伍拾叁万壹仟陆佰捌拾肆元整）；
4. 余款5％作为质保金，视维修情况予以拨款：若质保期内甲方售后部门通知维修，乙方累计三次未予以维修，甲方有权扣除乙方所有质保款作为维修款；若乙方能够履行及时维修义务，工程竣工验收合格1年（质保期满）后15日内一次性付清。在工程竣工备案完成后开始计算质保期。
5. 乙方应按照甲方要求提供工程所在地区等额有效财务发票，否则因此所造成的付款延误等相应责任，由乙方自行承担。
6. 工程进度款与质量挂钩，若所报工程的质量达不到验收规范要求，甲方有权暂缓支付该部分工程款。
</t>
  </si>
  <si>
    <t>JXA-132</t>
  </si>
  <si>
    <t>2015.8.7</t>
  </si>
  <si>
    <t>33#楼公共部位精装修、门卫精装修</t>
  </si>
  <si>
    <t>天津市三鼎建筑工程有限公司</t>
  </si>
  <si>
    <t xml:space="preserve">1. 本工程无预付款；
2. 施工过程中不考虑支付工程款；
3. 工程完工，经过甲方、监理共同验收合格后30日内，甲方向乙方支付至合同总价款的50％，即：¥74507元，（大写：人民币柒万肆仟伍佰零柒元整）；
4. 该工程部位验收合格后，乙方提供给甲方完善的工程竣工备案资料中乙方需提供的文件，经甲方及监理方验收合格后，办理完毕结算手续后 30 个工作日内，甲方向乙方支付至结算价款的95％；即：¥67056元，（大写：人民币陆万柒仟零伍拾陆元整）；
5. 余款5％作为质保金，视维修情况予以拨款：若质保期内甲方售后部门通知维修，乙方累计三次未予以维修，甲方有权扣除乙方所有质保款作为维修款；若乙方能够履行及时维修义务，工程竣工验收合格2年（质保期满）后10日内一次性付清。
</t>
  </si>
  <si>
    <t>基水</t>
  </si>
  <si>
    <t>一期中水、自来水配套工程（含中水一次网，中水、自来水二次网，中水、自来水水表，室外消火栓、消防防险准备金）</t>
  </si>
  <si>
    <t>示范区进场前支付240万元，小区一期进场前支付余下330万元。</t>
  </si>
  <si>
    <t>2015.8.6</t>
  </si>
  <si>
    <t>前消档</t>
  </si>
  <si>
    <t>二期消防缩微费</t>
  </si>
  <si>
    <t>天津汉龙思琪科技发展有限公司</t>
  </si>
  <si>
    <t>JXA-135</t>
  </si>
  <si>
    <t>2015.8.11</t>
  </si>
  <si>
    <t>33#楼宇门及样板单元首层楼梯间户门采购安装</t>
  </si>
  <si>
    <t>浙江福日工贸有限公司</t>
  </si>
  <si>
    <t xml:space="preserve">1) 所有门全部到场，经甲方、监理验收合格后、甲乙双方完成办理结算手续后15日内，甲方向乙方支付合同价款的95%；
2) 剩余5%为一年质保金。甲方于乙方提供齐全的付款资料（出具的保修合格证明、相应金额的发票、请款说明等）15个工作日内支付乙方（不计利息），但应扣除在保修期期间内发生的由甲方先行支付的有关维修费用。
</t>
  </si>
  <si>
    <t>JXA-136</t>
  </si>
  <si>
    <t>2015.8.12</t>
  </si>
  <si>
    <t>33#楼空调铁艺护栏</t>
  </si>
  <si>
    <t>天津德须泰钢结构工程有限公司</t>
  </si>
  <si>
    <t xml:space="preserve">1. 乙方全部安装完成，经甲方、监理验收合格后、乙方办完结算手续后15天内，甲方支付合同价款的95%给乙方，即：11623 元；
2. 余款在工程竣工一年后视工程保修情况结清，即：612元。
</t>
  </si>
  <si>
    <t>2015.9.6</t>
  </si>
  <si>
    <t>施工图优化技术服务合同</t>
  </si>
  <si>
    <t>天津滨海旺辉工程咨询有限公司</t>
  </si>
  <si>
    <t>1）优化成果经甲方、设计院共同认可并出具正式变更图纸（单）后，乙方根据变更图纸（单）完成提成金额计算，甲乙双方完成核对后，甲方向乙方支付至审减提成金额的80%。2）施工图优化成果确认后30日内，甲方向乙方支付剩余应付提成金额。</t>
  </si>
  <si>
    <t>2015.8.25</t>
  </si>
  <si>
    <t>景观（界外地、示范区、小院围墙）招标交易服务费</t>
  </si>
  <si>
    <t>2015.10.8</t>
  </si>
  <si>
    <t>销许公告费（一期6个楼的）</t>
  </si>
  <si>
    <t>2015.10.12</t>
  </si>
  <si>
    <t>预售登记费(一期72套）</t>
  </si>
  <si>
    <t>2015.11.17</t>
  </si>
  <si>
    <t>二、三期墙改费</t>
  </si>
  <si>
    <t>天津市蓟县墙体材料改革领导小组办公室</t>
  </si>
  <si>
    <t>2015.11.24</t>
  </si>
  <si>
    <t>招标代理费（界外地、示范区园林）</t>
  </si>
  <si>
    <t>一次性支付</t>
  </si>
  <si>
    <t>2015.11.14</t>
  </si>
  <si>
    <t>现场监控设备采购安装</t>
  </si>
  <si>
    <t>天津森炎电子产品有限公司</t>
  </si>
  <si>
    <t>签订合同后3日内预付30%，货到现场安装调试完毕，所有设备使用无质量问题，验收合格后支付60%，自验收合格之日起5个工作日内付10%。</t>
  </si>
  <si>
    <t>2015.12.31</t>
  </si>
  <si>
    <t>建桩</t>
  </si>
  <si>
    <t>三期桩基工程</t>
  </si>
  <si>
    <t>天津亿鑫市政建设有限公司</t>
  </si>
  <si>
    <t xml:space="preserve">6.1.1钻孔灌注桩完成50％工程量时支付合同价款的20% 。
6.1.2全部工程完成，乙方通过甲方组织的验收工作，乙方办理完工程交接手续及竣工资料移交手续后15天内向甲方递交合格竣工结算报告及完整的结算资料，结算资料必须符合甲方审核要求且资料齐全后支付合同价款的40% 。
6.1.3全部工程完成且结算完成办理完毕结算手续二个月10日内支付至该项工程总价款的95％。
6.1.4项目地上工程全部竣工验收后满一年后付清该项工程总价款的5%（本金不计息）。    
</t>
  </si>
  <si>
    <t>2016.2.3</t>
  </si>
  <si>
    <t>东侧挡土墙</t>
  </si>
  <si>
    <t xml:space="preserve">（1） 博御园东侧挡土墙图示第3点至第10点施工完成后，待甲方验收合格后30日内支付已完成工程的70%工程款。
（2） 博御园东侧挡土墙图示第10点至第16点施工完成后，待甲方验收合格后30日内支付已完成工程的70%工程款。
（3） 博御园东侧挡土墙图示第17点至第22点施工完成后，待甲方验收合格后30日内支付已完成工程的70%工程款。
（4） 工程验收合格，乙方办理完工程交接手续及竣工资料移交手续，乙方向甲方递交合格竣工结算报告及完整的结算资料，结算资料必须符合甲方审核要求，工程结算完成后45日内支付至结算价款的95% 。
（5） 质保期满两年后30日内支付结算总价的5% （本金不计息）。
</t>
  </si>
  <si>
    <t>2016.3.23</t>
  </si>
  <si>
    <t>二期总包工程</t>
  </si>
  <si>
    <t>江苏南通三建集团有限公司</t>
  </si>
  <si>
    <t xml:space="preserve">2.1二期工程主体封顶后10日内，支付进度总产值的70%；
2.2二期主体验收完10日内，支付至进度产值的70%；
2.3二期竣工验收合格后10日内，支付至进度产值的80%；
2.4甲乙双方结算完成、签订工程竣工结算文件，结算具备备案条件（若乙方不配合结算，视为乙方自动放弃后续尾款，如由于甲方原因导致乙方不能按期完成结算工作的除外）甲方收到规定份数的、齐全且符合市城建档案馆要求的施工文件、竣工图、竣工验收文件及工程备案文件、文明施工费支付证明；未拖欠工程款证明、民工加盖手印的民工工资发放明细单、工程质量保修书及钥匙，由乙方填写工程移交资料后并交给甲方工程部，经甲方及相关档案资料管理部门验收合格后，视为工程移交完毕，与客服中心和物业公司签订尾保协议书（签订本协议书同时签订），上述条件全部具备后付至总造价的95％（如有甲供材料，需100％扣除）。
2.5质保金为工程总造价的5％，按质保期（防水5年，其余两年）到期后无质量问题的前提下支付，防水工程质保期（5年）到期后无质量问题的前提下支付防水质保金给乙方。
</t>
  </si>
  <si>
    <t>三期总包工程</t>
  </si>
  <si>
    <t xml:space="preserve">15.1.2.付款按以下三个标段为批次：
1、三期一标段：43#、44#、45#、46#、57#、58#、67#、68#楼
三期二标段：47-49#、52-56#、59#、60#、65#、66#、69#、70#楼
三期三标段：50#、51#、61-64#、71#、72#楼
2、付款节点：
2.1各标段工程主体封顶后10日内，支付进度总产值的70%；
2.2各标段主体验收完10日内，支付至进度产值的70%；
2.3竣工验收合格后10日内，支付至进度产值的80%；
2.4甲乙双方结算完成、签订工程竣工结算文件，结算具备备案条件（若乙方不配合结算，视为乙方自动放弃后续尾款，如由于甲方原因导致乙方不能按期完成结算工作的除外）甲方收到规定份数的、齐全且符合市城建档案馆要求的施工文件、竣工图、竣工验收文件及工程备案文件、文明施工费支付证明；未拖欠工程款证明、民工加盖手印的民工工资发放明细单、工程质量保修书及钥匙，由乙方填写工程移交资料后并交给甲方工程部，经甲方及相关档案资料管理部门验收合格后，视为工程移交完毕，与客服中心和物业公司签订尾保协议书（签订本协议书同时签订），上述条件全部具备后付至总造价的95％（如有甲供材料，需100％扣除）。
2.5质保金为工程总造价的5％，按质保期（防水5年，其余两年）到期后无质量问题的前提下支付，防水工程质保期（5年）到期后无质量问题的前提下支付防水质保金给乙方。
</t>
  </si>
  <si>
    <t>2015.12.3</t>
  </si>
  <si>
    <t>现场扬尘监测设备</t>
  </si>
  <si>
    <t>天津同阳科技发展有限公司</t>
  </si>
  <si>
    <t>甲方付款后乙方供货</t>
  </si>
  <si>
    <t>2015.12.14</t>
  </si>
  <si>
    <t>现场监控组网服务</t>
  </si>
  <si>
    <t>中国联合网络通信有限公司天津分公司</t>
  </si>
  <si>
    <t>一次性缴纳费用后，乙方进行网络施工安装。</t>
  </si>
  <si>
    <t>2015.12.17</t>
  </si>
  <si>
    <t>（二期）造价咨询合同</t>
  </si>
  <si>
    <t>天津建工工程管理有限公司</t>
  </si>
  <si>
    <t xml:space="preserve">咨询方提供预算书及清单标底标的文件并经委托方抽验合格确认无误并与施工单位核对完毕，提供双方认定的成果文件后15日内支付至咨询费的50％；工程竣工后，咨询方递交所有第三方的工程最终结算书，经双方盖章确认后，付至咨询费的90%；咨询结果提供后6个月后15日内，不出现任何争议支付至咨询费的100％。 </t>
  </si>
  <si>
    <t>房屋转让手续费（一期6个楼）产权登记</t>
  </si>
  <si>
    <t>销许公告费（一期2个证、10个楼）</t>
  </si>
  <si>
    <t>领取销售许可证前一次性付款</t>
  </si>
  <si>
    <t>商品房预售登记费（一期106套）</t>
  </si>
  <si>
    <t>地形图测绘费（一期）</t>
  </si>
  <si>
    <t>领取项目位置图前一次性付款</t>
  </si>
  <si>
    <t>建桩检</t>
  </si>
  <si>
    <t>三期桩基检测</t>
  </si>
  <si>
    <t xml:space="preserve">全部成果报告提交后甲方无异议后一次性支付到合同总价的100%
</t>
  </si>
  <si>
    <t>以上为截止2015年底合同</t>
  </si>
  <si>
    <t>二期强夯检测</t>
  </si>
  <si>
    <t xml:space="preserve">全部成果报告提交后甲方无异议后一次性支付到合同总价的101%
</t>
  </si>
  <si>
    <t>2016.1.18</t>
  </si>
  <si>
    <t>三期桩基测绘费</t>
  </si>
  <si>
    <t>领取测绘成果后一次性付款</t>
  </si>
  <si>
    <t>房屋转让手续费（一期10个楼）</t>
  </si>
  <si>
    <t>2016.2.26</t>
  </si>
  <si>
    <t>（三期）小配套费</t>
  </si>
  <si>
    <t>（三期）招标交易服务费</t>
  </si>
  <si>
    <t>（二期）招标交易服务费</t>
  </si>
  <si>
    <t>（二、三期）水泥专项基金</t>
  </si>
  <si>
    <t>（三期）气源发展费</t>
  </si>
  <si>
    <t>JXA-163W</t>
  </si>
  <si>
    <t>（二、三期）大配套费</t>
  </si>
  <si>
    <t>JXA-165</t>
  </si>
  <si>
    <t>2016.3.8</t>
  </si>
  <si>
    <t>外墙内保温工程合同</t>
  </si>
  <si>
    <t>天津市博文通建筑安装工程有限公司</t>
  </si>
  <si>
    <t>2016.2.2</t>
  </si>
  <si>
    <t>土建站、CF箱基础、箱式站基础、环网柜基础</t>
  </si>
  <si>
    <t>天津英博建筑工程有限公司</t>
  </si>
  <si>
    <t>进场前支付全部工程款</t>
  </si>
  <si>
    <t>2016.1.27</t>
  </si>
  <si>
    <t>支付委托保证合同（二期）</t>
  </si>
  <si>
    <t>支付委托保证合同（三期）</t>
  </si>
  <si>
    <t>JXA-169</t>
  </si>
  <si>
    <t>2016.1.29</t>
  </si>
  <si>
    <t>示范区现场垃圾清运（结签证）</t>
  </si>
  <si>
    <t>二次供水泵房精装修合同</t>
  </si>
  <si>
    <t>天津市岳鹏科技有限公司</t>
  </si>
  <si>
    <t>工程完工甲方自验后，经当地自来水管理所验收合格，付至合同价款的90%；工程竣工验收、泵房验收、通水验收合格后，支付至结算价款泊100%。</t>
  </si>
  <si>
    <t>合同在乙方盖章</t>
  </si>
  <si>
    <t>基燃表</t>
  </si>
  <si>
    <t>一期燃气表购销合同</t>
  </si>
  <si>
    <t>天津市罡世燃气科工贸发展有限公司</t>
  </si>
  <si>
    <t>JXA-172</t>
  </si>
  <si>
    <t>一期空调铁艺栏杆合同（除33#楼）</t>
  </si>
  <si>
    <t>基视讯</t>
  </si>
  <si>
    <t>通信线路工程设计合同</t>
  </si>
  <si>
    <t>天津市邮电设计院有限责任公司</t>
  </si>
  <si>
    <t>合同签订后乙方交付全套设计成果，支付全部设计费。</t>
  </si>
  <si>
    <t>JXA-174</t>
  </si>
  <si>
    <t>人防监理合同</t>
  </si>
  <si>
    <t>给水、中水变频供水设备采购安装合同</t>
  </si>
  <si>
    <t>天津晨天自动化设备工程有限公司</t>
  </si>
  <si>
    <t xml:space="preserve">5.1.1 合同签订后供方需提供银行保函后15日内供方支付合同总价的 30 %作为预付款，即：人民币   叁拾壹万伍仟元整（￥315000元）   。
5.1.2 设备全部进场安装完成后，需方向供方支付合同总价的50 %，即人民币伍拾贰万伍仟元整（￥525000元）。
5.1.3 设备全部安装完毕后，且提供供方出具的安装调试验收合格报告后，需方向供方支付合同总价的  15% ，即人民币壹拾伍万柒仟伍佰元整（￥157500元）。
5.1.4 剩余尾款5%为质保金，待向需方提供当地直属自来水部门出具的安装验收合格后的贰年后付清。即：人民币伍万贰仟伍佰元整（￥52500元）。质保金付清后，质保期内，供方仍需继续对设备进行免费维保，直至质保期满。
</t>
  </si>
  <si>
    <t>JXA-176</t>
  </si>
  <si>
    <t>三期挡土墙施工</t>
  </si>
  <si>
    <t>JXA-177</t>
  </si>
  <si>
    <t>一期（复式）钢质防盗门采购安装（不含33#楼6樘门）</t>
  </si>
  <si>
    <t xml:space="preserve">1) 合同签订后甲方支付本合同额的20%作为预付款，即：¥128972.00元（大写：人民币拾贰万捌仟玖佰柒拾贰元整），同时乙方提供具备一级担保资质的担保单位提供的等额的预付款保函（企业保函）。
2) 门全部安装完毕，经验收合格后15日内，甲方向乙方支付合同额的50%，即：¥322430.00元（大写：人民币叁拾贰万贰仟肆佰叁拾元整）
3) 全部工程通过竣工验收合格后，甲方向乙方支付至合同价款的90%，即：¥128972.00元（大写：人民币拾贰万捌仟玖佰柒拾贰元整）
4) 甲乙双方完成办理结算手续后15日内，甲方向乙方支付至结算价款的95%，即：¥32243.00元（大写：人民币叁万贰仟贰佰肆拾叁元整）
5) 剩余5%为一年质保金。甲方于乙方提供齐全的付款资料（出具的保修合格证明、相应金额的发票、请款说明等）15个工作日内支付乙方（不计利息），但应扣除在保修期期间内发生的由甲方先行支付的有关维修费用。
</t>
  </si>
  <si>
    <t>JXA-178W</t>
  </si>
  <si>
    <t>二期测绘费</t>
  </si>
  <si>
    <t>JXA-179W</t>
  </si>
  <si>
    <t>二、三期前置面积测量费</t>
  </si>
  <si>
    <t xml:space="preserve"> </t>
  </si>
  <si>
    <r>
      <rPr>
        <sz val="12"/>
        <rFont val="宋体"/>
        <family val="3"/>
        <charset val="134"/>
      </rPr>
      <t xml:space="preserve"> </t>
    </r>
    <r>
      <rPr>
        <sz val="12"/>
        <rFont val="宋体"/>
        <family val="3"/>
        <charset val="134"/>
      </rPr>
      <t xml:space="preserve">                                                                                                                                                                                                                                                                                                                                                                                                                                                                                                                                     </t>
    </r>
  </si>
  <si>
    <t>土</t>
  </si>
  <si>
    <t>前期费</t>
  </si>
  <si>
    <t>基</t>
  </si>
  <si>
    <t>建安费</t>
  </si>
  <si>
    <t>建</t>
  </si>
  <si>
    <t>市政配套费</t>
  </si>
  <si>
    <t>公</t>
  </si>
  <si>
    <t>销</t>
  </si>
  <si>
    <t>本月范围</t>
  </si>
  <si>
    <t>总条数</t>
  </si>
  <si>
    <t>合同（本月）</t>
  </si>
  <si>
    <t>月份</t>
  </si>
  <si>
    <t>总数</t>
  </si>
  <si>
    <t>销售累计付款额</t>
  </si>
  <si>
    <t>销售累计结算合同额</t>
  </si>
  <si>
    <t>本月销售合同额</t>
  </si>
  <si>
    <t>编号</t>
  </si>
  <si>
    <r>
      <rPr>
        <sz val="12"/>
        <rFont val="宋体"/>
        <family val="3"/>
        <charset val="134"/>
      </rPr>
      <t>拨款</t>
    </r>
    <r>
      <rPr>
        <sz val="12"/>
        <rFont val="Times New Roman"/>
        <family val="1"/>
      </rPr>
      <t xml:space="preserve">   </t>
    </r>
    <r>
      <rPr>
        <sz val="12"/>
        <rFont val="宋体"/>
        <family val="3"/>
        <charset val="134"/>
      </rPr>
      <t>日期</t>
    </r>
  </si>
  <si>
    <t>拨款数量（元）</t>
  </si>
  <si>
    <t>累计拨款</t>
  </si>
  <si>
    <t>余额（元）</t>
  </si>
  <si>
    <t>项目名称</t>
  </si>
  <si>
    <r>
      <rPr>
        <sz val="12"/>
        <rFont val="宋体"/>
        <family val="3"/>
        <charset val="134"/>
      </rPr>
      <t>拨款单</t>
    </r>
    <r>
      <rPr>
        <sz val="12"/>
        <rFont val="宋体"/>
        <family val="3"/>
        <charset val="134"/>
      </rPr>
      <t>号</t>
    </r>
  </si>
  <si>
    <t>2013.7.5</t>
  </si>
  <si>
    <t>FK1</t>
  </si>
  <si>
    <t>2013.6.24</t>
  </si>
  <si>
    <t>2013.8.21</t>
  </si>
  <si>
    <t>2013.11.28</t>
  </si>
  <si>
    <t>FK2</t>
  </si>
  <si>
    <t>2014.1.25</t>
  </si>
  <si>
    <t>FK3</t>
  </si>
  <si>
    <t>2013.7.2</t>
  </si>
  <si>
    <t>2013.10.21</t>
  </si>
  <si>
    <t>2013.10.24</t>
  </si>
  <si>
    <t>2013.11.21</t>
  </si>
  <si>
    <t>2014.1.7</t>
  </si>
  <si>
    <t>2014.1.15</t>
  </si>
  <si>
    <t>2014.3.12</t>
  </si>
  <si>
    <t>2014.1.21</t>
  </si>
  <si>
    <t>2013.12.25</t>
  </si>
  <si>
    <t>2014.3.28</t>
  </si>
  <si>
    <t>2014.4.11</t>
  </si>
  <si>
    <t>2014.4.24</t>
  </si>
  <si>
    <t>2014.5.16</t>
  </si>
  <si>
    <t>2014.5.20</t>
  </si>
  <si>
    <t>2014.5.22</t>
  </si>
  <si>
    <t>2014.5.27</t>
  </si>
  <si>
    <t>2014.5.23</t>
  </si>
  <si>
    <t>FK4</t>
  </si>
  <si>
    <t>2014.5.30</t>
  </si>
  <si>
    <t>2014.6.12</t>
  </si>
  <si>
    <t>2014.6.18</t>
  </si>
  <si>
    <t>2014.6.24</t>
  </si>
  <si>
    <t>2014.6.26</t>
  </si>
  <si>
    <t>2014.7.23</t>
  </si>
  <si>
    <t>2014.7.22</t>
  </si>
  <si>
    <t>2014.7.29</t>
  </si>
  <si>
    <t>2014.8.7</t>
  </si>
  <si>
    <t>FK5</t>
  </si>
  <si>
    <t>2014.8.12</t>
  </si>
  <si>
    <t>2014.8.1</t>
  </si>
  <si>
    <t>2014.8.13</t>
  </si>
  <si>
    <t>2014.8.22</t>
  </si>
  <si>
    <t>2014.8.20</t>
  </si>
  <si>
    <t>2014.8.21</t>
  </si>
  <si>
    <t>2014.9.02</t>
  </si>
  <si>
    <t>2014.9.03</t>
  </si>
  <si>
    <t>2014.9.04</t>
  </si>
  <si>
    <t>2014.9.11</t>
  </si>
  <si>
    <t>2014.9.24</t>
  </si>
  <si>
    <t>2014.9.25</t>
  </si>
  <si>
    <t>2014.9.26</t>
  </si>
  <si>
    <t>2014.10.13</t>
  </si>
  <si>
    <t>2014.10.23</t>
  </si>
  <si>
    <t>JXA-025w</t>
  </si>
  <si>
    <t>2014.12.25</t>
  </si>
  <si>
    <t>JXA-083w</t>
  </si>
  <si>
    <t>JXA-026w</t>
  </si>
  <si>
    <t>2015.1.22</t>
  </si>
  <si>
    <t>2015.1.29</t>
  </si>
  <si>
    <t>2015.2.5</t>
  </si>
  <si>
    <t>2015.2.4</t>
  </si>
  <si>
    <t>2015.2.6</t>
  </si>
  <si>
    <t>2015.3.22</t>
  </si>
  <si>
    <t>2015.4.2</t>
  </si>
  <si>
    <t>2015.4.1</t>
  </si>
  <si>
    <t>2015.4.7</t>
  </si>
  <si>
    <t>2015.4.9</t>
  </si>
  <si>
    <t>2015.4.15</t>
  </si>
  <si>
    <t>2015.5.7</t>
  </si>
  <si>
    <t>2015.5.8</t>
  </si>
  <si>
    <t>2015.5.13</t>
  </si>
  <si>
    <t>2015.5.25</t>
  </si>
  <si>
    <t>2015.5.26</t>
  </si>
  <si>
    <t>2015.6.4</t>
  </si>
  <si>
    <t>2015.6.5</t>
  </si>
  <si>
    <t>2015.6.12</t>
  </si>
  <si>
    <t>2015.6.19</t>
  </si>
  <si>
    <t>2015.6.25</t>
  </si>
  <si>
    <t>2015.7.2</t>
  </si>
  <si>
    <t>2015.7.10</t>
  </si>
  <si>
    <t>2015.7.13</t>
  </si>
  <si>
    <t>2015.7.16</t>
  </si>
  <si>
    <t>2015.7.29</t>
  </si>
  <si>
    <t>2015.8.1</t>
  </si>
  <si>
    <t>2015.8.10</t>
  </si>
  <si>
    <t>2015.8.27</t>
  </si>
  <si>
    <t>2015.9.24</t>
  </si>
  <si>
    <t>2015.9.25</t>
  </si>
  <si>
    <t>2015.10.17</t>
  </si>
  <si>
    <t>2015.10.19</t>
  </si>
  <si>
    <t>2015.11.5</t>
  </si>
  <si>
    <t>2015.11.12</t>
  </si>
  <si>
    <t>2015.11.20</t>
  </si>
  <si>
    <t>2015.12.1</t>
  </si>
  <si>
    <t>JXA-153w</t>
  </si>
  <si>
    <t>JXA-160w</t>
  </si>
  <si>
    <t>JXA-159w</t>
  </si>
  <si>
    <t>JXA-161w</t>
  </si>
  <si>
    <t>JXA-162w</t>
  </si>
  <si>
    <t>JXA-158w</t>
  </si>
  <si>
    <t>JXA-164w</t>
  </si>
  <si>
    <t>往来款台账</t>
  </si>
  <si>
    <t>发生日期</t>
  </si>
  <si>
    <t>金额（元）</t>
  </si>
  <si>
    <t>经手人</t>
  </si>
  <si>
    <t>退款时间</t>
  </si>
  <si>
    <t>退款金额</t>
  </si>
  <si>
    <t>余额</t>
  </si>
  <si>
    <t>WL-001</t>
  </si>
  <si>
    <t>临时电预交电费押金</t>
  </si>
  <si>
    <t>蓟县供电分公司</t>
  </si>
  <si>
    <t>李晓光</t>
  </si>
  <si>
    <t>段昆明</t>
  </si>
  <si>
    <t>JXA-086W</t>
    <phoneticPr fontId="4" type="noConversion"/>
  </si>
  <si>
    <t>农民工资预储工资（一期第一笔）</t>
  </si>
  <si>
    <t>南侧道路开口押金</t>
  </si>
  <si>
    <t>李朋</t>
  </si>
  <si>
    <t>西侧道路开口押金</t>
  </si>
  <si>
    <t>农民工资预储工资（一期第二笔）</t>
  </si>
  <si>
    <t>（二、三期）文明施工措施费</t>
  </si>
  <si>
    <t>李子静</t>
  </si>
  <si>
    <t>成本总额（万元）</t>
    <phoneticPr fontId="4" type="noConversion"/>
  </si>
  <si>
    <t>费用
类别</t>
    <phoneticPr fontId="4" type="noConversion"/>
  </si>
  <si>
    <t>售楼处样板间精装设计合同</t>
    <phoneticPr fontId="4" type="noConversion"/>
  </si>
  <si>
    <t>结算造价（元）</t>
    <phoneticPr fontId="4" type="noConversion"/>
  </si>
  <si>
    <t>J27*0.01   销售收入已发生成本*0.01</t>
    <phoneticPr fontId="4" type="noConversion"/>
  </si>
  <si>
    <t xml:space="preserve">J27*0.0565 销售收入已发生成本*0.0565  </t>
    <phoneticPr fontId="4" type="noConversion"/>
  </si>
  <si>
    <t>J30/29*25 管理费用已发生成本/29*25</t>
    <phoneticPr fontId="4" type="noConversion"/>
  </si>
  <si>
    <t>5400-J32? 5400-资金成本（贷款利息）?</t>
    <phoneticPr fontId="4" type="noConversion"/>
  </si>
  <si>
    <t xml:space="preserve">L27*0.0565 销售收入待发生成本*0.0565  </t>
    <phoneticPr fontId="4" type="noConversion"/>
  </si>
  <si>
    <t>本月动态成本（万元）</t>
    <phoneticPr fontId="4" type="noConversion"/>
  </si>
  <si>
    <t>直接成本小计+销售费用+管理费用+公共设施维修基金+资金成本（贷款利息）+融资成本+营业税金+土地增值税 本月动态成本之和</t>
    <phoneticPr fontId="4" type="noConversion"/>
  </si>
  <si>
    <t>N27-N36 销售收入 - 税前成本合计</t>
    <phoneticPr fontId="4" type="noConversion"/>
  </si>
  <si>
    <t>N38*0.25 税前利润*0.25</t>
    <phoneticPr fontId="4" type="noConversion"/>
  </si>
  <si>
    <t>N38/N27 税前利润/销售收入</t>
    <phoneticPr fontId="4" type="noConversion"/>
  </si>
  <si>
    <t>N36+N39 税前成本合计 + 所得税</t>
    <phoneticPr fontId="4" type="noConversion"/>
  </si>
  <si>
    <t>N27-N40  销售收入 - 税后成本合计</t>
    <phoneticPr fontId="4" type="noConversion"/>
  </si>
  <si>
    <t>N41/N27 税后利润/销售收入</t>
    <phoneticPr fontId="4" type="noConversion"/>
  </si>
  <si>
    <t>N29/N27 销售费用本月动态成本/销售收入本月动态成本</t>
    <phoneticPr fontId="4" type="noConversion"/>
  </si>
  <si>
    <t>N30/N27 管理费用本月动态成本/销售收入本月动态成本</t>
    <phoneticPr fontId="4" type="noConversion"/>
  </si>
  <si>
    <t>字段</t>
    <phoneticPr fontId="4" type="noConversion"/>
  </si>
  <si>
    <t>来源</t>
    <phoneticPr fontId="4" type="noConversion"/>
  </si>
  <si>
    <t>备注</t>
    <phoneticPr fontId="4" type="noConversion"/>
  </si>
  <si>
    <t>成本明细表相关成本总额</t>
    <phoneticPr fontId="4" type="noConversion"/>
  </si>
  <si>
    <t>合同值</t>
    <phoneticPr fontId="4" type="noConversion"/>
  </si>
  <si>
    <t>成本明细表相关已发生合同总额</t>
    <phoneticPr fontId="4" type="noConversion"/>
  </si>
  <si>
    <t>销售收入</t>
    <phoneticPr fontId="4" type="noConversion"/>
  </si>
  <si>
    <t>销售收入的本月动态成本</t>
    <phoneticPr fontId="4" type="noConversion"/>
  </si>
  <si>
    <t>整盘</t>
    <phoneticPr fontId="34" type="noConversion"/>
  </si>
  <si>
    <t>销售价格测算表整盘销售额总计</t>
    <phoneticPr fontId="4" type="noConversion"/>
  </si>
  <si>
    <t>销售价格测算表整盘销售额总计</t>
    <phoneticPr fontId="4" type="noConversion"/>
  </si>
  <si>
    <t>销售费用</t>
    <phoneticPr fontId="4" type="noConversion"/>
  </si>
  <si>
    <t>合同台帐表中费用类别与当前子类相同的所有记录的结算造价之和</t>
    <phoneticPr fontId="4" type="noConversion"/>
  </si>
  <si>
    <t xml:space="preserve">J29+L29 销售费用 已发生成本 + 待发生成本 </t>
    <phoneticPr fontId="4" type="noConversion"/>
  </si>
  <si>
    <t>管理费用</t>
    <phoneticPr fontId="4" type="noConversion"/>
  </si>
  <si>
    <t>J30+L30 管理费用 已发生成本 + 待发生成本</t>
    <phoneticPr fontId="4" type="noConversion"/>
  </si>
  <si>
    <t>公共设施维修基金</t>
    <phoneticPr fontId="4" type="noConversion"/>
  </si>
  <si>
    <t>J31+L31 公共设施维修基金 已发生成本 + 待发生成本</t>
    <phoneticPr fontId="4" type="noConversion"/>
  </si>
  <si>
    <t>资金成本（贷款利息）</t>
    <phoneticPr fontId="4" type="noConversion"/>
  </si>
  <si>
    <t>J32+L32 资金成本 已发生成本 + 待发生成本</t>
    <phoneticPr fontId="4" type="noConversion"/>
  </si>
  <si>
    <t>融资成本</t>
    <phoneticPr fontId="4" type="noConversion"/>
  </si>
  <si>
    <t>J33+L33 融资成本 已发生成本 + 待发生成本</t>
    <phoneticPr fontId="4" type="noConversion"/>
  </si>
  <si>
    <t>营业税金</t>
    <phoneticPr fontId="4" type="noConversion"/>
  </si>
  <si>
    <t>J34+L34 营业税金 已发生成本 + 待发生成本</t>
    <phoneticPr fontId="4" type="noConversion"/>
  </si>
  <si>
    <t>本月动态成本（万元）</t>
    <phoneticPr fontId="4" type="noConversion"/>
  </si>
  <si>
    <t>已发生成本</t>
    <phoneticPr fontId="4" type="noConversion"/>
  </si>
  <si>
    <t>待发生成本</t>
    <phoneticPr fontId="4" type="noConversion"/>
  </si>
  <si>
    <r>
      <t>控制指标</t>
    </r>
    <r>
      <rPr>
        <b/>
        <sz val="8"/>
        <rFont val="宋体"/>
        <family val="3"/>
        <charset val="134"/>
      </rPr>
      <t>（元/m3）</t>
    </r>
    <phoneticPr fontId="4" type="noConversion"/>
  </si>
  <si>
    <t>合同值</t>
    <phoneticPr fontId="4" type="noConversion"/>
  </si>
  <si>
    <t>结算差异</t>
    <phoneticPr fontId="4" type="noConversion"/>
  </si>
  <si>
    <t>⑥=②+③+④+⑤</t>
    <phoneticPr fontId="4" type="noConversion"/>
  </si>
  <si>
    <t>土地及大配套费</t>
    <phoneticPr fontId="4" type="noConversion"/>
  </si>
  <si>
    <t>第一大类控制指标之和</t>
    <phoneticPr fontId="4" type="noConversion"/>
  </si>
  <si>
    <t>第一大类总投资之和</t>
    <phoneticPr fontId="4" type="noConversion"/>
  </si>
  <si>
    <t>第一大类新目标成本之和</t>
    <phoneticPr fontId="4" type="noConversion"/>
  </si>
  <si>
    <t>第一大类合同值之和</t>
    <phoneticPr fontId="4" type="noConversion"/>
  </si>
  <si>
    <t>第一大类结算差异之和</t>
    <phoneticPr fontId="4" type="noConversion"/>
  </si>
  <si>
    <t>第一大类已发生成本之和</t>
    <phoneticPr fontId="4" type="noConversion"/>
  </si>
  <si>
    <t>来源？</t>
    <phoneticPr fontId="4" type="noConversion"/>
  </si>
  <si>
    <t>第一大类待发生成本之和</t>
    <phoneticPr fontId="4" type="noConversion"/>
  </si>
  <si>
    <t>第一大类本月动态成本之和</t>
    <phoneticPr fontId="4" type="noConversion"/>
  </si>
  <si>
    <t>第一大类本月成本增加之和</t>
    <phoneticPr fontId="4" type="noConversion"/>
  </si>
  <si>
    <t xml:space="preserve">D9/$D$4*10000 </t>
    <phoneticPr fontId="4" type="noConversion"/>
  </si>
  <si>
    <t>成本明细表 土地出让金成本总额</t>
    <phoneticPr fontId="4" type="noConversion"/>
  </si>
  <si>
    <t>？</t>
    <phoneticPr fontId="4" type="noConversion"/>
  </si>
  <si>
    <t>成本明细表 土地出让金已发生合同总额/10000</t>
    <phoneticPr fontId="4" type="noConversion"/>
  </si>
  <si>
    <t>J9+L9</t>
    <phoneticPr fontId="4" type="noConversion"/>
  </si>
  <si>
    <t>N9-D9</t>
    <phoneticPr fontId="4" type="noConversion"/>
  </si>
  <si>
    <t xml:space="preserve">D10/$D$4*10000 </t>
    <phoneticPr fontId="4" type="noConversion"/>
  </si>
  <si>
    <t>成本明细表 大配套费成本总额</t>
    <phoneticPr fontId="4" type="noConversion"/>
  </si>
  <si>
    <t>成本明细表 大配套费已发生合同总额/10000</t>
    <phoneticPr fontId="4" type="noConversion"/>
  </si>
  <si>
    <t>同上</t>
    <phoneticPr fontId="4" type="noConversion"/>
  </si>
  <si>
    <t>D10-F10</t>
    <phoneticPr fontId="4" type="noConversion"/>
  </si>
  <si>
    <t>J10+L10</t>
    <phoneticPr fontId="4" type="noConversion"/>
  </si>
  <si>
    <t>N10-D10</t>
    <phoneticPr fontId="4" type="noConversion"/>
  </si>
  <si>
    <t xml:space="preserve">D11/$D$4*10000 </t>
    <phoneticPr fontId="4" type="noConversion"/>
  </si>
  <si>
    <t>成本明细表 土地契税成本总额</t>
    <phoneticPr fontId="4" type="noConversion"/>
  </si>
  <si>
    <t>成本明细表 土地契税已发生合同总额/10000</t>
    <phoneticPr fontId="4" type="noConversion"/>
  </si>
  <si>
    <t>D11-J11</t>
    <phoneticPr fontId="4" type="noConversion"/>
  </si>
  <si>
    <t>成本明细表 土地交易费成本总额</t>
    <phoneticPr fontId="4" type="noConversion"/>
  </si>
  <si>
    <t>成本明细表 土地交易费已发生合同总额/10000</t>
    <phoneticPr fontId="4" type="noConversion"/>
  </si>
  <si>
    <t>成本明细表 印花税成本总额</t>
    <phoneticPr fontId="4" type="noConversion"/>
  </si>
  <si>
    <t>成本明细表 印花税已发生合同总额/10000</t>
    <phoneticPr fontId="4" type="noConversion"/>
  </si>
  <si>
    <t>D13？</t>
    <phoneticPr fontId="4" type="noConversion"/>
  </si>
  <si>
    <t>成本明细表 交易手续费成本总额</t>
    <phoneticPr fontId="4" type="noConversion"/>
  </si>
  <si>
    <t>成本明细表 交易手续费已发生合同总额/10000</t>
    <phoneticPr fontId="4" type="noConversion"/>
  </si>
  <si>
    <t>成本明细表 拍卖佣金成本总额</t>
    <phoneticPr fontId="4" type="noConversion"/>
  </si>
  <si>
    <t>成本明细表 拍卖佣金已发生合同总额/10000</t>
    <phoneticPr fontId="4" type="noConversion"/>
  </si>
  <si>
    <t>第二大类控制指标之和</t>
    <phoneticPr fontId="4" type="noConversion"/>
  </si>
  <si>
    <t>第二大类总投资之和</t>
  </si>
  <si>
    <t>第二大类新目标成本之和</t>
  </si>
  <si>
    <t>第二大类合同值之和</t>
  </si>
  <si>
    <t>第二大类结算差异之和</t>
  </si>
  <si>
    <t>第二大类已发生成本之和</t>
  </si>
  <si>
    <t>第二大类待发生成本之和</t>
  </si>
  <si>
    <t>第二大类本月动态成本之和</t>
  </si>
  <si>
    <t>第二大类本月成本增加之和</t>
  </si>
  <si>
    <t>勘察测绘费</t>
    <phoneticPr fontId="4" type="noConversion"/>
  </si>
  <si>
    <t>子类控制指标之和</t>
  </si>
  <si>
    <t>子类总投资之和</t>
  </si>
  <si>
    <t>子类新目标成本之和</t>
  </si>
  <si>
    <t>子类合同值之和</t>
  </si>
  <si>
    <t>子类结算差异之和</t>
  </si>
  <si>
    <t>子类已发生成本之和</t>
  </si>
  <si>
    <t>子类待发生成本之和</t>
  </si>
  <si>
    <t>子类本月动态成本之和</t>
  </si>
  <si>
    <t>子类本月成本增加之和</t>
  </si>
  <si>
    <t>2.1.1</t>
    <phoneticPr fontId="4" type="noConversion"/>
  </si>
  <si>
    <t>D18/$D$4*10000</t>
    <phoneticPr fontId="4" type="noConversion"/>
  </si>
  <si>
    <t>成本明细表 地质勘查费成本总额</t>
    <phoneticPr fontId="4" type="noConversion"/>
  </si>
  <si>
    <t>成本明细表 地质勘查费已发生合同总额/10000-3.0555?</t>
    <phoneticPr fontId="4" type="noConversion"/>
  </si>
  <si>
    <t>D18-J18</t>
    <phoneticPr fontId="4" type="noConversion"/>
  </si>
  <si>
    <t>J18+L18</t>
    <phoneticPr fontId="4" type="noConversion"/>
  </si>
  <si>
    <t>N18-D18</t>
    <phoneticPr fontId="4" type="noConversion"/>
  </si>
  <si>
    <t>成本明细表 测绘款成本总额</t>
    <phoneticPr fontId="4" type="noConversion"/>
  </si>
  <si>
    <t>成本明细表 测绘款已发生合同总额/10000</t>
    <phoneticPr fontId="4" type="noConversion"/>
  </si>
  <si>
    <t>J19+L19</t>
    <phoneticPr fontId="4" type="noConversion"/>
  </si>
  <si>
    <t>N19-D19</t>
    <phoneticPr fontId="4" type="noConversion"/>
  </si>
  <si>
    <t>成本明细表 土地证成本总额</t>
    <phoneticPr fontId="4" type="noConversion"/>
  </si>
  <si>
    <t>成本明细表 土地证已发生合同总额/10000</t>
    <phoneticPr fontId="4" type="noConversion"/>
  </si>
  <si>
    <t>D22/$D$4*10000</t>
    <phoneticPr fontId="4" type="noConversion"/>
  </si>
  <si>
    <t>成本明细表 方案、施工图设计费成本总额</t>
    <phoneticPr fontId="4" type="noConversion"/>
  </si>
  <si>
    <t>成本明细表 方案、施工图设计费已发生合同总额/10000</t>
    <phoneticPr fontId="4" type="noConversion"/>
  </si>
  <si>
    <t>J22+L22</t>
    <phoneticPr fontId="4" type="noConversion"/>
  </si>
  <si>
    <t>N22-D22</t>
    <phoneticPr fontId="4" type="noConversion"/>
  </si>
  <si>
    <t>D23/$D$4*10000</t>
    <phoneticPr fontId="4" type="noConversion"/>
  </si>
  <si>
    <t>成本明细表 成品房设计费成本总额</t>
    <phoneticPr fontId="4" type="noConversion"/>
  </si>
  <si>
    <t>成本明细表 成品房设计费已发生合同总额/10000-3.329?</t>
    <phoneticPr fontId="4" type="noConversion"/>
  </si>
  <si>
    <t>J23+L23</t>
    <phoneticPr fontId="4" type="noConversion"/>
  </si>
  <si>
    <t>N23-D23</t>
    <phoneticPr fontId="4" type="noConversion"/>
  </si>
  <si>
    <t>成本明细表 景观设计费成本总额</t>
    <phoneticPr fontId="4" type="noConversion"/>
  </si>
  <si>
    <t>成本明细表 景观设计费已发生合同总额/10000</t>
    <phoneticPr fontId="4" type="noConversion"/>
  </si>
  <si>
    <t>成本明细表 综合管网设计费成本总额</t>
    <phoneticPr fontId="4" type="noConversion"/>
  </si>
  <si>
    <t>成本明细表 综合管网设计费已发生合同总额/10000</t>
    <phoneticPr fontId="4" type="noConversion"/>
  </si>
  <si>
    <t>成本明细表 其他设计费成本总额</t>
    <phoneticPr fontId="4" type="noConversion"/>
  </si>
  <si>
    <t>成本明细表 其他设计费已发生合同总额/10000</t>
    <phoneticPr fontId="4" type="noConversion"/>
  </si>
  <si>
    <t>成本明细表 施工图审查费成本总额</t>
    <phoneticPr fontId="4" type="noConversion"/>
  </si>
  <si>
    <t>成本明细表 施工图审查费已发生合同总额/10000</t>
    <phoneticPr fontId="4" type="noConversion"/>
  </si>
  <si>
    <t>D27-J27</t>
    <phoneticPr fontId="4" type="noConversion"/>
  </si>
  <si>
    <t>D29/$D$4*10000</t>
    <phoneticPr fontId="4" type="noConversion"/>
  </si>
  <si>
    <t>成本明细表 临电工程费红线内外成本总额</t>
  </si>
  <si>
    <t>成本明细表 临电工程费红线内外已发生合同总额/10000</t>
    <phoneticPr fontId="4" type="noConversion"/>
  </si>
  <si>
    <t>J29+L29</t>
    <phoneticPr fontId="4" type="noConversion"/>
  </si>
  <si>
    <t>N29-D29</t>
    <phoneticPr fontId="4" type="noConversion"/>
  </si>
  <si>
    <t>D30/$D$4*10000</t>
    <phoneticPr fontId="4" type="noConversion"/>
  </si>
  <si>
    <t>成本明细表 临水工程费红线内外成本总额</t>
  </si>
  <si>
    <t>成本明细表 临水工程费红线内外已发生合同总额/10000</t>
    <phoneticPr fontId="4" type="noConversion"/>
  </si>
  <si>
    <t>J30+L30</t>
    <phoneticPr fontId="4" type="noConversion"/>
  </si>
  <si>
    <t>N30-D30</t>
    <phoneticPr fontId="4" type="noConversion"/>
  </si>
  <si>
    <t>成本明细表 临排工程费成本总额</t>
  </si>
  <si>
    <t>成本明细表 临排工程费已发生合同总额?</t>
    <phoneticPr fontId="4" type="noConversion"/>
  </si>
  <si>
    <t>成本明细表 平整场地成本总额</t>
  </si>
  <si>
    <t>成本明细表 平整场地已发生合同总额/10000</t>
    <phoneticPr fontId="4" type="noConversion"/>
  </si>
  <si>
    <t>成本明细表 临时设施（临时围墙）成本总额</t>
  </si>
  <si>
    <t>成本明细表 临时设施（临时围墙）已发生合同总额/10000</t>
    <phoneticPr fontId="4" type="noConversion"/>
  </si>
  <si>
    <t>D33-J33</t>
    <phoneticPr fontId="4" type="noConversion"/>
  </si>
  <si>
    <t>成本明细表 道路开口费成本总额</t>
  </si>
  <si>
    <t>成本明细表 道路开口费已发生合同总额/10000</t>
    <phoneticPr fontId="4" type="noConversion"/>
  </si>
  <si>
    <t>成本明细表 障碍物拆除费成本总额</t>
  </si>
  <si>
    <t>成本明细表 障碍物拆除费已发生合同总额/10000</t>
    <phoneticPr fontId="4" type="noConversion"/>
  </si>
  <si>
    <t>D37/$D$4*10000</t>
    <phoneticPr fontId="4" type="noConversion"/>
  </si>
  <si>
    <t>成本明细表 招标代理费（建筑、监理、勘察、设计、物业）成本总额</t>
    <phoneticPr fontId="4" type="noConversion"/>
  </si>
  <si>
    <t>成本明细表 招标代理费（建筑、监理、勘察、设计、物业）已发生合同总额/10000</t>
    <phoneticPr fontId="4" type="noConversion"/>
  </si>
  <si>
    <t>J37+L37</t>
    <phoneticPr fontId="4" type="noConversion"/>
  </si>
  <si>
    <t>N37-D37</t>
    <phoneticPr fontId="4" type="noConversion"/>
  </si>
  <si>
    <t>D38/$D$4*10000</t>
    <phoneticPr fontId="4" type="noConversion"/>
  </si>
  <si>
    <t>成本明细表 工程建设交易服务费（建筑、监理、勘察、设计、物业）成本总额</t>
  </si>
  <si>
    <t>成本明细表 工程建设交易服务费（建筑、监理、勘察、设计、物业）已发生合同总额/10000</t>
    <phoneticPr fontId="4" type="noConversion"/>
  </si>
  <si>
    <t>J38+L38</t>
    <phoneticPr fontId="4" type="noConversion"/>
  </si>
  <si>
    <t>N38-D38</t>
    <phoneticPr fontId="4" type="noConversion"/>
  </si>
  <si>
    <t>成本明细表 工程支付款担保费成本总额</t>
  </si>
  <si>
    <t>成本明细表 工程支付款担保费已发生合同总额/10000</t>
    <phoneticPr fontId="4" type="noConversion"/>
  </si>
  <si>
    <t>D39-J39</t>
    <phoneticPr fontId="4" type="noConversion"/>
  </si>
  <si>
    <t>成本明细表 造价咨询费成本总额</t>
  </si>
  <si>
    <t>成本明细表 造价咨询费已发生合同总额/10000</t>
    <phoneticPr fontId="4" type="noConversion"/>
  </si>
  <si>
    <t>D40-J40</t>
    <phoneticPr fontId="4" type="noConversion"/>
  </si>
  <si>
    <t>环境评估费</t>
    <phoneticPr fontId="4" type="noConversion"/>
  </si>
  <si>
    <t>D42/$D$4*10000</t>
    <phoneticPr fontId="4" type="noConversion"/>
  </si>
  <si>
    <t>成本明细表 环境评估费成本总额</t>
    <phoneticPr fontId="4" type="noConversion"/>
  </si>
  <si>
    <t>成本明细表 环境评估费已发生合同总额/10000</t>
  </si>
  <si>
    <t>J42+L42</t>
    <phoneticPr fontId="4" type="noConversion"/>
  </si>
  <si>
    <t>N42-D42</t>
    <phoneticPr fontId="4" type="noConversion"/>
  </si>
  <si>
    <t>D43/$D$4*10000</t>
    <phoneticPr fontId="4" type="noConversion"/>
  </si>
  <si>
    <t>成本明细表 环境验收费用成本总额</t>
    <phoneticPr fontId="4" type="noConversion"/>
  </si>
  <si>
    <t>成本明细表 环境验收费用已发生合同总额/10000</t>
  </si>
  <si>
    <t>D43-J43</t>
    <phoneticPr fontId="4" type="noConversion"/>
  </si>
  <si>
    <t>J43+L43</t>
    <phoneticPr fontId="4" type="noConversion"/>
  </si>
  <si>
    <t>N43-D43</t>
    <phoneticPr fontId="4" type="noConversion"/>
  </si>
  <si>
    <t>成本明细表 地质灾害评估成本总额</t>
    <phoneticPr fontId="4" type="noConversion"/>
  </si>
  <si>
    <t>成本明细表 地质灾害评估已发生合同总额/10000</t>
  </si>
  <si>
    <t>成本明细表 能源评估费成本总额</t>
    <phoneticPr fontId="4" type="noConversion"/>
  </si>
  <si>
    <t>成本明细表 能源评估费已发生合同总额/10000</t>
  </si>
  <si>
    <t>墙改费</t>
    <phoneticPr fontId="4" type="noConversion"/>
  </si>
  <si>
    <t>D49/$D$4*10000</t>
    <phoneticPr fontId="4" type="noConversion"/>
  </si>
  <si>
    <t>成本明细表 墙改费成本总额</t>
    <phoneticPr fontId="4" type="noConversion"/>
  </si>
  <si>
    <t>成本明细表 墙改费已发生合同总额/10000</t>
  </si>
  <si>
    <t>J49+L49</t>
    <phoneticPr fontId="4" type="noConversion"/>
  </si>
  <si>
    <t>N49-D49</t>
    <phoneticPr fontId="4" type="noConversion"/>
  </si>
  <si>
    <t>D50/$D$4*10000</t>
    <phoneticPr fontId="4" type="noConversion"/>
  </si>
  <si>
    <t>成本明细表 水泥专项基金成本总额</t>
    <phoneticPr fontId="4" type="noConversion"/>
  </si>
  <si>
    <t>成本明细表 水泥专项基金已发生合同总额/10000</t>
  </si>
  <si>
    <t>D50-J50</t>
    <phoneticPr fontId="4" type="noConversion"/>
  </si>
  <si>
    <t>J50+L50</t>
    <phoneticPr fontId="4" type="noConversion"/>
  </si>
  <si>
    <t>N50-D50</t>
    <phoneticPr fontId="4" type="noConversion"/>
  </si>
  <si>
    <t>成本明细表 人防易地建设费成本总额</t>
    <phoneticPr fontId="4" type="noConversion"/>
  </si>
  <si>
    <t>成本明细表 人防易地建设费已发生合同总额/10000</t>
  </si>
  <si>
    <t>成本明细表 地名标志费成本总额</t>
    <phoneticPr fontId="4" type="noConversion"/>
  </si>
  <si>
    <t>成本明细表 地名标志费已发生合同总额/10000</t>
  </si>
  <si>
    <t>成本明细表 地名公告费成本总额</t>
    <phoneticPr fontId="4" type="noConversion"/>
  </si>
  <si>
    <t>成本明细表 地名公告费已发生合同总额/10000</t>
  </si>
  <si>
    <t>成本明细表 楼栋、单元标志牌费成本总额</t>
    <phoneticPr fontId="4" type="noConversion"/>
  </si>
  <si>
    <t>成本明细表 楼栋、单元标志牌费已发生合同总额/10000</t>
  </si>
  <si>
    <t>D54-J54</t>
    <phoneticPr fontId="4" type="noConversion"/>
  </si>
  <si>
    <t>D56/$D$4*10000</t>
    <phoneticPr fontId="4" type="noConversion"/>
  </si>
  <si>
    <t>成本明细表 避雷监测费成本总额</t>
    <phoneticPr fontId="4" type="noConversion"/>
  </si>
  <si>
    <t>成本明细表 避雷监测费已发生合同总额/10000</t>
  </si>
  <si>
    <t>D56-J56</t>
    <phoneticPr fontId="4" type="noConversion"/>
  </si>
  <si>
    <t>J56+L56</t>
    <phoneticPr fontId="4" type="noConversion"/>
  </si>
  <si>
    <t>N56-D56</t>
    <phoneticPr fontId="4" type="noConversion"/>
  </si>
  <si>
    <t>D57/$D$4*10000</t>
    <phoneticPr fontId="4" type="noConversion"/>
  </si>
  <si>
    <t>成本明细表 电气消防安全检测费成本总额</t>
    <phoneticPr fontId="4" type="noConversion"/>
  </si>
  <si>
    <t>成本明细表 电气消防安全检测费已发生合同总额/10000</t>
  </si>
  <si>
    <t>D57-J57</t>
    <phoneticPr fontId="4" type="noConversion"/>
  </si>
  <si>
    <t>J57+L57</t>
    <phoneticPr fontId="4" type="noConversion"/>
  </si>
  <si>
    <t>N57-D57</t>
    <phoneticPr fontId="4" type="noConversion"/>
  </si>
  <si>
    <t>成本明细表 室内环境检测费成本总额</t>
    <phoneticPr fontId="4" type="noConversion"/>
  </si>
  <si>
    <t>成本明细表 室内环境检测费已发生合同总额/10000</t>
  </si>
  <si>
    <t>成本明细表 档案存档费成本总额</t>
    <phoneticPr fontId="4" type="noConversion"/>
  </si>
  <si>
    <t>成本明细表 档案存档费已发生合同总额/10000</t>
  </si>
  <si>
    <t>成本明细表 人防监督及档案编制成本总额</t>
    <phoneticPr fontId="4" type="noConversion"/>
  </si>
  <si>
    <t>成本明细表 人防监督及档案编制已发生合同总额/10000</t>
  </si>
  <si>
    <t>成本明细表 消防存档费成本总额</t>
    <phoneticPr fontId="4" type="noConversion"/>
  </si>
  <si>
    <t>成本明细表 消防存档费已发生合同总额/10000</t>
  </si>
  <si>
    <t>D63/$D$4*10000</t>
    <phoneticPr fontId="4" type="noConversion"/>
  </si>
  <si>
    <t>成本明细表 地籍地形图、核地成本总额</t>
  </si>
  <si>
    <t>成本明细表 地籍地形图、核地已发生合同总额/10000</t>
  </si>
  <si>
    <t>D63-J63</t>
    <phoneticPr fontId="4" type="noConversion"/>
  </si>
  <si>
    <t>J63+L63</t>
    <phoneticPr fontId="4" type="noConversion"/>
  </si>
  <si>
    <t>N63-D63</t>
    <phoneticPr fontId="4" type="noConversion"/>
  </si>
  <si>
    <t>D64/$D$4*10000</t>
    <phoneticPr fontId="4" type="noConversion"/>
  </si>
  <si>
    <t>成本明细表 销售许可证公告费 成本总额</t>
  </si>
  <si>
    <t>成本明细表 销售许可证公告费 已发生合同总额/10000</t>
  </si>
  <si>
    <t>D64-J64</t>
    <phoneticPr fontId="4" type="noConversion"/>
  </si>
  <si>
    <t>J64+L64</t>
    <phoneticPr fontId="4" type="noConversion"/>
  </si>
  <si>
    <t>N64-D64</t>
    <phoneticPr fontId="4" type="noConversion"/>
  </si>
  <si>
    <t>成本明细表 预售登记费成本总额</t>
  </si>
  <si>
    <t>成本明细表 预售登记费已发生合同总额/10000</t>
  </si>
  <si>
    <t>成本明细表 分户土地登记费成本总额</t>
  </si>
  <si>
    <t>成本明细表 分户土地登记费已发生合同总额/10000</t>
  </si>
  <si>
    <t>成本明细表 准入证公告费成本总额</t>
    <phoneticPr fontId="4" type="noConversion"/>
  </si>
  <si>
    <t>成本明细表 准入证公告费已发生合同总额/10000</t>
  </si>
  <si>
    <t>成本明细表 房产测绘费（面积测量）成本总额</t>
  </si>
  <si>
    <t>成本明细表 房产测绘费（面积测量）已发生合同总额/10000</t>
  </si>
  <si>
    <t>成本明细表 房屋转让手续费（产权登记）成本总额</t>
  </si>
  <si>
    <t>成本明细表 房屋转让手续费（产权登记）已发生合同总额/10000</t>
  </si>
  <si>
    <t>第三大类控制指标之和</t>
  </si>
  <si>
    <t>第三大类总投资之和</t>
  </si>
  <si>
    <t>第三大类新目标成本之和</t>
  </si>
  <si>
    <t>第三大类合同值之和</t>
  </si>
  <si>
    <t>第三大类结算差异之和</t>
  </si>
  <si>
    <t>第三大类已发生成本之和</t>
  </si>
  <si>
    <t>第三大类待发生成本之和</t>
  </si>
  <si>
    <t>第三大类本月动态成本之和</t>
  </si>
  <si>
    <t>第三大类本月成本增加之和</t>
  </si>
  <si>
    <t>成本明细表 桩基础工程费成本总额</t>
  </si>
  <si>
    <t>成本明细表 桩基础工程费成本总额已发生合同总额/10000</t>
  </si>
  <si>
    <t>J72+L72</t>
    <phoneticPr fontId="4" type="noConversion"/>
  </si>
  <si>
    <t>N72-D72</t>
    <phoneticPr fontId="4" type="noConversion"/>
  </si>
  <si>
    <t>成本明细表 桩检测费用成本总额</t>
  </si>
  <si>
    <t>成本明细表 桩检测费用成本总额已发生合同总额/10000</t>
  </si>
  <si>
    <t>J73+L73</t>
    <phoneticPr fontId="4" type="noConversion"/>
  </si>
  <si>
    <t>N73-D73</t>
    <phoneticPr fontId="4" type="noConversion"/>
  </si>
  <si>
    <t>成本明细表 挖填土方成本总额</t>
  </si>
  <si>
    <t>成本明细表 挖填土方成本总额已发生合同总额/10000</t>
  </si>
  <si>
    <t>D74-J74</t>
    <phoneticPr fontId="4" type="noConversion"/>
  </si>
  <si>
    <t>成本明细表 地基处理费(强夯）成本总额</t>
  </si>
  <si>
    <t>成本明细表 地基处理费(强夯）成本总额已发生合同总额/10000</t>
  </si>
  <si>
    <t>D75-J75</t>
    <phoneticPr fontId="4" type="noConversion"/>
  </si>
  <si>
    <t>成本明细表 地基处理费（换填）成本总额</t>
  </si>
  <si>
    <t>成本明细表 地基处理费（换填）成本总额已发生合同总额/10000</t>
  </si>
  <si>
    <t>D76-J76</t>
    <phoneticPr fontId="4" type="noConversion"/>
  </si>
  <si>
    <t>成本明细表 沉降观测成本总额</t>
  </si>
  <si>
    <t>成本明细表 沉降观测成本总额已发生合同总额/10000</t>
  </si>
  <si>
    <t>成本明细表 建筑物定位测量及工程竣工验收测量成本总额</t>
  </si>
  <si>
    <t>成本明细表 建筑物定位测量及工程竣工验收测量成本总额已发生合同总额/10000</t>
  </si>
  <si>
    <t>D80/$D$4*10000</t>
    <phoneticPr fontId="4" type="noConversion"/>
  </si>
  <si>
    <t>成本明细 建安工程费[标准为毛坯房；含主体结构、装饰、栏杆扶手、水暖电等]成本总额</t>
  </si>
  <si>
    <t>成本明细 建安工程费[标准为毛坯房；含主体结构、装饰、栏杆扶手、水暖电等]已发生合同总额/10000</t>
  </si>
  <si>
    <t>J80+L80</t>
    <phoneticPr fontId="4" type="noConversion"/>
  </si>
  <si>
    <t>N80-D80</t>
    <phoneticPr fontId="4" type="noConversion"/>
  </si>
  <si>
    <t>D81/$D$4*10000</t>
    <phoneticPr fontId="4" type="noConversion"/>
  </si>
  <si>
    <t>成本明细 公共部位精装修成本总额</t>
  </si>
  <si>
    <t>成本明细 公共部位精装修已发生合同总额/10000</t>
  </si>
  <si>
    <t>J81+L81</t>
    <phoneticPr fontId="4" type="noConversion"/>
  </si>
  <si>
    <t>N81-D81</t>
    <phoneticPr fontId="4" type="noConversion"/>
  </si>
  <si>
    <t>成本明细 精装修(样板间、会所)成本总额</t>
  </si>
  <si>
    <t>成本明细 精装修(样板间、会所)已发生合同总额/10000</t>
  </si>
  <si>
    <t>成本明细 外檐保温石材及涂料成本总额</t>
  </si>
  <si>
    <t>成本明细 外檐保温石材及涂料已发生合同总额/10000</t>
  </si>
  <si>
    <t>D83-J83</t>
    <phoneticPr fontId="4" type="noConversion"/>
  </si>
  <si>
    <t>成本明细 外檐断桥铝合金门窗成本总额</t>
  </si>
  <si>
    <t>成本明细 外檐断桥铝合金门窗已发生合同总额/10000</t>
  </si>
  <si>
    <t>D84-J84</t>
    <phoneticPr fontId="4" type="noConversion"/>
  </si>
  <si>
    <t>成本明细 铝合金空调百叶成本总额</t>
  </si>
  <si>
    <t>成本明细 铝合金空调百叶已发生合同总额/10000</t>
  </si>
  <si>
    <t>成本明细 入户门（不含小院门）成本总额</t>
  </si>
  <si>
    <t>成本明细 入户门（不含小院门）已发生合同总额/10000</t>
  </si>
  <si>
    <t>成本明细 配电箱及电表箱成本总额</t>
  </si>
  <si>
    <t>成本明细 配电箱及电表箱已发生合同总额/10000</t>
  </si>
  <si>
    <t>D89/$D$4*10000</t>
    <phoneticPr fontId="4" type="noConversion"/>
  </si>
  <si>
    <t>成本明细 电梯成本总额</t>
  </si>
  <si>
    <t>成本明细 电梯已发生合同总额/10000</t>
  </si>
  <si>
    <t>D89-J89</t>
    <phoneticPr fontId="4" type="noConversion"/>
  </si>
  <si>
    <t>J89+L89</t>
    <phoneticPr fontId="4" type="noConversion"/>
  </si>
  <si>
    <t>N89-D89</t>
    <phoneticPr fontId="4" type="noConversion"/>
  </si>
  <si>
    <t>D90/$D$4*10000</t>
    <phoneticPr fontId="4" type="noConversion"/>
  </si>
  <si>
    <t>成本明细 智能化（对讲、窗磁等）成本总额</t>
  </si>
  <si>
    <t>成本明细 智能化（对讲、窗磁等）已发生合同总额/10000</t>
  </si>
  <si>
    <t>D90-J90</t>
    <phoneticPr fontId="4" type="noConversion"/>
  </si>
  <si>
    <t>J90+L90</t>
    <phoneticPr fontId="4" type="noConversion"/>
  </si>
  <si>
    <t>N90-D90</t>
    <phoneticPr fontId="4" type="noConversion"/>
  </si>
  <si>
    <t>成本明细 消防工程成本总额</t>
  </si>
  <si>
    <t>成本明细 消防工程已发生合同总额/10000</t>
  </si>
  <si>
    <t>D91-J91</t>
    <phoneticPr fontId="4" type="noConversion"/>
  </si>
  <si>
    <t>成本明细 人防工程成本总额</t>
  </si>
  <si>
    <t>成本明细 人防工程已发生合同总额/10000</t>
  </si>
  <si>
    <t>D92-J92</t>
    <phoneticPr fontId="4" type="noConversion"/>
  </si>
  <si>
    <t>成本明细 空调系统工程成本总额</t>
  </si>
  <si>
    <t>成本明细 空调系统工程已发生合同总额/10000</t>
  </si>
  <si>
    <t>成本明细 通风系统工程成本总额</t>
  </si>
  <si>
    <t>成本明细 通风系统工程已发生合同总额/10000</t>
  </si>
  <si>
    <t>成本明细 机械车位租赁（双层）成本总额</t>
  </si>
  <si>
    <t>成本明细 机械车位租赁（双层）已发生合同总额/10000</t>
  </si>
  <si>
    <t>D95-J95</t>
    <phoneticPr fontId="4" type="noConversion"/>
  </si>
  <si>
    <t>成本明细 太阳能系统(四步节能）成本总额</t>
  </si>
  <si>
    <t>成本明细 太阳能系统(四步节能）已发生合同总额/10000</t>
  </si>
  <si>
    <t>D96-J96</t>
    <phoneticPr fontId="4" type="noConversion"/>
  </si>
  <si>
    <t>D98/$D$4*10000</t>
    <phoneticPr fontId="4" type="noConversion"/>
  </si>
  <si>
    <t>成本明细 区内景观工程（含示范区景观）成本总额</t>
  </si>
  <si>
    <t>成本明细 区内景观工程（含示范区景观）已发生合同总额/10000</t>
  </si>
  <si>
    <t>J98+L98</t>
    <phoneticPr fontId="4" type="noConversion"/>
  </si>
  <si>
    <t>N98-D98</t>
    <phoneticPr fontId="4" type="noConversion"/>
  </si>
  <si>
    <t>D99/$D$4*10000</t>
    <phoneticPr fontId="4" type="noConversion"/>
  </si>
  <si>
    <t>成本明细 区外挡土墙工程成本总额</t>
    <phoneticPr fontId="4" type="noConversion"/>
  </si>
  <si>
    <t>成本明细 区外挡土墙工程已发生合同总额/10000</t>
  </si>
  <si>
    <t>J99+L99</t>
    <phoneticPr fontId="4" type="noConversion"/>
  </si>
  <si>
    <t>N99-D99</t>
    <phoneticPr fontId="4" type="noConversion"/>
  </si>
  <si>
    <t>成本明细 界外地景观成本总额</t>
  </si>
  <si>
    <t>成本明细 界外地景观已发生合同总额/10000</t>
  </si>
  <si>
    <t>D100-J100</t>
    <phoneticPr fontId="4" type="noConversion"/>
  </si>
  <si>
    <t>D102/$D$4*10000</t>
    <phoneticPr fontId="4" type="noConversion"/>
  </si>
  <si>
    <t>成本明细 土建监理费成本总额</t>
    <phoneticPr fontId="4" type="noConversion"/>
  </si>
  <si>
    <t>成本明细 土建监理费已发生合同总额/10000</t>
  </si>
  <si>
    <t>J102+L102</t>
    <phoneticPr fontId="4" type="noConversion"/>
  </si>
  <si>
    <t>N102-D102</t>
    <phoneticPr fontId="4" type="noConversion"/>
  </si>
  <si>
    <t>D103/$D$4*10000</t>
    <phoneticPr fontId="4" type="noConversion"/>
  </si>
  <si>
    <t>成本明细 含人防监理费成本总额</t>
  </si>
  <si>
    <t>成本明细 含人防监理费已发生合同总额/10000</t>
  </si>
  <si>
    <t>J103+L103</t>
    <phoneticPr fontId="4" type="noConversion"/>
  </si>
  <si>
    <t>N103-D103</t>
    <phoneticPr fontId="4" type="noConversion"/>
  </si>
  <si>
    <t>变更签证</t>
    <phoneticPr fontId="4" type="noConversion"/>
  </si>
  <si>
    <t>D104/$D$4*10000</t>
    <phoneticPr fontId="4" type="noConversion"/>
  </si>
  <si>
    <t>成本明细 变更签证成本总额</t>
    <phoneticPr fontId="4" type="noConversion"/>
  </si>
  <si>
    <t>成本明细 变更签证已发生合同总额/10000</t>
  </si>
  <si>
    <t>J104+L104</t>
    <phoneticPr fontId="4" type="noConversion"/>
  </si>
  <si>
    <t>N104-D104</t>
    <phoneticPr fontId="4" type="noConversion"/>
  </si>
  <si>
    <t>第四大类控制指标之和</t>
  </si>
  <si>
    <t>第四大类总投资之和</t>
  </si>
  <si>
    <t>第四大类新目标成本之和</t>
    <phoneticPr fontId="4" type="noConversion"/>
  </si>
  <si>
    <t>第四大类合同值之和</t>
  </si>
  <si>
    <t>第四大类结算差异之和</t>
  </si>
  <si>
    <t>第四大类已发生成本之和</t>
  </si>
  <si>
    <t>第四大类待发生成本之和</t>
  </si>
  <si>
    <t>第四大类本月动态成本之和</t>
  </si>
  <si>
    <t>第四大类本月成本增加之和</t>
  </si>
  <si>
    <t>D107/$D$4*10000</t>
    <phoneticPr fontId="4" type="noConversion"/>
  </si>
  <si>
    <t>成本明细 电力工程费成本总额</t>
    <phoneticPr fontId="4" type="noConversion"/>
  </si>
  <si>
    <t>成本明细 电力工程费已发生合同总额/10000</t>
  </si>
  <si>
    <t>D107-J107</t>
    <phoneticPr fontId="4" type="noConversion"/>
  </si>
  <si>
    <t>J107+L107</t>
    <phoneticPr fontId="4" type="noConversion"/>
  </si>
  <si>
    <t>N107-D107</t>
    <phoneticPr fontId="4" type="noConversion"/>
  </si>
  <si>
    <t>D108/$D$4*10000</t>
    <phoneticPr fontId="4" type="noConversion"/>
  </si>
  <si>
    <t>成本明细 一户一表费成本总额</t>
  </si>
  <si>
    <t>成本明细 一户一表费已发生合同总额/10000</t>
  </si>
  <si>
    <t>D108-J108</t>
    <phoneticPr fontId="4" type="noConversion"/>
  </si>
  <si>
    <t>J108+L108</t>
    <phoneticPr fontId="4" type="noConversion"/>
  </si>
  <si>
    <t>N108-D108</t>
    <phoneticPr fontId="4" type="noConversion"/>
  </si>
  <si>
    <t>成本明细 外线路由费及破路补偿费成本总额</t>
  </si>
  <si>
    <t>成本明细 外线路由费及破路补偿费已发生合同总额/10000</t>
  </si>
  <si>
    <t>成本明细 配电柜成本总额</t>
    <phoneticPr fontId="4" type="noConversion"/>
  </si>
  <si>
    <t>成本明细 配电柜已发生合同总额/10000</t>
  </si>
  <si>
    <t>成本明细 内缆工程费成本总额</t>
  </si>
  <si>
    <t>成本明细 内缆工程费已发生合同总额/10000</t>
  </si>
  <si>
    <t>成本明细 箱式站基础、Cf箱基础、土建变电站成本总额</t>
  </si>
  <si>
    <t>成本明细 箱式站基础、Cf箱基础、土建变电站已发生合同总额/10000</t>
  </si>
  <si>
    <t>成本明细 红号站设备成本总额</t>
  </si>
  <si>
    <t>成本明细 红号站设备已发生合同总额/10000</t>
  </si>
  <si>
    <t>D115/$D$4*10000</t>
    <phoneticPr fontId="4" type="noConversion"/>
  </si>
  <si>
    <t>成本明细 自来水工程费成本总额</t>
  </si>
  <si>
    <t>成本明细 自来水工程费已发生合同总额/10000</t>
  </si>
  <si>
    <t>D115-J115</t>
    <phoneticPr fontId="4" type="noConversion"/>
  </si>
  <si>
    <t>J115+L115</t>
    <phoneticPr fontId="4" type="noConversion"/>
  </si>
  <si>
    <t>N115-D115</t>
    <phoneticPr fontId="4" type="noConversion"/>
  </si>
  <si>
    <t>D116/$D$4*10000</t>
    <phoneticPr fontId="4" type="noConversion"/>
  </si>
  <si>
    <t>成本明细 自来水工程费（二次网）成本总额</t>
  </si>
  <si>
    <t>D116-J116</t>
    <phoneticPr fontId="4" type="noConversion"/>
  </si>
  <si>
    <t>J116+L116</t>
    <phoneticPr fontId="4" type="noConversion"/>
  </si>
  <si>
    <t>N116-D116</t>
    <phoneticPr fontId="4" type="noConversion"/>
  </si>
  <si>
    <t>成本明细 水表成本总额</t>
  </si>
  <si>
    <t>成本明细 室外消火栓成本总额</t>
  </si>
  <si>
    <t>成本明细 水土保持设施补偿费成本总额</t>
  </si>
  <si>
    <t>成本明细 水土保持设施补偿费已发生合同总额/10000</t>
  </si>
  <si>
    <t>成本明细 地下水资源费成本总额</t>
  </si>
  <si>
    <t>成本明细 地下水资源费已发生合同总额/10000</t>
  </si>
  <si>
    <t>成本明细 水土保持方案编制费成本总额</t>
  </si>
  <si>
    <t>成本明细 水土保持方案编制费已发生合同总额/10000</t>
  </si>
  <si>
    <t>成本明细 用水报告书编制费成本总额</t>
    <phoneticPr fontId="4" type="noConversion"/>
  </si>
  <si>
    <t>成本明细 用水报告书编制费已发生合同总额/10000</t>
  </si>
  <si>
    <t>成本明细 二次供水工程设备费成本总额</t>
  </si>
  <si>
    <t>成本明细 二次供水工程设备费已发生合同总额/10000</t>
    <phoneticPr fontId="4" type="noConversion"/>
  </si>
  <si>
    <t>D125/$D$4*10000</t>
    <phoneticPr fontId="4" type="noConversion"/>
  </si>
  <si>
    <t>成本明细 中水工程费成本总额</t>
  </si>
  <si>
    <t>D125-J125</t>
    <phoneticPr fontId="4" type="noConversion"/>
  </si>
  <si>
    <t>J125+L125</t>
    <phoneticPr fontId="4" type="noConversion"/>
  </si>
  <si>
    <t>N125-D125</t>
    <phoneticPr fontId="4" type="noConversion"/>
  </si>
  <si>
    <t>D126/$D$4*10000</t>
    <phoneticPr fontId="4" type="noConversion"/>
  </si>
  <si>
    <t>成本明细 中水工程费（二次网）成本总额</t>
  </si>
  <si>
    <t>D126-J126</t>
    <phoneticPr fontId="4" type="noConversion"/>
  </si>
  <si>
    <t>J126+L126</t>
    <phoneticPr fontId="4" type="noConversion"/>
  </si>
  <si>
    <t>N126-D126</t>
    <phoneticPr fontId="4" type="noConversion"/>
  </si>
  <si>
    <t>成本明细 二次供水工程设备费成本总额</t>
    <phoneticPr fontId="4" type="noConversion"/>
  </si>
  <si>
    <t>排水工程费</t>
    <phoneticPr fontId="4" type="noConversion"/>
  </si>
  <si>
    <t>D130/$D$4*10000</t>
    <phoneticPr fontId="4" type="noConversion"/>
  </si>
  <si>
    <t>成本明细 排水工程费成本总额</t>
    <phoneticPr fontId="4" type="noConversion"/>
  </si>
  <si>
    <t>成本明细 排水工程费已发生合同总额/10000</t>
    <phoneticPr fontId="4" type="noConversion"/>
  </si>
  <si>
    <t>D130-J130</t>
    <phoneticPr fontId="4" type="noConversion"/>
  </si>
  <si>
    <t>J130+L130</t>
    <phoneticPr fontId="4" type="noConversion"/>
  </si>
  <si>
    <t>N130-D130</t>
    <phoneticPr fontId="4" type="noConversion"/>
  </si>
  <si>
    <t>排水破路施工费</t>
    <phoneticPr fontId="4" type="noConversion"/>
  </si>
  <si>
    <t>D131/$D$4*10000</t>
    <phoneticPr fontId="4" type="noConversion"/>
  </si>
  <si>
    <t>成本明细 排水破路施工费成本总额</t>
    <phoneticPr fontId="4" type="noConversion"/>
  </si>
  <si>
    <t>成本明细 排水破路施工费已发生合同总额/10000</t>
    <phoneticPr fontId="4" type="noConversion"/>
  </si>
  <si>
    <t>D131-J131</t>
    <phoneticPr fontId="4" type="noConversion"/>
  </si>
  <si>
    <t>J131+L131</t>
    <phoneticPr fontId="4" type="noConversion"/>
  </si>
  <si>
    <t>N131-D131</t>
    <phoneticPr fontId="4" type="noConversion"/>
  </si>
  <si>
    <t>供热工程建设费</t>
    <phoneticPr fontId="4" type="noConversion"/>
  </si>
  <si>
    <t>D133/$D$4*10000</t>
    <phoneticPr fontId="4" type="noConversion"/>
  </si>
  <si>
    <t>成本明细 供热工程建设费成本总额</t>
    <phoneticPr fontId="4" type="noConversion"/>
  </si>
  <si>
    <t>成本明细 供热工程建设费已发生合同总额/10000</t>
    <phoneticPr fontId="4" type="noConversion"/>
  </si>
  <si>
    <t>J133+L133</t>
    <phoneticPr fontId="4" type="noConversion"/>
  </si>
  <si>
    <t>N133-D133</t>
    <phoneticPr fontId="4" type="noConversion"/>
  </si>
  <si>
    <t>供热内网费</t>
    <phoneticPr fontId="4" type="noConversion"/>
  </si>
  <si>
    <t>D134/$D$4*10000</t>
    <phoneticPr fontId="4" type="noConversion"/>
  </si>
  <si>
    <t>成本明细 供热内网费成本总额</t>
    <phoneticPr fontId="4" type="noConversion"/>
  </si>
  <si>
    <t>成本明细 供热内网费已发生合同总额/10000</t>
    <phoneticPr fontId="4" type="noConversion"/>
  </si>
  <si>
    <t>D134-J134</t>
    <phoneticPr fontId="4" type="noConversion"/>
  </si>
  <si>
    <t>J134+L134</t>
    <phoneticPr fontId="4" type="noConversion"/>
  </si>
  <si>
    <t>N134-D134</t>
    <phoneticPr fontId="4" type="noConversion"/>
  </si>
  <si>
    <t>热计量表</t>
    <phoneticPr fontId="4" type="noConversion"/>
  </si>
  <si>
    <t>成本明细 热计量表成本总额</t>
    <phoneticPr fontId="4" type="noConversion"/>
  </si>
  <si>
    <t>成本明细 热计量表已发生合同总额/10000</t>
    <phoneticPr fontId="4" type="noConversion"/>
  </si>
  <si>
    <t>D135-J135</t>
    <phoneticPr fontId="4" type="noConversion"/>
  </si>
  <si>
    <t>气源发展基金(蓟县另收）</t>
    <phoneticPr fontId="4" type="noConversion"/>
  </si>
  <si>
    <t>D137/$D$4*10000</t>
    <phoneticPr fontId="4" type="noConversion"/>
  </si>
  <si>
    <t>成本明细 气源发展基金(蓟县另收）成本总额</t>
    <phoneticPr fontId="4" type="noConversion"/>
  </si>
  <si>
    <t>成本明细 气源发展基金(蓟县另收）已发生合同总额/10000</t>
  </si>
  <si>
    <t>D137-J137</t>
    <phoneticPr fontId="4" type="noConversion"/>
  </si>
  <si>
    <t>J137+L137</t>
    <phoneticPr fontId="4" type="noConversion"/>
  </si>
  <si>
    <t>N137-D137</t>
    <phoneticPr fontId="4" type="noConversion"/>
  </si>
  <si>
    <t>燃气工程费</t>
    <phoneticPr fontId="4" type="noConversion"/>
  </si>
  <si>
    <t>D138/$D$4*10000</t>
    <phoneticPr fontId="4" type="noConversion"/>
  </si>
  <si>
    <t>成本明细 燃气工程费成本总额</t>
    <phoneticPr fontId="4" type="noConversion"/>
  </si>
  <si>
    <t>成本明细 燃气工程费已发生合同总额/10000</t>
  </si>
  <si>
    <t>D138-J138</t>
    <phoneticPr fontId="4" type="noConversion"/>
  </si>
  <si>
    <t>J138+L138</t>
    <phoneticPr fontId="4" type="noConversion"/>
  </si>
  <si>
    <t>N138-D138</t>
    <phoneticPr fontId="4" type="noConversion"/>
  </si>
  <si>
    <t>燃气设计费</t>
    <phoneticPr fontId="4" type="noConversion"/>
  </si>
  <si>
    <t>成本明细 燃气设计费成本总额</t>
    <phoneticPr fontId="4" type="noConversion"/>
  </si>
  <si>
    <t>成本明细 燃气设计费已发生合同总额/10000</t>
  </si>
  <si>
    <t>燃气表费</t>
    <phoneticPr fontId="4" type="noConversion"/>
  </si>
  <si>
    <t>成本明细 燃气表费成本总额</t>
    <phoneticPr fontId="4" type="noConversion"/>
  </si>
  <si>
    <t>成本明细 燃气表费已发生合同总额/10000</t>
  </si>
  <si>
    <t>D140-J140</t>
    <phoneticPr fontId="4" type="noConversion"/>
  </si>
  <si>
    <t>燃气报警器</t>
    <phoneticPr fontId="4" type="noConversion"/>
  </si>
  <si>
    <t>成本明细 燃气报警器成本总额</t>
    <phoneticPr fontId="4" type="noConversion"/>
  </si>
  <si>
    <t>成本明细 燃气报警器已发生合同总额/10000</t>
  </si>
  <si>
    <t>D141-J141</t>
    <phoneticPr fontId="4" type="noConversion"/>
  </si>
  <si>
    <t>点火费</t>
    <phoneticPr fontId="4" type="noConversion"/>
  </si>
  <si>
    <t>成本明细 点火费成本总额</t>
    <phoneticPr fontId="4" type="noConversion"/>
  </si>
  <si>
    <t>成本明细 点火费已发生合同总额/10000</t>
  </si>
  <si>
    <t>D142-J142</t>
    <phoneticPr fontId="4" type="noConversion"/>
  </si>
  <si>
    <t>电视线路安装费</t>
    <phoneticPr fontId="4" type="noConversion"/>
  </si>
  <si>
    <t>D144/$D$4*10000</t>
    <phoneticPr fontId="4" type="noConversion"/>
  </si>
  <si>
    <t>成本明细 电视线路安装费成本总额</t>
    <phoneticPr fontId="4" type="noConversion"/>
  </si>
  <si>
    <t>成本明细 电视线路安装费已发生合同总额/10000</t>
  </si>
  <si>
    <t>J145+L145</t>
    <phoneticPr fontId="4" type="noConversion"/>
  </si>
  <si>
    <t>N145-D145</t>
    <phoneticPr fontId="4" type="noConversion"/>
  </si>
  <si>
    <t>电视外网工程费</t>
    <phoneticPr fontId="4" type="noConversion"/>
  </si>
  <si>
    <t>D145/$D$4*10000</t>
    <phoneticPr fontId="4" type="noConversion"/>
  </si>
  <si>
    <t>成本明细 电视外网工程费成本总额</t>
    <phoneticPr fontId="4" type="noConversion"/>
  </si>
  <si>
    <t>成本明细 电视外网工程费已发生合同总额/10000</t>
  </si>
  <si>
    <t>J146+L146</t>
    <phoneticPr fontId="4" type="noConversion"/>
  </si>
  <si>
    <t>N146-D146</t>
    <phoneticPr fontId="4" type="noConversion"/>
  </si>
  <si>
    <t>通讯线路安装费</t>
    <phoneticPr fontId="4" type="noConversion"/>
  </si>
  <si>
    <t>成本明细 通讯线路安装费成本总额</t>
    <phoneticPr fontId="4" type="noConversion"/>
  </si>
  <si>
    <t>成本明细 通讯线路安装费已发生合同总额/10000</t>
  </si>
  <si>
    <t>区停车场管理系统</t>
    <phoneticPr fontId="4" type="noConversion"/>
  </si>
  <si>
    <t>D148/$D$4*10000</t>
    <phoneticPr fontId="4" type="noConversion"/>
  </si>
  <si>
    <t>成本明细 区停车场管理系统成本总额</t>
    <phoneticPr fontId="4" type="noConversion"/>
  </si>
  <si>
    <t>成本明细 区停车场管理系统已发生合同总额/10000</t>
  </si>
  <si>
    <t>D148-J148</t>
    <phoneticPr fontId="4" type="noConversion"/>
  </si>
  <si>
    <t>J148+L148</t>
    <phoneticPr fontId="4" type="noConversion"/>
  </si>
  <si>
    <t>N148-D148</t>
    <phoneticPr fontId="4" type="noConversion"/>
  </si>
  <si>
    <t>安防系统工程、交通设施</t>
    <phoneticPr fontId="4" type="noConversion"/>
  </si>
  <si>
    <t>D149/$D$4*10000</t>
    <phoneticPr fontId="4" type="noConversion"/>
  </si>
  <si>
    <t>成本明细 安防系统工程、交通设施成本总额</t>
    <phoneticPr fontId="4" type="noConversion"/>
  </si>
  <si>
    <t>成本明细 安防系统工程、交通设施已发生合同总额/10000</t>
  </si>
  <si>
    <t>D149-J149</t>
    <phoneticPr fontId="4" type="noConversion"/>
  </si>
  <si>
    <t>J149+L149</t>
    <phoneticPr fontId="4" type="noConversion"/>
  </si>
  <si>
    <t>N149-D149</t>
    <phoneticPr fontId="4" type="noConversion"/>
  </si>
  <si>
    <t>音乐广播、电子屏系统</t>
    <phoneticPr fontId="4" type="noConversion"/>
  </si>
  <si>
    <t>成本明细 音乐广播、电子屏系统成本总额</t>
    <phoneticPr fontId="4" type="noConversion"/>
  </si>
  <si>
    <t>成本明细 音乐广播、电子屏系统已发生合同总额/10000</t>
    <phoneticPr fontId="4" type="noConversion"/>
  </si>
  <si>
    <t>子类总投资之和</t>
    <phoneticPr fontId="4" type="noConversion"/>
  </si>
  <si>
    <t>邮政设施</t>
    <phoneticPr fontId="4" type="noConversion"/>
  </si>
  <si>
    <t>D152/$D$4*10000</t>
    <phoneticPr fontId="4" type="noConversion"/>
  </si>
  <si>
    <t>成本明细 邮政设施成本总额</t>
    <phoneticPr fontId="4" type="noConversion"/>
  </si>
  <si>
    <t>成本明细 邮政设施已发生合同总额/10000</t>
  </si>
  <si>
    <t>D152-J152</t>
    <phoneticPr fontId="4" type="noConversion"/>
  </si>
  <si>
    <t>J152+L152</t>
    <phoneticPr fontId="4" type="noConversion"/>
  </si>
  <si>
    <t>N152-D152</t>
    <phoneticPr fontId="4" type="noConversion"/>
  </si>
  <si>
    <t>环卫设施</t>
    <phoneticPr fontId="4" type="noConversion"/>
  </si>
  <si>
    <t>D153/$D$4*10000</t>
    <phoneticPr fontId="4" type="noConversion"/>
  </si>
  <si>
    <t>成本明细 环卫设施成本总额</t>
    <phoneticPr fontId="4" type="noConversion"/>
  </si>
  <si>
    <t>成本明细 环卫设施已发生合同总额/10000</t>
  </si>
  <si>
    <t>D153-J153</t>
    <phoneticPr fontId="4" type="noConversion"/>
  </si>
  <si>
    <t>J153+L153</t>
    <phoneticPr fontId="4" type="noConversion"/>
  </si>
  <si>
    <t>N153-D153</t>
    <phoneticPr fontId="4" type="noConversion"/>
  </si>
  <si>
    <t>交通设施</t>
    <phoneticPr fontId="4" type="noConversion"/>
  </si>
  <si>
    <t>成本明细 交通设施成本总额</t>
    <phoneticPr fontId="4" type="noConversion"/>
  </si>
  <si>
    <t>成本明细 交通设施已发生合同总额/10000</t>
    <phoneticPr fontId="4" type="noConversion"/>
  </si>
  <si>
    <t>第五大类控制指标之和</t>
  </si>
  <si>
    <t>第五大类总投资之和</t>
  </si>
  <si>
    <t>第五大类新目标成本之和</t>
  </si>
  <si>
    <t>第五大类合同值之和</t>
  </si>
  <si>
    <t>第五大类结算差异之和</t>
  </si>
  <si>
    <t>第五大类已发生成本之和</t>
  </si>
  <si>
    <t>第五大类待发生成本之和</t>
  </si>
  <si>
    <t>第五大类本月动态成本之和</t>
  </si>
  <si>
    <t>第五大类本月成本增加之和</t>
  </si>
  <si>
    <t>非营业性公建配套费</t>
    <phoneticPr fontId="4" type="noConversion"/>
  </si>
  <si>
    <t>D156/$D$4*10000</t>
    <phoneticPr fontId="4" type="noConversion"/>
  </si>
  <si>
    <t>成本明细 非营业性公建配套费成本总额</t>
    <phoneticPr fontId="4" type="noConversion"/>
  </si>
  <si>
    <t>成本明细 非营业性公建配套费已发生合同总额/10000</t>
    <phoneticPr fontId="4" type="noConversion"/>
  </si>
  <si>
    <t>D156-J156</t>
    <phoneticPr fontId="4" type="noConversion"/>
  </si>
  <si>
    <t>J156+L156</t>
    <phoneticPr fontId="4" type="noConversion"/>
  </si>
  <si>
    <t>N156-D156</t>
    <phoneticPr fontId="4" type="noConversion"/>
  </si>
  <si>
    <t>物业开办费</t>
    <phoneticPr fontId="4" type="noConversion"/>
  </si>
  <si>
    <t>D158/$D$4*10000</t>
    <phoneticPr fontId="4" type="noConversion"/>
  </si>
  <si>
    <t>成本明细 物业开办费成本总额</t>
    <phoneticPr fontId="4" type="noConversion"/>
  </si>
  <si>
    <t>成本明细 物业开办费已发生合同总额/10000</t>
    <phoneticPr fontId="4" type="noConversion"/>
  </si>
  <si>
    <t>D158-J158</t>
    <phoneticPr fontId="4" type="noConversion"/>
  </si>
  <si>
    <t>J158+L158</t>
    <phoneticPr fontId="4" type="noConversion"/>
  </si>
  <si>
    <t>N158-D158</t>
    <phoneticPr fontId="4" type="noConversion"/>
  </si>
  <si>
    <t>前期配合费</t>
    <phoneticPr fontId="4" type="noConversion"/>
  </si>
  <si>
    <t>D159/$D$4*10000</t>
    <phoneticPr fontId="4" type="noConversion"/>
  </si>
  <si>
    <t>成本明细 前期配合费成本总额</t>
    <phoneticPr fontId="4" type="noConversion"/>
  </si>
  <si>
    <t>成本明细 前期配合费已发生合同总额/10000</t>
  </si>
  <si>
    <t>D159-J159</t>
    <phoneticPr fontId="4" type="noConversion"/>
  </si>
  <si>
    <t>J159+L159</t>
    <phoneticPr fontId="4" type="noConversion"/>
  </si>
  <si>
    <t>N159-D159</t>
    <phoneticPr fontId="4" type="noConversion"/>
  </si>
  <si>
    <t>验房费</t>
    <phoneticPr fontId="4" type="noConversion"/>
  </si>
  <si>
    <t>成本明细 验房费成本总额</t>
    <phoneticPr fontId="4" type="noConversion"/>
  </si>
  <si>
    <t>成本明细 验房费已发生合同总额/10000</t>
  </si>
  <si>
    <t>空房管理费</t>
    <phoneticPr fontId="4" type="noConversion"/>
  </si>
  <si>
    <t>成本明细 空房管理费成本总额</t>
    <phoneticPr fontId="4" type="noConversion"/>
  </si>
  <si>
    <t>成本明细 空房管理费已发生合同总额/10000</t>
    <phoneticPr fontId="4" type="noConversion"/>
  </si>
  <si>
    <t>空房采暖费</t>
    <phoneticPr fontId="4" type="noConversion"/>
  </si>
  <si>
    <t>D162/$D$4*10000</t>
    <phoneticPr fontId="4" type="noConversion"/>
  </si>
  <si>
    <t>成本明细 空房采暖费成本总额</t>
    <phoneticPr fontId="4" type="noConversion"/>
  </si>
  <si>
    <t>成本明细 空房采暖费已发生合同总额/10000</t>
    <phoneticPr fontId="4" type="noConversion"/>
  </si>
  <si>
    <t>N162-D162</t>
    <phoneticPr fontId="4" type="noConversion"/>
  </si>
  <si>
    <t>不可预见费（建安工程费的千分之五）</t>
    <phoneticPr fontId="4" type="noConversion"/>
  </si>
  <si>
    <t>D163/$D$4*10000</t>
    <phoneticPr fontId="4" type="noConversion"/>
  </si>
  <si>
    <t>成本明细 不可预见费成本总额</t>
    <phoneticPr fontId="4" type="noConversion"/>
  </si>
  <si>
    <t>成本明细 不可预见费已发生合同总额/10000</t>
    <phoneticPr fontId="4" type="noConversion"/>
  </si>
  <si>
    <t>F163+G163+H163+I163</t>
    <phoneticPr fontId="4" type="noConversion"/>
  </si>
  <si>
    <t>D163-J163</t>
    <phoneticPr fontId="4" type="noConversion"/>
  </si>
  <si>
    <t>J163+L163</t>
    <phoneticPr fontId="4" type="noConversion"/>
  </si>
  <si>
    <t>N163-D163</t>
    <phoneticPr fontId="4" type="noConversion"/>
  </si>
  <si>
    <t>C8+C16+C70+C105+C155+C163</t>
    <phoneticPr fontId="4" type="noConversion"/>
  </si>
  <si>
    <t>D8+D16+D70+D105+D155+D163</t>
    <phoneticPr fontId="4" type="noConversion"/>
  </si>
  <si>
    <t>F8+F16+F70+F105+F155+F163</t>
    <phoneticPr fontId="4" type="noConversion"/>
  </si>
  <si>
    <t>G8+G16+G70+G105+G155+G163</t>
    <phoneticPr fontId="4" type="noConversion"/>
  </si>
  <si>
    <t>H8+H16+H70+H105+H155+H163</t>
    <phoneticPr fontId="4" type="noConversion"/>
  </si>
  <si>
    <t>I8+I16+I70+I105+I155+I163</t>
    <phoneticPr fontId="4" type="noConversion"/>
  </si>
  <si>
    <t>J8+J16+J70+J105+J155+J163</t>
    <phoneticPr fontId="4" type="noConversion"/>
  </si>
  <si>
    <t>L8+L16+L70+L105+L155+L163</t>
    <phoneticPr fontId="4" type="noConversion"/>
  </si>
  <si>
    <t>M8+M16+M70+M105+M155+M163</t>
    <phoneticPr fontId="4" type="noConversion"/>
  </si>
  <si>
    <t>N8+N16+N70+N105+N155+N163</t>
    <phoneticPr fontId="4" type="noConversion"/>
  </si>
  <si>
    <t>O8+O16+O70+O105+O155+O163</t>
    <phoneticPr fontId="4" type="noConversion"/>
  </si>
  <si>
    <t>?</t>
    <phoneticPr fontId="4" type="noConversion"/>
  </si>
  <si>
    <t>N165-J165</t>
    <phoneticPr fontId="4" type="noConversion"/>
  </si>
  <si>
    <t>销售价格测算 销售额总计</t>
    <phoneticPr fontId="4" type="noConversion"/>
  </si>
  <si>
    <t>J167+L167</t>
    <phoneticPr fontId="4" type="noConversion"/>
  </si>
  <si>
    <t>N167/N165</t>
    <phoneticPr fontId="4" type="noConversion"/>
  </si>
  <si>
    <t>J168/29*25</t>
  </si>
  <si>
    <t>J168+L168</t>
  </si>
  <si>
    <t>N168/N165</t>
  </si>
  <si>
    <t>J165*0.01</t>
    <phoneticPr fontId="4" type="noConversion"/>
  </si>
  <si>
    <t>J169+L169</t>
  </si>
  <si>
    <t>5400-J170?</t>
    <phoneticPr fontId="4" type="noConversion"/>
  </si>
  <si>
    <t>J170+L170</t>
  </si>
  <si>
    <t>J171+L171</t>
  </si>
  <si>
    <t>J165*0.0565</t>
  </si>
  <si>
    <t>L165*0.0565</t>
  </si>
  <si>
    <t>J172+L172</t>
  </si>
  <si>
    <t>N165*0.02</t>
  </si>
  <si>
    <t>N164+N167+N168+N169+N170+N171+N172+N173</t>
  </si>
  <si>
    <t>N165-N174</t>
  </si>
  <si>
    <t>N175/N165</t>
  </si>
  <si>
    <t>N175*0.25</t>
  </si>
  <si>
    <t>N174+N177</t>
  </si>
  <si>
    <t>N165-N178</t>
  </si>
  <si>
    <t>N179/N165</t>
  </si>
  <si>
    <t>前</t>
    <phoneticPr fontId="4" type="noConversion"/>
  </si>
  <si>
    <t>2.7 检测费用</t>
    <phoneticPr fontId="4" type="noConversion"/>
  </si>
  <si>
    <t>2.7.1.避雷检测费</t>
    <phoneticPr fontId="4" type="noConversion"/>
  </si>
  <si>
    <t>一级项目</t>
    <phoneticPr fontId="4" type="noConversion"/>
  </si>
  <si>
    <t>土地费</t>
    <phoneticPr fontId="4" type="noConversion"/>
  </si>
  <si>
    <t>成本明细表二级项目的所有子项目相关已发生合同额之和/10000</t>
  </si>
  <si>
    <t>成本明细表二级项目的所有子项目相关成本总额之和/$D$4*10000</t>
  </si>
  <si>
    <t>成本明细表二级项目的所有子项目相关成本总额之和</t>
  </si>
  <si>
    <t>二级项目的所有子项目总投资之和 - 二级项目的所有子项目已发生成本之和</t>
  </si>
  <si>
    <t>二级项目的所有子项目已发生成本之和 + 二级项目的所有子项目待发生成本之和</t>
  </si>
  <si>
    <t>二级项目的所有子项目月动态成本之和 - 二级项目的所有子项目总投资之和</t>
  </si>
  <si>
    <t>二级项目总投资之和之和</t>
    <phoneticPr fontId="4" type="noConversion"/>
  </si>
  <si>
    <t>二级项目已发生成本之和之和</t>
    <phoneticPr fontId="4" type="noConversion"/>
  </si>
  <si>
    <t>二级项目待发生成本之和之和</t>
    <phoneticPr fontId="4" type="noConversion"/>
  </si>
  <si>
    <t>二级项目月动态成本之和之和</t>
    <phoneticPr fontId="4" type="noConversion"/>
  </si>
  <si>
    <t>二级项目已发生成本之和</t>
    <phoneticPr fontId="4" type="noConversion"/>
  </si>
  <si>
    <t>二级项目待发生成本之和</t>
    <phoneticPr fontId="4" type="noConversion"/>
  </si>
  <si>
    <t>二级项目本月动态成本之和</t>
    <phoneticPr fontId="4" type="noConversion"/>
  </si>
  <si>
    <t>土地及大配套费一级项目成本增加之和</t>
    <phoneticPr fontId="4" type="noConversion"/>
  </si>
  <si>
    <t>前期费用一级项目成本增加之和</t>
    <phoneticPr fontId="4" type="noConversion"/>
  </si>
  <si>
    <t>二级项目的所有子项目本月动态成本之和 - 二级项目的所有子项目总投资之和</t>
    <phoneticPr fontId="4" type="noConversion"/>
  </si>
  <si>
    <t>建安工程费一级项目成本增加之和</t>
    <phoneticPr fontId="4" type="noConversion"/>
  </si>
  <si>
    <t>基础设施费一级项目成本增加之和</t>
    <phoneticPr fontId="4" type="noConversion"/>
  </si>
  <si>
    <t>公用配套设施一级项目成本增加之和</t>
    <phoneticPr fontId="4" type="noConversion"/>
  </si>
  <si>
    <t>不可预见费一级项目成本增加之和</t>
    <phoneticPr fontId="4" type="noConversion"/>
  </si>
  <si>
    <t>二级项目成本增加之和</t>
    <phoneticPr fontId="4" type="noConversion"/>
  </si>
  <si>
    <t>二级项目总投资之和</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</si>
</sst>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76" formatCode="0.00_);[Red]\(0.00\)"/>
    <numFmt numFmtId="177" formatCode="0.00_ "/>
    <numFmt numFmtId="178" formatCode="0.0_ "/>
    <numFmt numFmtId="179" formatCode="0_ "/>
    <numFmt numFmtId="180" formatCode="0_);[Red]\(0\)"/>
    <numFmt numFmtId="181" formatCode="[DBNum1][$-804]yyyy&quot;年&quot;m&quot;月&quot;d&quot;日&quot;"/>
    <numFmt numFmtId="182" formatCode="0.00;_栀"/>
    <numFmt numFmtId="183" formatCode="0.0%"/>
    <numFmt numFmtId="184" formatCode="#,##0.00;[Red]#,##0.00"/>
    <numFmt numFmtId="185" formatCode="0.000000000_);[Red]\(0.000000000\)"/>
  </numFmts>
  <fonts count="41">
    <font>
      <sz val="12"/>
      <name val="宋体"/>
      <charset val="134"/>
    </font>
    <font>
      <sz val="10"/>
      <name val="宋体"/>
      <family val="3"/>
      <charset val="134"/>
    </font>
    <font>
      <sz val="12"/>
      <name val="宋体"/>
      <family val="3"/>
      <charset val="134"/>
    </font>
    <font>
      <sz val="10"/>
      <name val="Times New Roman"/>
      <family val="1"/>
    </font>
    <font>
      <sz val="9"/>
      <name val="宋体"/>
      <family val="3"/>
      <charset val="134"/>
    </font>
    <font>
      <b/>
      <sz val="10"/>
      <name val="宋体"/>
      <family val="3"/>
      <charset val="134"/>
    </font>
    <font>
      <sz val="10"/>
      <color indexed="10"/>
      <name val="宋体"/>
      <family val="3"/>
      <charset val="134"/>
    </font>
    <font>
      <b/>
      <sz val="10"/>
      <color indexed="10"/>
      <name val="宋体"/>
      <family val="3"/>
      <charset val="134"/>
    </font>
    <font>
      <b/>
      <sz val="20"/>
      <name val="宋体"/>
      <family val="3"/>
      <charset val="134"/>
    </font>
    <font>
      <b/>
      <sz val="10"/>
      <name val="黑体"/>
      <family val="3"/>
      <charset val="134"/>
    </font>
    <font>
      <b/>
      <sz val="10"/>
      <name val="Times New Roman"/>
      <family val="1"/>
    </font>
    <font>
      <sz val="10"/>
      <name val="黑体"/>
      <family val="3"/>
      <charset val="134"/>
    </font>
    <font>
      <sz val="10"/>
      <color indexed="10"/>
      <name val="Times New Roman"/>
      <family val="1"/>
    </font>
    <font>
      <sz val="10"/>
      <color indexed="10"/>
      <name val="黑体"/>
      <family val="3"/>
      <charset val="134"/>
    </font>
    <font>
      <b/>
      <sz val="10"/>
      <color indexed="10"/>
      <name val="Times New Roman"/>
      <family val="1"/>
    </font>
    <font>
      <b/>
      <sz val="10"/>
      <color indexed="10"/>
      <name val="黑体"/>
      <family val="3"/>
      <charset val="134"/>
    </font>
    <font>
      <b/>
      <i/>
      <sz val="10"/>
      <name val="黑体"/>
      <family val="3"/>
      <charset val="134"/>
    </font>
    <font>
      <b/>
      <sz val="18"/>
      <name val="黑体"/>
      <family val="3"/>
      <charset val="134"/>
    </font>
    <font>
      <b/>
      <sz val="10"/>
      <color theme="1"/>
      <name val="黑体"/>
      <family val="3"/>
      <charset val="134"/>
    </font>
    <font>
      <sz val="10"/>
      <color theme="1"/>
      <name val="黑体"/>
      <family val="3"/>
      <charset val="134"/>
    </font>
    <font>
      <sz val="10"/>
      <color indexed="8"/>
      <name val="Arial"/>
      <family val="2"/>
    </font>
    <font>
      <sz val="10"/>
      <color indexed="8"/>
      <name val="宋体"/>
      <family val="3"/>
      <charset val="134"/>
    </font>
    <font>
      <sz val="10"/>
      <name val="Arial"/>
      <family val="2"/>
    </font>
    <font>
      <sz val="10"/>
      <color rgb="FFFF0000"/>
      <name val="宋体"/>
      <family val="3"/>
      <charset val="134"/>
    </font>
    <font>
      <sz val="10"/>
      <color indexed="10"/>
      <name val="Arial"/>
      <family val="2"/>
    </font>
    <font>
      <sz val="12"/>
      <name val="Times New Roman"/>
      <family val="1"/>
    </font>
    <font>
      <b/>
      <u/>
      <sz val="24"/>
      <name val="华文行楷"/>
      <family val="3"/>
      <charset val="134"/>
    </font>
    <font>
      <b/>
      <sz val="24"/>
      <name val="华文行楷"/>
      <family val="3"/>
      <charset val="134"/>
    </font>
    <font>
      <sz val="12"/>
      <name val="方正姚体"/>
      <family val="3"/>
      <charset val="134"/>
    </font>
    <font>
      <sz val="11"/>
      <color theme="1"/>
      <name val="宋体"/>
      <family val="3"/>
      <charset val="134"/>
      <scheme val="minor"/>
    </font>
    <font>
      <b/>
      <sz val="8"/>
      <name val="宋体"/>
      <family val="3"/>
      <charset val="134"/>
    </font>
    <font>
      <b/>
      <sz val="8"/>
      <name val="Times New Roman"/>
      <family val="1"/>
    </font>
    <font>
      <b/>
      <sz val="10"/>
      <color rgb="FFFF0000"/>
      <name val="黑体"/>
      <family val="3"/>
      <charset val="134"/>
    </font>
    <font>
      <sz val="10"/>
      <color rgb="FFFF0000"/>
      <name val="黑体"/>
      <family val="3"/>
      <charset val="134"/>
    </font>
    <font>
      <sz val="9"/>
      <name val="宋体"/>
      <family val="3"/>
      <charset val="134"/>
    </font>
    <font>
      <b/>
      <sz val="12"/>
      <name val="Times New Roman"/>
      <family val="1"/>
    </font>
    <font>
      <sz val="9"/>
      <name val="楷体_GB2312"/>
      <charset val="134"/>
    </font>
    <font>
      <b/>
      <sz val="9"/>
      <name val="Tahoma"/>
      <family val="2"/>
    </font>
    <font>
      <sz val="9"/>
      <name val="Tahoma"/>
      <family val="2"/>
    </font>
    <font>
      <b/>
      <sz val="26"/>
      <name val="宋体"/>
      <family val="3"/>
      <charset val="134"/>
    </font>
    <font>
      <b/>
      <sz val="12"/>
      <name val="宋体"/>
      <family val="3"/>
      <charset val="134"/>
    </font>
  </fonts>
  <fills count="29">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indexed="13"/>
        <bgColor indexed="64"/>
      </patternFill>
    </fill>
    <fill>
      <patternFill patternType="solid">
        <fgColor rgb="FFFFFF00"/>
        <bgColor indexed="64"/>
      </patternFill>
    </fill>
    <fill>
      <patternFill patternType="solid">
        <fgColor indexed="43"/>
        <bgColor indexed="64"/>
      </patternFill>
    </fill>
    <fill>
      <patternFill patternType="solid">
        <fgColor indexed="29"/>
        <bgColor indexed="64"/>
      </patternFill>
    </fill>
    <fill>
      <patternFill patternType="solid">
        <fgColor indexed="40"/>
        <bgColor indexed="64"/>
      </patternFill>
    </fill>
    <fill>
      <patternFill patternType="solid">
        <fgColor rgb="FF92D050"/>
        <bgColor indexed="64"/>
      </patternFill>
    </fill>
    <fill>
      <patternFill patternType="solid">
        <fgColor rgb="FFFFC000"/>
        <bgColor indexed="64"/>
      </patternFill>
    </fill>
    <fill>
      <patternFill patternType="solid">
        <fgColor indexed="4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indexed="45"/>
        <bgColor indexed="64"/>
      </patternFill>
    </fill>
    <fill>
      <patternFill patternType="solid">
        <fgColor indexed="44"/>
        <bgColor indexed="64"/>
      </patternFill>
    </fill>
    <fill>
      <patternFill patternType="solid">
        <fgColor indexed="47"/>
        <bgColor indexed="64"/>
      </patternFill>
    </fill>
    <fill>
      <patternFill patternType="solid">
        <fgColor indexed="55"/>
        <bgColor indexed="64"/>
      </patternFill>
    </fill>
    <fill>
      <patternFill patternType="solid">
        <fgColor indexed="23"/>
        <bgColor indexed="64"/>
      </patternFill>
    </fill>
    <fill>
      <patternFill patternType="solid">
        <fgColor indexed="22"/>
        <bgColor indexed="64"/>
      </patternFill>
    </fill>
    <fill>
      <patternFill patternType="solid">
        <fgColor rgb="FFFF0000"/>
        <bgColor indexed="64"/>
      </patternFill>
    </fill>
    <fill>
      <patternFill patternType="solid">
        <fgColor theme="9" tint="0.39994506668294322"/>
        <bgColor indexed="64"/>
      </patternFill>
    </fill>
    <fill>
      <patternFill patternType="solid">
        <fgColor theme="6" tint="0.39994506668294322"/>
        <bgColor indexed="64"/>
      </patternFill>
    </fill>
    <fill>
      <patternFill patternType="solid">
        <fgColor theme="3" tint="0.59999389629810485"/>
        <bgColor indexed="64"/>
      </patternFill>
    </fill>
    <fill>
      <patternFill patternType="solid">
        <fgColor indexed="42"/>
        <bgColor indexed="64"/>
      </patternFill>
    </fill>
    <fill>
      <patternFill patternType="solid">
        <fgColor theme="6"/>
        <bgColor indexed="64"/>
      </patternFill>
    </fill>
    <fill>
      <patternFill patternType="solid">
        <fgColor theme="0"/>
        <bgColor indexed="64"/>
      </patternFill>
    </fill>
  </fills>
  <borders count="64">
    <border>
      <left/>
      <right/>
      <top/>
      <bottom/>
      <diagonal/>
    </border>
    <border>
      <left style="thin">
        <color auto="1"/>
      </left>
      <right style="thin">
        <color auto="1"/>
      </right>
      <top style="thin">
        <color auto="1"/>
      </top>
      <bottom style="thin">
        <color auto="1"/>
      </bottom>
      <diagonal/>
    </border>
    <border>
      <left/>
      <right/>
      <top/>
      <bottom style="hair">
        <color auto="1"/>
      </bottom>
      <diagonal/>
    </border>
    <border>
      <left/>
      <right/>
      <top style="hair">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double">
        <color auto="1"/>
      </right>
      <top style="hair">
        <color auto="1"/>
      </top>
      <bottom style="hair">
        <color auto="1"/>
      </bottom>
      <diagonal/>
    </border>
    <border>
      <left style="double">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thin">
        <color auto="1"/>
      </left>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top style="thin">
        <color auto="1"/>
      </top>
      <bottom/>
      <diagonal/>
    </border>
    <border>
      <left/>
      <right style="thin">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style="thin">
        <color auto="1"/>
      </left>
      <right/>
      <top/>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hair">
        <color auto="1"/>
      </left>
      <right/>
      <top style="thin">
        <color auto="1"/>
      </top>
      <bottom/>
      <diagonal/>
    </border>
  </borders>
  <cellStyleXfs count="10">
    <xf numFmtId="181" fontId="0" fillId="0" borderId="0">
      <alignment vertical="center"/>
    </xf>
    <xf numFmtId="181" fontId="2"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xf numFmtId="181" fontId="29" fillId="0" borderId="0">
      <alignment vertical="center"/>
    </xf>
    <xf numFmtId="181" fontId="25" fillId="0" borderId="0"/>
    <xf numFmtId="181" fontId="29" fillId="0" borderId="0">
      <alignment vertical="center"/>
    </xf>
    <xf numFmtId="0" fontId="2" fillId="0" borderId="0">
      <alignment vertical="center"/>
    </xf>
    <xf numFmtId="9" fontId="2" fillId="0" borderId="0" applyFont="0" applyFill="0" applyBorder="0" applyAlignment="0" applyProtection="0">
      <alignment vertical="center"/>
    </xf>
    <xf numFmtId="181" fontId="2" fillId="0" borderId="0">
      <alignment vertical="center"/>
    </xf>
  </cellStyleXfs>
  <cellXfs count="793">
    <xf numFmtId="181" fontId="0" fillId="0" borderId="0" xfId="0" applyAlignment="1"/>
    <xf numFmtId="181" fontId="0" fillId="0" borderId="0" xfId="0" applyAlignment="1">
      <alignment wrapText="1"/>
    </xf>
    <xf numFmtId="181" fontId="9" fillId="9" borderId="4" xfId="1" applyFont="1" applyFill="1" applyBorder="1" applyAlignment="1">
      <alignment horizontal="center" vertical="center" wrapText="1"/>
    </xf>
    <xf numFmtId="181" fontId="9" fillId="9" borderId="5" xfId="1" applyNumberFormat="1" applyFont="1" applyFill="1" applyBorder="1" applyAlignment="1">
      <alignment horizontal="left" vertical="center" wrapText="1"/>
    </xf>
    <xf numFmtId="181" fontId="9" fillId="9" borderId="6" xfId="1" applyNumberFormat="1" applyFont="1" applyFill="1" applyBorder="1" applyAlignment="1">
      <alignment horizontal="center" vertical="center" wrapText="1"/>
    </xf>
    <xf numFmtId="181" fontId="9" fillId="3" borderId="4" xfId="1" applyFont="1" applyFill="1" applyBorder="1" applyAlignment="1">
      <alignment horizontal="center" vertical="center" wrapText="1"/>
    </xf>
    <xf numFmtId="181" fontId="9" fillId="3" borderId="5" xfId="1" applyNumberFormat="1" applyFont="1" applyFill="1" applyBorder="1" applyAlignment="1">
      <alignment horizontal="left" vertical="center" wrapText="1"/>
    </xf>
    <xf numFmtId="181" fontId="11" fillId="3" borderId="6" xfId="1" applyNumberFormat="1" applyFont="1" applyFill="1" applyBorder="1" applyAlignment="1">
      <alignment horizontal="center" vertical="center" wrapText="1"/>
    </xf>
    <xf numFmtId="181" fontId="13" fillId="0" borderId="5" xfId="1" applyNumberFormat="1" applyFont="1" applyFill="1" applyBorder="1" applyAlignment="1">
      <alignment horizontal="left" vertical="center" wrapText="1"/>
    </xf>
    <xf numFmtId="181" fontId="13" fillId="0" borderId="6" xfId="1" applyNumberFormat="1" applyFont="1" applyFill="1" applyBorder="1" applyAlignment="1">
      <alignment horizontal="center" vertical="center" wrapText="1"/>
    </xf>
    <xf numFmtId="2" fontId="13" fillId="0" borderId="7" xfId="1" applyNumberFormat="1" applyFont="1" applyFill="1" applyBorder="1" applyAlignment="1">
      <alignment vertical="center" wrapText="1"/>
    </xf>
    <xf numFmtId="181" fontId="11" fillId="0" borderId="5" xfId="1" applyNumberFormat="1" applyFont="1" applyFill="1" applyBorder="1" applyAlignment="1">
      <alignment horizontal="left" vertical="center" wrapText="1"/>
    </xf>
    <xf numFmtId="181" fontId="11" fillId="0" borderId="6" xfId="1" applyNumberFormat="1" applyFont="1" applyFill="1" applyBorder="1" applyAlignment="1">
      <alignment horizontal="center" vertical="center" wrapText="1"/>
    </xf>
    <xf numFmtId="2" fontId="11" fillId="0" borderId="7" xfId="1" applyNumberFormat="1" applyFont="1" applyFill="1" applyBorder="1" applyAlignment="1">
      <alignment vertical="center" wrapText="1"/>
    </xf>
    <xf numFmtId="2" fontId="11" fillId="3" borderId="7" xfId="1" applyNumberFormat="1" applyFont="1" applyFill="1" applyBorder="1" applyAlignment="1">
      <alignment vertical="center" wrapText="1"/>
    </xf>
    <xf numFmtId="181" fontId="9" fillId="0" borderId="4" xfId="1" applyFont="1" applyFill="1" applyBorder="1" applyAlignment="1">
      <alignment horizontal="center" vertical="center" wrapText="1"/>
    </xf>
    <xf numFmtId="181" fontId="9" fillId="0" borderId="5" xfId="1" applyNumberFormat="1" applyFont="1" applyFill="1" applyBorder="1" applyAlignment="1">
      <alignment horizontal="left" vertical="center" wrapText="1"/>
    </xf>
    <xf numFmtId="181" fontId="9" fillId="0" borderId="6" xfId="1" applyNumberFormat="1" applyFont="1" applyFill="1" applyBorder="1" applyAlignment="1">
      <alignment horizontal="center" vertical="center" wrapText="1"/>
    </xf>
    <xf numFmtId="181" fontId="11" fillId="0" borderId="4" xfId="1" applyFont="1" applyFill="1" applyBorder="1" applyAlignment="1">
      <alignment horizontal="center" vertical="center" wrapText="1"/>
    </xf>
    <xf numFmtId="181" fontId="11" fillId="0" borderId="5" xfId="1" applyFont="1" applyFill="1" applyBorder="1" applyAlignment="1">
      <alignment horizontal="left" vertical="center" wrapText="1"/>
    </xf>
    <xf numFmtId="181" fontId="11" fillId="0" borderId="6" xfId="1" applyFont="1" applyFill="1" applyBorder="1" applyAlignment="1">
      <alignment horizontal="center" vertical="center" wrapText="1"/>
    </xf>
    <xf numFmtId="181" fontId="13" fillId="11" borderId="5" xfId="1" applyNumberFormat="1" applyFont="1" applyFill="1" applyBorder="1" applyAlignment="1">
      <alignment horizontal="left" vertical="center" wrapText="1"/>
    </xf>
    <xf numFmtId="181" fontId="11" fillId="3" borderId="4" xfId="1" applyFont="1" applyFill="1" applyBorder="1" applyAlignment="1">
      <alignment horizontal="center" vertical="center" wrapText="1"/>
    </xf>
    <xf numFmtId="181" fontId="9" fillId="0" borderId="3" xfId="1" applyFont="1" applyFill="1" applyBorder="1" applyAlignment="1">
      <alignment horizontal="center" vertical="center" wrapText="1"/>
    </xf>
    <xf numFmtId="181" fontId="9" fillId="0" borderId="3" xfId="1" applyNumberFormat="1" applyFont="1" applyFill="1" applyBorder="1" applyAlignment="1">
      <alignment horizontal="center" vertical="center" wrapText="1"/>
    </xf>
    <xf numFmtId="2" fontId="11" fillId="0" borderId="3" xfId="1" applyNumberFormat="1" applyFont="1" applyFill="1" applyBorder="1" applyAlignment="1">
      <alignment vertical="center" wrapText="1"/>
    </xf>
    <xf numFmtId="2" fontId="9" fillId="9" borderId="7" xfId="1" applyNumberFormat="1" applyFont="1" applyFill="1" applyBorder="1" applyAlignment="1">
      <alignment vertical="center" wrapText="1"/>
    </xf>
    <xf numFmtId="181" fontId="15" fillId="0" borderId="5" xfId="1" applyNumberFormat="1" applyFont="1" applyFill="1" applyBorder="1" applyAlignment="1">
      <alignment horizontal="left" vertical="center" wrapText="1"/>
    </xf>
    <xf numFmtId="181" fontId="15" fillId="0" borderId="6" xfId="1" applyNumberFormat="1" applyFont="1" applyFill="1" applyBorder="1" applyAlignment="1">
      <alignment horizontal="center" vertical="center" wrapText="1"/>
    </xf>
    <xf numFmtId="2" fontId="15" fillId="0" borderId="3" xfId="1" applyNumberFormat="1" applyFont="1" applyFill="1" applyBorder="1" applyAlignment="1">
      <alignment vertical="center" wrapText="1"/>
    </xf>
    <xf numFmtId="181" fontId="9" fillId="7" borderId="4" xfId="1" applyFont="1" applyFill="1" applyBorder="1" applyAlignment="1">
      <alignment horizontal="center" vertical="center" wrapText="1"/>
    </xf>
    <xf numFmtId="181" fontId="16" fillId="7" borderId="5" xfId="1" applyNumberFormat="1" applyFont="1" applyFill="1" applyBorder="1" applyAlignment="1">
      <alignment horizontal="left" vertical="center" wrapText="1"/>
    </xf>
    <xf numFmtId="181" fontId="16" fillId="7" borderId="6" xfId="1" applyNumberFormat="1" applyFont="1" applyFill="1" applyBorder="1" applyAlignment="1">
      <alignment horizontal="center" vertical="center" wrapText="1"/>
    </xf>
    <xf numFmtId="181" fontId="16" fillId="0" borderId="5" xfId="1" applyNumberFormat="1" applyFont="1" applyFill="1" applyBorder="1" applyAlignment="1">
      <alignment horizontal="left" vertical="center" wrapText="1"/>
    </xf>
    <xf numFmtId="181" fontId="16" fillId="0" borderId="6" xfId="1" applyNumberFormat="1" applyFont="1" applyFill="1" applyBorder="1" applyAlignment="1">
      <alignment horizontal="center" vertical="center" wrapText="1"/>
    </xf>
    <xf numFmtId="2" fontId="9" fillId="0" borderId="7" xfId="1" applyNumberFormat="1" applyFont="1" applyFill="1" applyBorder="1" applyAlignment="1">
      <alignment vertical="center" wrapText="1"/>
    </xf>
    <xf numFmtId="181" fontId="9" fillId="12" borderId="4" xfId="1" applyFont="1" applyFill="1" applyBorder="1" applyAlignment="1">
      <alignment horizontal="center" vertical="center" wrapText="1"/>
    </xf>
    <xf numFmtId="181" fontId="9" fillId="12" borderId="5" xfId="1" applyNumberFormat="1" applyFont="1" applyFill="1" applyBorder="1" applyAlignment="1">
      <alignment horizontal="left" vertical="center" wrapText="1"/>
    </xf>
    <xf numFmtId="181" fontId="9" fillId="12" borderId="6" xfId="1" applyNumberFormat="1" applyFont="1" applyFill="1" applyBorder="1" applyAlignment="1">
      <alignment horizontal="center" vertical="center" wrapText="1"/>
    </xf>
    <xf numFmtId="2" fontId="9" fillId="12" borderId="7" xfId="1" applyNumberFormat="1" applyFont="1" applyFill="1" applyBorder="1" applyAlignment="1">
      <alignment vertical="center" wrapText="1"/>
    </xf>
    <xf numFmtId="181" fontId="9" fillId="7" borderId="5" xfId="1" applyNumberFormat="1" applyFont="1" applyFill="1" applyBorder="1" applyAlignment="1">
      <alignment horizontal="left" vertical="center" wrapText="1"/>
    </xf>
    <xf numFmtId="181" fontId="9" fillId="7" borderId="6" xfId="1" applyNumberFormat="1" applyFont="1" applyFill="1" applyBorder="1" applyAlignment="1">
      <alignment horizontal="center" vertical="center" wrapText="1"/>
    </xf>
    <xf numFmtId="2" fontId="9" fillId="7" borderId="7" xfId="1" applyNumberFormat="1" applyFont="1" applyFill="1" applyBorder="1" applyAlignment="1">
      <alignment vertical="center" wrapText="1"/>
    </xf>
    <xf numFmtId="181" fontId="9" fillId="0" borderId="11" xfId="1" applyFont="1" applyFill="1" applyBorder="1" applyAlignment="1">
      <alignment horizontal="center" vertical="center" wrapText="1"/>
    </xf>
    <xf numFmtId="181" fontId="9" fillId="0" borderId="11" xfId="1" applyNumberFormat="1" applyFont="1" applyFill="1" applyBorder="1" applyAlignment="1">
      <alignment horizontal="left" vertical="center" wrapText="1"/>
    </xf>
    <xf numFmtId="181" fontId="9" fillId="0" borderId="11" xfId="1" applyNumberFormat="1" applyFont="1" applyFill="1" applyBorder="1" applyAlignment="1">
      <alignment horizontal="center" vertical="center" wrapText="1"/>
    </xf>
    <xf numFmtId="2" fontId="9" fillId="0" borderId="11" xfId="1" applyNumberFormat="1" applyFont="1" applyFill="1" applyBorder="1" applyAlignment="1">
      <alignment vertical="center" wrapText="1"/>
    </xf>
    <xf numFmtId="181" fontId="16" fillId="0" borderId="11" xfId="1" applyNumberFormat="1" applyFont="1" applyFill="1" applyBorder="1" applyAlignment="1">
      <alignment horizontal="center" vertical="center" wrapText="1"/>
    </xf>
    <xf numFmtId="10" fontId="9" fillId="0" borderId="11" xfId="3" applyNumberFormat="1" applyFont="1" applyFill="1" applyBorder="1" applyAlignment="1">
      <alignment vertical="center"/>
    </xf>
    <xf numFmtId="176" fontId="5" fillId="13" borderId="1" xfId="2" applyNumberFormat="1" applyFont="1" applyFill="1" applyBorder="1" applyAlignment="1"/>
    <xf numFmtId="176" fontId="5" fillId="0" borderId="1" xfId="2" applyNumberFormat="1" applyFont="1" applyBorder="1" applyAlignment="1"/>
    <xf numFmtId="176" fontId="5" fillId="14" borderId="1" xfId="2" applyNumberFormat="1" applyFont="1" applyFill="1" applyBorder="1" applyAlignment="1"/>
    <xf numFmtId="181" fontId="11" fillId="0" borderId="26" xfId="1" applyNumberFormat="1" applyFont="1" applyFill="1" applyBorder="1" applyAlignment="1">
      <alignment horizontal="left" vertical="center" wrapText="1"/>
    </xf>
    <xf numFmtId="176" fontId="1" fillId="13" borderId="1" xfId="2" applyNumberFormat="1" applyFont="1" applyFill="1" applyBorder="1" applyAlignment="1"/>
    <xf numFmtId="176" fontId="5" fillId="13" borderId="1" xfId="2" applyNumberFormat="1" applyFont="1" applyFill="1" applyBorder="1" applyAlignment="1">
      <alignment wrapText="1"/>
    </xf>
    <xf numFmtId="176" fontId="1" fillId="0" borderId="1" xfId="2" applyNumberFormat="1" applyFont="1" applyBorder="1" applyAlignment="1"/>
    <xf numFmtId="176" fontId="5" fillId="0" borderId="1" xfId="2" applyNumberFormat="1" applyFont="1" applyBorder="1" applyAlignment="1">
      <alignment wrapText="1"/>
    </xf>
    <xf numFmtId="176" fontId="1" fillId="14" borderId="1" xfId="2" applyNumberFormat="1" applyFont="1" applyFill="1" applyBorder="1" applyAlignment="1"/>
    <xf numFmtId="176" fontId="5" fillId="14" borderId="1" xfId="2" applyNumberFormat="1" applyFont="1" applyFill="1" applyBorder="1" applyAlignment="1">
      <alignment wrapText="1"/>
    </xf>
    <xf numFmtId="176" fontId="1" fillId="0" borderId="1" xfId="2" applyNumberFormat="1" applyFont="1" applyBorder="1" applyAlignment="1">
      <alignment wrapText="1"/>
    </xf>
    <xf numFmtId="176" fontId="5" fillId="15" borderId="1" xfId="2" applyNumberFormat="1" applyFont="1" applyFill="1" applyBorder="1" applyAlignment="1"/>
    <xf numFmtId="181" fontId="9" fillId="16" borderId="1" xfId="1" applyFont="1" applyFill="1" applyBorder="1" applyAlignment="1">
      <alignment horizontal="center" vertical="center" wrapText="1"/>
    </xf>
    <xf numFmtId="181" fontId="16" fillId="16" borderId="1" xfId="1" applyNumberFormat="1" applyFont="1" applyFill="1" applyBorder="1" applyAlignment="1">
      <alignment horizontal="left" vertical="center" wrapText="1"/>
    </xf>
    <xf numFmtId="178" fontId="4" fillId="16" borderId="1" xfId="1" applyNumberFormat="1" applyFont="1" applyFill="1" applyBorder="1" applyAlignment="1">
      <alignment horizontal="center" vertical="center" wrapText="1"/>
    </xf>
    <xf numFmtId="181" fontId="9" fillId="17" borderId="1" xfId="1" applyFont="1" applyFill="1" applyBorder="1" applyAlignment="1">
      <alignment horizontal="center" vertical="center" wrapText="1"/>
    </xf>
    <xf numFmtId="181" fontId="16" fillId="17" borderId="1" xfId="1" applyNumberFormat="1" applyFont="1" applyFill="1" applyBorder="1" applyAlignment="1">
      <alignment horizontal="left" vertical="center" wrapText="1"/>
    </xf>
    <xf numFmtId="178" fontId="4" fillId="17" borderId="1" xfId="1" applyNumberFormat="1" applyFont="1" applyFill="1" applyBorder="1" applyAlignment="1">
      <alignment horizontal="center" vertical="center" wrapText="1"/>
    </xf>
    <xf numFmtId="181" fontId="9" fillId="15" borderId="1" xfId="1" applyFont="1" applyFill="1" applyBorder="1" applyAlignment="1">
      <alignment horizontal="center" vertical="center" wrapText="1"/>
    </xf>
    <xf numFmtId="181" fontId="9" fillId="15" borderId="1" xfId="1" applyNumberFormat="1" applyFont="1" applyFill="1" applyBorder="1" applyAlignment="1">
      <alignment horizontal="left" vertical="center" wrapText="1"/>
    </xf>
    <xf numFmtId="181" fontId="1" fillId="15" borderId="1" xfId="5" applyFont="1" applyFill="1" applyBorder="1" applyAlignment="1">
      <alignment horizontal="center" vertical="center" wrapText="1"/>
    </xf>
    <xf numFmtId="181" fontId="9" fillId="15" borderId="34" xfId="1" applyNumberFormat="1" applyFont="1" applyFill="1" applyBorder="1" applyAlignment="1">
      <alignment horizontal="left" vertical="center" wrapText="1"/>
    </xf>
    <xf numFmtId="10" fontId="1" fillId="15" borderId="1" xfId="3" applyNumberFormat="1" applyFont="1" applyFill="1" applyBorder="1" applyAlignment="1">
      <alignment horizontal="center" vertical="center" wrapText="1"/>
    </xf>
    <xf numFmtId="181" fontId="9" fillId="18" borderId="1" xfId="1" applyFont="1" applyFill="1" applyBorder="1" applyAlignment="1">
      <alignment horizontal="center" vertical="center" wrapText="1"/>
    </xf>
    <xf numFmtId="181" fontId="9" fillId="18" borderId="1" xfId="1" applyNumberFormat="1" applyFont="1" applyFill="1" applyBorder="1" applyAlignment="1">
      <alignment horizontal="left" vertical="center" wrapText="1"/>
    </xf>
    <xf numFmtId="178" fontId="2" fillId="18" borderId="1" xfId="5" applyNumberFormat="1" applyFont="1" applyFill="1" applyBorder="1" applyAlignment="1">
      <alignment horizontal="center" vertical="center"/>
    </xf>
    <xf numFmtId="178" fontId="2" fillId="15" borderId="1" xfId="5" applyNumberFormat="1" applyFont="1" applyFill="1" applyBorder="1" applyAlignment="1">
      <alignment horizontal="center" vertical="center"/>
    </xf>
    <xf numFmtId="178" fontId="2" fillId="17" borderId="1" xfId="5" applyNumberFormat="1" applyFont="1" applyFill="1" applyBorder="1" applyAlignment="1">
      <alignment horizontal="center" vertical="center"/>
    </xf>
    <xf numFmtId="178" fontId="1" fillId="15" borderId="1" xfId="5" applyNumberFormat="1" applyFont="1" applyFill="1" applyBorder="1" applyAlignment="1">
      <alignment horizontal="center" vertical="center"/>
    </xf>
    <xf numFmtId="178" fontId="1" fillId="17" borderId="1" xfId="5" applyNumberFormat="1" applyFont="1" applyFill="1" applyBorder="1" applyAlignment="1">
      <alignment horizontal="center" vertical="center"/>
    </xf>
    <xf numFmtId="176" fontId="5" fillId="15" borderId="1" xfId="2" applyNumberFormat="1" applyFont="1" applyFill="1" applyBorder="1" applyAlignment="1">
      <alignment wrapText="1"/>
    </xf>
    <xf numFmtId="177" fontId="5" fillId="16" borderId="1" xfId="1" applyNumberFormat="1" applyFont="1" applyFill="1" applyBorder="1" applyAlignment="1">
      <alignment horizontal="center" vertical="center" wrapText="1"/>
    </xf>
    <xf numFmtId="178" fontId="5" fillId="16" borderId="1" xfId="1" applyNumberFormat="1" applyFont="1" applyFill="1" applyBorder="1" applyAlignment="1">
      <alignment horizontal="center" vertical="center" wrapText="1"/>
    </xf>
    <xf numFmtId="178" fontId="5" fillId="17" borderId="1" xfId="1" applyNumberFormat="1" applyFont="1" applyFill="1" applyBorder="1" applyAlignment="1">
      <alignment horizontal="center" vertical="center" wrapText="1"/>
    </xf>
    <xf numFmtId="177" fontId="5" fillId="15" borderId="1" xfId="5" applyNumberFormat="1" applyFont="1" applyFill="1" applyBorder="1" applyAlignment="1">
      <alignment horizontal="center" vertical="center" wrapText="1"/>
    </xf>
    <xf numFmtId="181" fontId="5" fillId="15" borderId="1" xfId="5" applyFont="1" applyFill="1" applyBorder="1" applyAlignment="1">
      <alignment horizontal="center" vertical="center" wrapText="1"/>
    </xf>
    <xf numFmtId="10" fontId="5" fillId="15" borderId="1" xfId="3" applyNumberFormat="1" applyFont="1" applyFill="1" applyBorder="1" applyAlignment="1">
      <alignment horizontal="center" vertical="center" wrapText="1"/>
    </xf>
    <xf numFmtId="182" fontId="5" fillId="15" borderId="1" xfId="5" applyNumberFormat="1" applyFont="1" applyFill="1" applyBorder="1" applyAlignment="1">
      <alignment horizontal="center" vertical="center" wrapText="1"/>
    </xf>
    <xf numFmtId="176" fontId="5" fillId="15" borderId="1" xfId="2" applyNumberFormat="1" applyFont="1" applyFill="1" applyBorder="1" applyAlignment="1">
      <alignment horizontal="center" vertical="center" wrapText="1"/>
    </xf>
    <xf numFmtId="177" fontId="5" fillId="15" borderId="1" xfId="3" applyNumberFormat="1" applyFont="1" applyFill="1" applyBorder="1" applyAlignment="1">
      <alignment horizontal="center" vertical="center" wrapText="1"/>
    </xf>
    <xf numFmtId="178" fontId="5" fillId="18" borderId="1" xfId="5" applyNumberFormat="1" applyFont="1" applyFill="1" applyBorder="1" applyAlignment="1">
      <alignment horizontal="center" vertical="center"/>
    </xf>
    <xf numFmtId="178" fontId="5" fillId="15" borderId="1" xfId="5" applyNumberFormat="1" applyFont="1" applyFill="1" applyBorder="1" applyAlignment="1">
      <alignment horizontal="center" vertical="center"/>
    </xf>
    <xf numFmtId="178" fontId="5" fillId="17" borderId="1" xfId="5" applyNumberFormat="1" applyFont="1" applyFill="1" applyBorder="1" applyAlignment="1">
      <alignment horizontal="center" vertical="center"/>
    </xf>
    <xf numFmtId="183" fontId="5" fillId="17" borderId="1" xfId="3" applyNumberFormat="1" applyFont="1" applyFill="1" applyBorder="1" applyAlignment="1">
      <alignment horizontal="center" vertical="center"/>
    </xf>
    <xf numFmtId="10" fontId="5" fillId="17" borderId="1" xfId="3" applyNumberFormat="1" applyFont="1" applyFill="1" applyBorder="1" applyAlignment="1">
      <alignment horizontal="center" vertical="center"/>
    </xf>
    <xf numFmtId="9" fontId="0" fillId="0" borderId="0" xfId="3" applyFont="1" applyAlignment="1"/>
    <xf numFmtId="181" fontId="20" fillId="0" borderId="0" xfId="6" applyFont="1" applyBorder="1" applyAlignment="1">
      <alignment horizontal="center" vertical="center" wrapText="1"/>
    </xf>
    <xf numFmtId="180" fontId="20" fillId="0" borderId="0" xfId="6" applyNumberFormat="1" applyFont="1" applyBorder="1" applyAlignment="1">
      <alignment horizontal="center" vertical="center" wrapText="1"/>
    </xf>
    <xf numFmtId="180" fontId="1" fillId="0" borderId="0" xfId="6" applyNumberFormat="1" applyFont="1" applyBorder="1" applyAlignment="1">
      <alignment horizontal="center" vertical="center" wrapText="1"/>
    </xf>
    <xf numFmtId="181" fontId="1" fillId="0" borderId="0" xfId="6" applyFont="1" applyBorder="1" applyAlignment="1">
      <alignment horizontal="center" vertical="center" wrapText="1"/>
    </xf>
    <xf numFmtId="181" fontId="1" fillId="0" borderId="0" xfId="6" applyFont="1" applyFill="1" applyBorder="1" applyAlignment="1">
      <alignment horizontal="center" vertical="center" wrapText="1"/>
    </xf>
    <xf numFmtId="181" fontId="1" fillId="0" borderId="35" xfId="6" applyFont="1" applyBorder="1" applyAlignment="1">
      <alignment horizontal="center" vertical="center" wrapText="1"/>
    </xf>
    <xf numFmtId="181" fontId="1" fillId="0" borderId="36" xfId="6" applyFont="1" applyBorder="1" applyAlignment="1">
      <alignment horizontal="center" vertical="center" wrapText="1"/>
    </xf>
    <xf numFmtId="180" fontId="1" fillId="0" borderId="36" xfId="6" applyNumberFormat="1" applyFont="1" applyBorder="1" applyAlignment="1">
      <alignment horizontal="center" vertical="center" wrapText="1"/>
    </xf>
    <xf numFmtId="181" fontId="20" fillId="0" borderId="37" xfId="6" applyFont="1" applyBorder="1" applyAlignment="1">
      <alignment horizontal="center" vertical="center" wrapText="1"/>
    </xf>
    <xf numFmtId="181" fontId="20" fillId="0" borderId="1" xfId="6" applyFont="1" applyBorder="1" applyAlignment="1">
      <alignment horizontal="center" vertical="center" wrapText="1"/>
    </xf>
    <xf numFmtId="181" fontId="21" fillId="0" borderId="1" xfId="6" applyFont="1" applyBorder="1" applyAlignment="1">
      <alignment horizontal="center" vertical="center" wrapText="1"/>
    </xf>
    <xf numFmtId="180" fontId="21" fillId="2" borderId="1" xfId="6" applyNumberFormat="1" applyFont="1" applyFill="1" applyBorder="1" applyAlignment="1">
      <alignment horizontal="center" vertical="center" wrapText="1"/>
    </xf>
    <xf numFmtId="181" fontId="20" fillId="2" borderId="1" xfId="6" applyFont="1" applyFill="1" applyBorder="1" applyAlignment="1">
      <alignment horizontal="center" vertical="center" wrapText="1"/>
    </xf>
    <xf numFmtId="181" fontId="20" fillId="0" borderId="30" xfId="6" applyFont="1" applyFill="1" applyBorder="1" applyAlignment="1">
      <alignment horizontal="center" vertical="center" wrapText="1"/>
    </xf>
    <xf numFmtId="181" fontId="1" fillId="0" borderId="1" xfId="6" applyFont="1" applyBorder="1" applyAlignment="1">
      <alignment horizontal="center" vertical="center" wrapText="1"/>
    </xf>
    <xf numFmtId="180" fontId="1" fillId="0" borderId="1" xfId="6" applyNumberFormat="1" applyFont="1" applyBorder="1" applyAlignment="1">
      <alignment horizontal="center" vertical="center" wrapText="1"/>
    </xf>
    <xf numFmtId="179" fontId="1" fillId="0" borderId="1" xfId="6" applyNumberFormat="1" applyFont="1" applyBorder="1" applyAlignment="1">
      <alignment horizontal="center" vertical="center" wrapText="1"/>
    </xf>
    <xf numFmtId="179" fontId="1" fillId="5" borderId="1" xfId="6" applyNumberFormat="1" applyFont="1" applyFill="1" applyBorder="1" applyAlignment="1">
      <alignment horizontal="center" vertical="center" wrapText="1"/>
    </xf>
    <xf numFmtId="181" fontId="1" fillId="19" borderId="1" xfId="6" applyFont="1" applyFill="1" applyBorder="1" applyAlignment="1">
      <alignment horizontal="center" vertical="center" wrapText="1"/>
    </xf>
    <xf numFmtId="180" fontId="1" fillId="19" borderId="1" xfId="6" applyNumberFormat="1" applyFont="1" applyFill="1" applyBorder="1" applyAlignment="1">
      <alignment horizontal="center" vertical="center" wrapText="1"/>
    </xf>
    <xf numFmtId="179" fontId="1" fillId="19" borderId="1" xfId="6" applyNumberFormat="1" applyFont="1" applyFill="1" applyBorder="1" applyAlignment="1">
      <alignment horizontal="center" vertical="center" wrapText="1"/>
    </xf>
    <xf numFmtId="181" fontId="21" fillId="0" borderId="30" xfId="6" applyFont="1" applyFill="1" applyBorder="1" applyAlignment="1">
      <alignment horizontal="center" vertical="center" wrapText="1"/>
    </xf>
    <xf numFmtId="181" fontId="1" fillId="0" borderId="1" xfId="6" applyFont="1" applyFill="1" applyBorder="1" applyAlignment="1">
      <alignment horizontal="center" vertical="center" wrapText="1"/>
    </xf>
    <xf numFmtId="181" fontId="20" fillId="0" borderId="1" xfId="6" applyFont="1" applyFill="1" applyBorder="1" applyAlignment="1">
      <alignment horizontal="center" vertical="center" wrapText="1"/>
    </xf>
    <xf numFmtId="181" fontId="20" fillId="0" borderId="24" xfId="6" applyFont="1" applyFill="1" applyBorder="1" applyAlignment="1">
      <alignment horizontal="center" vertical="center" wrapText="1"/>
    </xf>
    <xf numFmtId="181" fontId="1" fillId="0" borderId="24" xfId="6" applyFont="1" applyFill="1" applyBorder="1" applyAlignment="1">
      <alignment horizontal="center" vertical="center" wrapText="1"/>
    </xf>
    <xf numFmtId="179" fontId="1" fillId="0" borderId="24" xfId="6" applyNumberFormat="1" applyFont="1" applyBorder="1" applyAlignment="1">
      <alignment horizontal="center" vertical="center" wrapText="1"/>
    </xf>
    <xf numFmtId="181" fontId="1" fillId="19" borderId="24" xfId="6" applyFont="1" applyFill="1" applyBorder="1" applyAlignment="1">
      <alignment horizontal="center" vertical="center" wrapText="1"/>
    </xf>
    <xf numFmtId="179" fontId="1" fillId="19" borderId="24" xfId="6" applyNumberFormat="1" applyFont="1" applyFill="1" applyBorder="1" applyAlignment="1">
      <alignment horizontal="center" vertical="center" wrapText="1"/>
    </xf>
    <xf numFmtId="180" fontId="1" fillId="19" borderId="24" xfId="6" applyNumberFormat="1" applyFont="1" applyFill="1" applyBorder="1" applyAlignment="1">
      <alignment horizontal="center" vertical="center" wrapText="1"/>
    </xf>
    <xf numFmtId="181" fontId="1" fillId="5" borderId="1" xfId="6" applyFont="1" applyFill="1" applyBorder="1" applyAlignment="1">
      <alignment horizontal="center" vertical="center" wrapText="1"/>
    </xf>
    <xf numFmtId="181" fontId="1" fillId="5" borderId="24" xfId="6" applyFont="1" applyFill="1" applyBorder="1" applyAlignment="1">
      <alignment horizontal="center" vertical="center" wrapText="1"/>
    </xf>
    <xf numFmtId="181" fontId="22" fillId="0" borderId="24" xfId="6" applyFont="1" applyFill="1" applyBorder="1" applyAlignment="1">
      <alignment horizontal="center" vertical="center" wrapText="1"/>
    </xf>
    <xf numFmtId="181" fontId="1" fillId="0" borderId="24" xfId="6" applyFont="1" applyBorder="1" applyAlignment="1">
      <alignment horizontal="center" vertical="center" wrapText="1"/>
    </xf>
    <xf numFmtId="180" fontId="1" fillId="0" borderId="24" xfId="6" applyNumberFormat="1" applyFont="1" applyBorder="1" applyAlignment="1">
      <alignment horizontal="center" vertical="center" wrapText="1"/>
    </xf>
    <xf numFmtId="181" fontId="6" fillId="0" borderId="24" xfId="6" applyFont="1" applyFill="1" applyBorder="1" applyAlignment="1">
      <alignment horizontal="center" vertical="center" wrapText="1"/>
    </xf>
    <xf numFmtId="181" fontId="1" fillId="20" borderId="1" xfId="6" applyFont="1" applyFill="1" applyBorder="1" applyAlignment="1">
      <alignment horizontal="center" vertical="center" wrapText="1"/>
    </xf>
    <xf numFmtId="180" fontId="1" fillId="20" borderId="1" xfId="6" applyNumberFormat="1" applyFont="1" applyFill="1" applyBorder="1" applyAlignment="1">
      <alignment horizontal="center" vertical="center" wrapText="1"/>
    </xf>
    <xf numFmtId="179" fontId="1" fillId="20" borderId="1" xfId="6" applyNumberFormat="1" applyFont="1" applyFill="1" applyBorder="1" applyAlignment="1">
      <alignment horizontal="center" vertical="center" wrapText="1"/>
    </xf>
    <xf numFmtId="180" fontId="1" fillId="20" borderId="21" xfId="6" applyNumberFormat="1" applyFont="1" applyFill="1" applyBorder="1" applyAlignment="1">
      <alignment horizontal="center" vertical="center" wrapText="1"/>
    </xf>
    <xf numFmtId="179" fontId="1" fillId="20" borderId="44" xfId="6" applyNumberFormat="1" applyFont="1" applyFill="1" applyBorder="1" applyAlignment="1">
      <alignment horizontal="center" vertical="center" wrapText="1"/>
    </xf>
    <xf numFmtId="181" fontId="22" fillId="5" borderId="1" xfId="6" applyFont="1" applyFill="1" applyBorder="1" applyAlignment="1">
      <alignment horizontal="center" vertical="center" wrapText="1"/>
    </xf>
    <xf numFmtId="58" fontId="20" fillId="0" borderId="1" xfId="6" applyNumberFormat="1" applyFont="1" applyFill="1" applyBorder="1" applyAlignment="1">
      <alignment horizontal="center" vertical="center" wrapText="1"/>
    </xf>
    <xf numFmtId="181" fontId="20" fillId="5" borderId="30" xfId="6" applyFont="1" applyFill="1" applyBorder="1" applyAlignment="1">
      <alignment horizontal="center" vertical="center" wrapText="1"/>
    </xf>
    <xf numFmtId="181" fontId="6" fillId="5" borderId="1" xfId="6" applyFont="1" applyFill="1" applyBorder="1" applyAlignment="1">
      <alignment horizontal="center" vertical="center" wrapText="1"/>
    </xf>
    <xf numFmtId="181" fontId="6" fillId="5" borderId="30" xfId="6" applyFont="1" applyFill="1" applyBorder="1" applyAlignment="1">
      <alignment horizontal="center" vertical="center" wrapText="1"/>
    </xf>
    <xf numFmtId="179" fontId="1" fillId="0" borderId="1" xfId="4" applyNumberFormat="1" applyFont="1" applyBorder="1" applyAlignment="1">
      <alignment horizontal="center" vertical="center" wrapText="1"/>
    </xf>
    <xf numFmtId="177" fontId="1" fillId="5" borderId="1" xfId="6" applyNumberFormat="1" applyFont="1" applyFill="1" applyBorder="1" applyAlignment="1">
      <alignment horizontal="center" vertical="center" wrapText="1"/>
    </xf>
    <xf numFmtId="179" fontId="20" fillId="5" borderId="1" xfId="6" applyNumberFormat="1" applyFont="1" applyFill="1" applyBorder="1" applyAlignment="1">
      <alignment horizontal="center" vertical="center" wrapText="1"/>
    </xf>
    <xf numFmtId="181" fontId="20" fillId="5" borderId="1" xfId="6" applyFont="1" applyFill="1" applyBorder="1" applyAlignment="1">
      <alignment horizontal="center" vertical="center" wrapText="1"/>
    </xf>
    <xf numFmtId="181" fontId="21" fillId="0" borderId="24" xfId="6" applyFont="1" applyFill="1" applyBorder="1" applyAlignment="1">
      <alignment horizontal="center" vertical="center" wrapText="1"/>
    </xf>
    <xf numFmtId="181" fontId="20" fillId="5" borderId="24" xfId="6" applyFont="1" applyFill="1" applyBorder="1" applyAlignment="1">
      <alignment horizontal="center" vertical="center" wrapText="1"/>
    </xf>
    <xf numFmtId="181" fontId="1" fillId="0" borderId="1" xfId="4" applyFont="1" applyFill="1" applyBorder="1" applyAlignment="1">
      <alignment horizontal="center" vertical="center" wrapText="1"/>
    </xf>
    <xf numFmtId="181" fontId="1" fillId="0" borderId="24" xfId="4" applyFont="1" applyFill="1" applyBorder="1" applyAlignment="1">
      <alignment horizontal="center" vertical="center" wrapText="1"/>
    </xf>
    <xf numFmtId="177" fontId="20" fillId="5" borderId="24" xfId="6" applyNumberFormat="1" applyFont="1" applyFill="1" applyBorder="1" applyAlignment="1">
      <alignment horizontal="center" vertical="center" wrapText="1"/>
    </xf>
    <xf numFmtId="179" fontId="20" fillId="5" borderId="24" xfId="6" applyNumberFormat="1" applyFont="1" applyFill="1" applyBorder="1" applyAlignment="1">
      <alignment horizontal="center" vertical="center" wrapText="1"/>
    </xf>
    <xf numFmtId="181" fontId="20" fillId="0" borderId="24" xfId="4" applyFont="1" applyFill="1" applyBorder="1" applyAlignment="1">
      <alignment horizontal="center" vertical="center" wrapText="1"/>
    </xf>
    <xf numFmtId="181" fontId="6" fillId="0" borderId="30" xfId="6" applyFont="1" applyFill="1" applyBorder="1" applyAlignment="1">
      <alignment horizontal="center" vertical="center" wrapText="1"/>
    </xf>
    <xf numFmtId="181" fontId="22" fillId="5" borderId="30" xfId="6" applyFont="1" applyFill="1" applyBorder="1" applyAlignment="1">
      <alignment horizontal="center" vertical="center" wrapText="1"/>
    </xf>
    <xf numFmtId="179" fontId="23" fillId="19" borderId="1" xfId="6" applyNumberFormat="1" applyFont="1" applyFill="1" applyBorder="1" applyAlignment="1">
      <alignment horizontal="center" vertical="center" wrapText="1"/>
    </xf>
    <xf numFmtId="181" fontId="21" fillId="0" borderId="1" xfId="6" applyFont="1" applyFill="1" applyBorder="1" applyAlignment="1">
      <alignment horizontal="center" vertical="center" wrapText="1"/>
    </xf>
    <xf numFmtId="177" fontId="22" fillId="5" borderId="1" xfId="6" applyNumberFormat="1" applyFont="1" applyFill="1" applyBorder="1" applyAlignment="1">
      <alignment horizontal="center" vertical="center" wrapText="1"/>
    </xf>
    <xf numFmtId="181" fontId="22" fillId="5" borderId="24" xfId="6" applyFont="1" applyFill="1" applyBorder="1" applyAlignment="1">
      <alignment horizontal="center" vertical="center" wrapText="1"/>
    </xf>
    <xf numFmtId="177" fontId="22" fillId="5" borderId="24" xfId="6" applyNumberFormat="1" applyFont="1" applyFill="1" applyBorder="1" applyAlignment="1">
      <alignment horizontal="center" vertical="center" wrapText="1"/>
    </xf>
    <xf numFmtId="181" fontId="20" fillId="0" borderId="1" xfId="4" applyFont="1" applyFill="1" applyBorder="1" applyAlignment="1">
      <alignment horizontal="center" vertical="center" wrapText="1"/>
    </xf>
    <xf numFmtId="181" fontId="21" fillId="0" borderId="1" xfId="4" applyFont="1" applyFill="1" applyBorder="1" applyAlignment="1">
      <alignment horizontal="center" vertical="center" wrapText="1"/>
    </xf>
    <xf numFmtId="181" fontId="21" fillId="0" borderId="24" xfId="4" applyFont="1" applyFill="1" applyBorder="1" applyAlignment="1">
      <alignment horizontal="center" vertical="center" wrapText="1"/>
    </xf>
    <xf numFmtId="181" fontId="22" fillId="0" borderId="24" xfId="4" applyFont="1" applyFill="1" applyBorder="1" applyAlignment="1">
      <alignment horizontal="center" vertical="center" wrapText="1"/>
    </xf>
    <xf numFmtId="179" fontId="23" fillId="19" borderId="24" xfId="6" applyNumberFormat="1" applyFont="1" applyFill="1" applyBorder="1" applyAlignment="1">
      <alignment horizontal="center" vertical="center" wrapText="1"/>
    </xf>
    <xf numFmtId="179" fontId="1" fillId="0" borderId="1" xfId="6" applyNumberFormat="1" applyFont="1" applyFill="1" applyBorder="1" applyAlignment="1">
      <alignment horizontal="center" vertical="center" wrapText="1"/>
    </xf>
    <xf numFmtId="179" fontId="23" fillId="20" borderId="44" xfId="6" applyNumberFormat="1" applyFont="1" applyFill="1" applyBorder="1" applyAlignment="1">
      <alignment horizontal="center" vertical="center" wrapText="1"/>
    </xf>
    <xf numFmtId="179" fontId="1" fillId="5" borderId="30" xfId="6" applyNumberFormat="1" applyFont="1" applyFill="1" applyBorder="1" applyAlignment="1">
      <alignment horizontal="center" vertical="center" wrapText="1"/>
    </xf>
    <xf numFmtId="178" fontId="1" fillId="5" borderId="1" xfId="6" applyNumberFormat="1" applyFont="1" applyFill="1" applyBorder="1" applyAlignment="1">
      <alignment horizontal="center" vertical="center" wrapText="1"/>
    </xf>
    <xf numFmtId="178" fontId="1" fillId="0" borderId="1" xfId="6" applyNumberFormat="1" applyFont="1" applyBorder="1" applyAlignment="1">
      <alignment horizontal="center" vertical="center" wrapText="1"/>
    </xf>
    <xf numFmtId="181" fontId="24" fillId="5" borderId="30" xfId="6" applyFont="1" applyFill="1" applyBorder="1" applyAlignment="1">
      <alignment horizontal="center" vertical="center" wrapText="1"/>
    </xf>
    <xf numFmtId="181" fontId="22" fillId="5" borderId="20" xfId="6" applyFont="1" applyFill="1" applyBorder="1" applyAlignment="1">
      <alignment horizontal="center" vertical="center" wrapText="1"/>
    </xf>
    <xf numFmtId="181" fontId="21" fillId="5" borderId="30" xfId="6" applyFont="1" applyFill="1" applyBorder="1" applyAlignment="1">
      <alignment horizontal="center" vertical="center" wrapText="1"/>
    </xf>
    <xf numFmtId="181" fontId="21" fillId="5" borderId="45" xfId="6" applyFont="1" applyFill="1" applyBorder="1" applyAlignment="1">
      <alignment horizontal="center" vertical="center" wrapText="1"/>
    </xf>
    <xf numFmtId="179" fontId="1" fillId="5" borderId="46" xfId="6" applyNumberFormat="1" applyFont="1" applyFill="1" applyBorder="1" applyAlignment="1">
      <alignment horizontal="center" vertical="center" wrapText="1"/>
    </xf>
    <xf numFmtId="179" fontId="1" fillId="5" borderId="20" xfId="6" applyNumberFormat="1" applyFont="1" applyFill="1" applyBorder="1" applyAlignment="1">
      <alignment horizontal="center" vertical="center" wrapText="1"/>
    </xf>
    <xf numFmtId="177" fontId="1" fillId="5" borderId="46" xfId="6" applyNumberFormat="1" applyFont="1" applyFill="1" applyBorder="1" applyAlignment="1">
      <alignment horizontal="center" vertical="center" wrapText="1"/>
    </xf>
    <xf numFmtId="179" fontId="1" fillId="19" borderId="46" xfId="6" applyNumberFormat="1" applyFont="1" applyFill="1" applyBorder="1" applyAlignment="1">
      <alignment horizontal="center" vertical="center" wrapText="1"/>
    </xf>
    <xf numFmtId="179" fontId="1" fillId="19" borderId="20" xfId="6" applyNumberFormat="1" applyFont="1" applyFill="1" applyBorder="1" applyAlignment="1">
      <alignment horizontal="center" vertical="center" wrapText="1"/>
    </xf>
    <xf numFmtId="181" fontId="21" fillId="5" borderId="1" xfId="6" applyFont="1" applyFill="1" applyBorder="1" applyAlignment="1">
      <alignment horizontal="center" vertical="center" wrapText="1"/>
    </xf>
    <xf numFmtId="181" fontId="21" fillId="5" borderId="20" xfId="6" applyFont="1" applyFill="1" applyBorder="1" applyAlignment="1">
      <alignment horizontal="center" vertical="center" wrapText="1"/>
    </xf>
    <xf numFmtId="181" fontId="21" fillId="5" borderId="24" xfId="6" applyFont="1" applyFill="1" applyBorder="1" applyAlignment="1">
      <alignment horizontal="center" vertical="center" wrapText="1"/>
    </xf>
    <xf numFmtId="181" fontId="21" fillId="5" borderId="25" xfId="6" applyFont="1" applyFill="1" applyBorder="1" applyAlignment="1">
      <alignment horizontal="center" vertical="center" wrapText="1"/>
    </xf>
    <xf numFmtId="181" fontId="1" fillId="19" borderId="25" xfId="6" applyFont="1" applyFill="1" applyBorder="1" applyAlignment="1">
      <alignment horizontal="center" vertical="center" wrapText="1"/>
    </xf>
    <xf numFmtId="179" fontId="1" fillId="19" borderId="25" xfId="6" applyNumberFormat="1" applyFont="1" applyFill="1" applyBorder="1" applyAlignment="1">
      <alignment horizontal="center" vertical="center" wrapText="1"/>
    </xf>
    <xf numFmtId="180" fontId="1" fillId="19" borderId="25" xfId="6" applyNumberFormat="1" applyFont="1" applyFill="1" applyBorder="1" applyAlignment="1">
      <alignment horizontal="center" vertical="center" wrapText="1"/>
    </xf>
    <xf numFmtId="180" fontId="1" fillId="19" borderId="46" xfId="6" applyNumberFormat="1" applyFont="1" applyFill="1" applyBorder="1" applyAlignment="1">
      <alignment horizontal="center" vertical="center" wrapText="1"/>
    </xf>
    <xf numFmtId="179" fontId="1" fillId="20" borderId="20" xfId="6" applyNumberFormat="1" applyFont="1" applyFill="1" applyBorder="1" applyAlignment="1">
      <alignment horizontal="center" vertical="center" wrapText="1"/>
    </xf>
    <xf numFmtId="179" fontId="1" fillId="20" borderId="47" xfId="6" applyNumberFormat="1" applyFont="1" applyFill="1" applyBorder="1" applyAlignment="1">
      <alignment horizontal="center" vertical="center" wrapText="1"/>
    </xf>
    <xf numFmtId="181" fontId="5" fillId="21" borderId="48" xfId="6" applyFont="1" applyFill="1" applyBorder="1" applyAlignment="1">
      <alignment horizontal="center" vertical="center" wrapText="1"/>
    </xf>
    <xf numFmtId="181" fontId="5" fillId="21" borderId="26" xfId="6" applyFont="1" applyFill="1" applyBorder="1" applyAlignment="1">
      <alignment horizontal="center" vertical="center" wrapText="1"/>
    </xf>
    <xf numFmtId="181" fontId="5" fillId="21" borderId="34" xfId="6" applyFont="1" applyFill="1" applyBorder="1" applyAlignment="1">
      <alignment horizontal="center" vertical="center" wrapText="1"/>
    </xf>
    <xf numFmtId="179" fontId="5" fillId="21" borderId="32" xfId="6" applyNumberFormat="1" applyFont="1" applyFill="1" applyBorder="1" applyAlignment="1">
      <alignment horizontal="center" vertical="center" wrapText="1"/>
    </xf>
    <xf numFmtId="179" fontId="1" fillId="0" borderId="0" xfId="6" applyNumberFormat="1" applyFont="1" applyBorder="1" applyAlignment="1">
      <alignment horizontal="center" vertical="center" wrapText="1"/>
    </xf>
    <xf numFmtId="179" fontId="5" fillId="21" borderId="26" xfId="6" applyNumberFormat="1" applyFont="1" applyFill="1" applyBorder="1" applyAlignment="1">
      <alignment horizontal="center" vertical="center" wrapText="1"/>
    </xf>
    <xf numFmtId="177" fontId="5" fillId="21" borderId="32" xfId="6" applyNumberFormat="1" applyFont="1" applyFill="1" applyBorder="1" applyAlignment="1">
      <alignment horizontal="center" vertical="center" wrapText="1"/>
    </xf>
    <xf numFmtId="177" fontId="7" fillId="21" borderId="32" xfId="6" applyNumberFormat="1" applyFont="1" applyFill="1" applyBorder="1" applyAlignment="1">
      <alignment horizontal="center" vertical="center" wrapText="1"/>
    </xf>
    <xf numFmtId="179" fontId="20" fillId="0" borderId="0" xfId="6" applyNumberFormat="1" applyFont="1" applyBorder="1" applyAlignment="1">
      <alignment horizontal="center" vertical="center" wrapText="1"/>
    </xf>
    <xf numFmtId="177" fontId="5" fillId="21" borderId="26" xfId="6" applyNumberFormat="1" applyFont="1" applyFill="1" applyBorder="1" applyAlignment="1">
      <alignment horizontal="center" vertical="center" wrapText="1"/>
    </xf>
    <xf numFmtId="180" fontId="7" fillId="21" borderId="26" xfId="6" applyNumberFormat="1" applyFont="1" applyFill="1" applyBorder="1" applyAlignment="1">
      <alignment horizontal="center" vertical="center" wrapText="1"/>
    </xf>
    <xf numFmtId="180" fontId="7" fillId="21" borderId="32" xfId="6" applyNumberFormat="1" applyFont="1" applyFill="1" applyBorder="1" applyAlignment="1">
      <alignment horizontal="center" vertical="center" wrapText="1"/>
    </xf>
    <xf numFmtId="181" fontId="7" fillId="21" borderId="26" xfId="6" applyFont="1" applyFill="1" applyBorder="1" applyAlignment="1">
      <alignment horizontal="center" vertical="center" wrapText="1"/>
    </xf>
    <xf numFmtId="181" fontId="5" fillId="21" borderId="1" xfId="6" applyFont="1" applyFill="1" applyBorder="1" applyAlignment="1">
      <alignment horizontal="center" vertical="center" wrapText="1"/>
    </xf>
    <xf numFmtId="179" fontId="7" fillId="21" borderId="32" xfId="6" applyNumberFormat="1" applyFont="1" applyFill="1" applyBorder="1" applyAlignment="1">
      <alignment horizontal="center" vertical="center" wrapText="1"/>
    </xf>
    <xf numFmtId="179" fontId="5" fillId="20" borderId="26" xfId="6" applyNumberFormat="1" applyFont="1" applyFill="1" applyBorder="1" applyAlignment="1">
      <alignment horizontal="center" vertical="center" wrapText="1"/>
    </xf>
    <xf numFmtId="180" fontId="7" fillId="20" borderId="21" xfId="6" applyNumberFormat="1" applyFont="1" applyFill="1" applyBorder="1" applyAlignment="1">
      <alignment horizontal="center" vertical="center" wrapText="1"/>
    </xf>
    <xf numFmtId="179" fontId="5" fillId="20" borderId="49" xfId="6" applyNumberFormat="1" applyFont="1" applyFill="1" applyBorder="1" applyAlignment="1">
      <alignment horizontal="center" vertical="center" wrapText="1"/>
    </xf>
    <xf numFmtId="181" fontId="0" fillId="0" borderId="0" xfId="0" applyNumberFormat="1" applyAlignment="1"/>
    <xf numFmtId="0" fontId="2" fillId="0" borderId="0" xfId="7">
      <alignment vertical="center"/>
    </xf>
    <xf numFmtId="0" fontId="2" fillId="0" borderId="0" xfId="7" applyAlignment="1"/>
    <xf numFmtId="0" fontId="2" fillId="0" borderId="0" xfId="7" applyFont="1" applyAlignment="1"/>
    <xf numFmtId="0" fontId="2" fillId="0" borderId="0" xfId="7" applyAlignment="1">
      <alignment wrapText="1"/>
    </xf>
    <xf numFmtId="0" fontId="5" fillId="6" borderId="15" xfId="7" applyFont="1" applyFill="1" applyBorder="1" applyAlignment="1">
      <alignment horizontal="center" vertical="center" wrapText="1"/>
    </xf>
    <xf numFmtId="0" fontId="1" fillId="0" borderId="0" xfId="7" applyFont="1" applyFill="1" applyAlignment="1">
      <alignment vertical="center"/>
    </xf>
    <xf numFmtId="0" fontId="5" fillId="6" borderId="1" xfId="7" applyFont="1" applyFill="1" applyBorder="1" applyAlignment="1">
      <alignment vertical="center" wrapText="1"/>
    </xf>
    <xf numFmtId="0" fontId="5" fillId="22" borderId="1" xfId="7" applyFont="1" applyFill="1" applyBorder="1" applyAlignment="1">
      <alignment vertical="center" wrapText="1"/>
    </xf>
    <xf numFmtId="0" fontId="5" fillId="6" borderId="20" xfId="7" applyFont="1" applyFill="1" applyBorder="1" applyAlignment="1">
      <alignment vertical="center" wrapText="1"/>
    </xf>
    <xf numFmtId="0" fontId="5" fillId="6" borderId="24" xfId="7" applyFont="1" applyFill="1" applyBorder="1" applyAlignment="1">
      <alignment horizontal="center" vertical="center" wrapText="1"/>
    </xf>
    <xf numFmtId="178" fontId="5" fillId="6" borderId="24" xfId="7" applyNumberFormat="1" applyFont="1" applyFill="1" applyBorder="1" applyAlignment="1">
      <alignment horizontal="center" vertical="center" wrapText="1"/>
    </xf>
    <xf numFmtId="178" fontId="5" fillId="6" borderId="25" xfId="7" applyNumberFormat="1" applyFont="1" applyFill="1" applyBorder="1" applyAlignment="1">
      <alignment horizontal="center" vertical="center" wrapText="1"/>
    </xf>
    <xf numFmtId="0" fontId="5" fillId="6" borderId="23" xfId="7" applyFont="1" applyFill="1" applyBorder="1" applyAlignment="1">
      <alignment horizontal="center" vertical="center" wrapText="1"/>
    </xf>
    <xf numFmtId="0" fontId="2" fillId="6" borderId="24" xfId="7" applyFill="1" applyBorder="1" applyAlignment="1"/>
    <xf numFmtId="178" fontId="5" fillId="6" borderId="1" xfId="7" applyNumberFormat="1" applyFont="1" applyFill="1" applyBorder="1" applyAlignment="1">
      <alignment horizontal="center" vertical="center" wrapText="1"/>
    </xf>
    <xf numFmtId="178" fontId="1" fillId="6" borderId="24" xfId="7" applyNumberFormat="1" applyFont="1" applyFill="1" applyBorder="1" applyAlignment="1">
      <alignment horizontal="center" vertical="center" wrapText="1"/>
    </xf>
    <xf numFmtId="0" fontId="5" fillId="6" borderId="25" xfId="7" applyFont="1" applyFill="1" applyBorder="1" applyAlignment="1">
      <alignment horizontal="center" vertical="center" wrapText="1"/>
    </xf>
    <xf numFmtId="0" fontId="18" fillId="13" borderId="1" xfId="7" applyFont="1" applyFill="1" applyBorder="1" applyAlignment="1">
      <alignment horizontal="center" vertical="center" wrapText="1"/>
    </xf>
    <xf numFmtId="0" fontId="18" fillId="13" borderId="1" xfId="7" applyFont="1" applyFill="1" applyBorder="1" applyAlignment="1">
      <alignment vertical="center" wrapText="1"/>
    </xf>
    <xf numFmtId="176" fontId="5" fillId="13" borderId="1" xfId="2" applyNumberFormat="1" applyFont="1" applyFill="1" applyBorder="1" applyAlignment="1">
      <alignment vertical="center" wrapText="1"/>
    </xf>
    <xf numFmtId="0" fontId="2" fillId="0" borderId="0" xfId="7" applyAlignment="1">
      <alignment vertical="center" wrapText="1"/>
    </xf>
    <xf numFmtId="0" fontId="18" fillId="14" borderId="1" xfId="7" applyFont="1" applyFill="1" applyBorder="1" applyAlignment="1">
      <alignment horizontal="center" vertical="center" wrapText="1"/>
    </xf>
    <xf numFmtId="0" fontId="18" fillId="14" borderId="1" xfId="7" applyFont="1" applyFill="1" applyBorder="1" applyAlignment="1">
      <alignment vertical="center" wrapText="1"/>
    </xf>
    <xf numFmtId="176" fontId="5" fillId="14" borderId="1" xfId="2" applyNumberFormat="1" applyFont="1" applyFill="1" applyBorder="1" applyAlignment="1">
      <alignment vertical="center" wrapText="1"/>
    </xf>
    <xf numFmtId="0" fontId="19" fillId="0" borderId="1" xfId="7" applyFont="1" applyBorder="1" applyAlignment="1">
      <alignment horizontal="center" vertical="center" wrapText="1"/>
    </xf>
    <xf numFmtId="0" fontId="19" fillId="0" borderId="1" xfId="7" applyFont="1" applyBorder="1" applyAlignment="1">
      <alignment vertical="center" wrapText="1"/>
    </xf>
    <xf numFmtId="176" fontId="5" fillId="0" borderId="1" xfId="2" applyNumberFormat="1" applyFont="1" applyBorder="1" applyAlignment="1">
      <alignment vertical="center" wrapText="1"/>
    </xf>
    <xf numFmtId="0" fontId="9" fillId="13" borderId="1" xfId="7" applyFont="1" applyFill="1" applyBorder="1" applyAlignment="1">
      <alignment horizontal="center" vertical="center" wrapText="1"/>
    </xf>
    <xf numFmtId="0" fontId="9" fillId="13" borderId="1" xfId="7" applyFont="1" applyFill="1" applyBorder="1" applyAlignment="1">
      <alignment vertical="center" wrapText="1"/>
    </xf>
    <xf numFmtId="0" fontId="18" fillId="15" borderId="1" xfId="7" applyFont="1" applyFill="1" applyBorder="1" applyAlignment="1">
      <alignment horizontal="center" vertical="center" wrapText="1"/>
    </xf>
    <xf numFmtId="0" fontId="18" fillId="15" borderId="1" xfId="7" applyFont="1" applyFill="1" applyBorder="1" applyAlignment="1">
      <alignment vertical="center" wrapText="1"/>
    </xf>
    <xf numFmtId="176" fontId="5" fillId="15" borderId="1" xfId="2" applyNumberFormat="1" applyFont="1" applyFill="1" applyBorder="1" applyAlignment="1">
      <alignment vertical="center" wrapText="1"/>
    </xf>
    <xf numFmtId="181" fontId="16" fillId="16" borderId="1" xfId="1" applyNumberFormat="1" applyFont="1" applyFill="1" applyBorder="1" applyAlignment="1">
      <alignment vertical="center" wrapText="1"/>
    </xf>
    <xf numFmtId="178" fontId="4" fillId="16" borderId="1" xfId="1" applyNumberFormat="1" applyFont="1" applyFill="1" applyBorder="1" applyAlignment="1">
      <alignment vertical="center" wrapText="1"/>
    </xf>
    <xf numFmtId="177" fontId="5" fillId="16" borderId="1" xfId="1" applyNumberFormat="1" applyFont="1" applyFill="1" applyBorder="1" applyAlignment="1">
      <alignment vertical="center" wrapText="1"/>
    </xf>
    <xf numFmtId="178" fontId="5" fillId="16" borderId="1" xfId="1" applyNumberFormat="1" applyFont="1" applyFill="1" applyBorder="1" applyAlignment="1">
      <alignment vertical="center" wrapText="1"/>
    </xf>
    <xf numFmtId="0" fontId="2" fillId="0" borderId="0" xfId="7" applyFill="1" applyAlignment="1">
      <alignment vertical="center" wrapText="1"/>
    </xf>
    <xf numFmtId="181" fontId="16" fillId="17" borderId="1" xfId="1" applyNumberFormat="1" applyFont="1" applyFill="1" applyBorder="1" applyAlignment="1">
      <alignment vertical="center" wrapText="1"/>
    </xf>
    <xf numFmtId="178" fontId="4" fillId="17" borderId="1" xfId="1" applyNumberFormat="1" applyFont="1" applyFill="1" applyBorder="1" applyAlignment="1">
      <alignment vertical="center" wrapText="1"/>
    </xf>
    <xf numFmtId="178" fontId="1" fillId="17" borderId="1" xfId="1" applyNumberFormat="1" applyFont="1" applyFill="1" applyBorder="1" applyAlignment="1">
      <alignment vertical="center" wrapText="1"/>
    </xf>
    <xf numFmtId="178" fontId="5" fillId="17" borderId="1" xfId="1" applyNumberFormat="1" applyFont="1" applyFill="1" applyBorder="1" applyAlignment="1">
      <alignment vertical="center" wrapText="1"/>
    </xf>
    <xf numFmtId="181" fontId="9" fillId="15" borderId="1" xfId="1" applyNumberFormat="1" applyFont="1" applyFill="1" applyBorder="1" applyAlignment="1">
      <alignment vertical="center" wrapText="1"/>
    </xf>
    <xf numFmtId="181" fontId="1" fillId="15" borderId="1" xfId="5" applyFont="1" applyFill="1" applyBorder="1" applyAlignment="1">
      <alignment vertical="center" wrapText="1"/>
    </xf>
    <xf numFmtId="181" fontId="5" fillId="15" borderId="1" xfId="5" applyFont="1" applyFill="1" applyBorder="1" applyAlignment="1">
      <alignment vertical="center" wrapText="1"/>
    </xf>
    <xf numFmtId="177" fontId="5" fillId="15" borderId="1" xfId="5" applyNumberFormat="1" applyFont="1" applyFill="1" applyBorder="1" applyAlignment="1">
      <alignment vertical="center" wrapText="1"/>
    </xf>
    <xf numFmtId="10" fontId="5" fillId="15" borderId="1" xfId="3" applyNumberFormat="1" applyFont="1" applyFill="1" applyBorder="1" applyAlignment="1">
      <alignment vertical="center" wrapText="1"/>
    </xf>
    <xf numFmtId="182" fontId="5" fillId="15" borderId="1" xfId="5" applyNumberFormat="1" applyFont="1" applyFill="1" applyBorder="1" applyAlignment="1">
      <alignment vertical="center" wrapText="1"/>
    </xf>
    <xf numFmtId="181" fontId="9" fillId="15" borderId="34" xfId="1" applyNumberFormat="1" applyFont="1" applyFill="1" applyBorder="1" applyAlignment="1">
      <alignment vertical="center" wrapText="1"/>
    </xf>
    <xf numFmtId="10" fontId="1" fillId="15" borderId="1" xfId="3" applyNumberFormat="1" applyFont="1" applyFill="1" applyBorder="1" applyAlignment="1">
      <alignment vertical="center" wrapText="1"/>
    </xf>
    <xf numFmtId="177" fontId="5" fillId="15" borderId="1" xfId="3" applyNumberFormat="1" applyFont="1" applyFill="1" applyBorder="1" applyAlignment="1">
      <alignment vertical="center" wrapText="1"/>
    </xf>
    <xf numFmtId="181" fontId="9" fillId="18" borderId="1" xfId="1" applyNumberFormat="1" applyFont="1" applyFill="1" applyBorder="1" applyAlignment="1">
      <alignment vertical="center" wrapText="1"/>
    </xf>
    <xf numFmtId="178" fontId="2" fillId="18" borderId="1" xfId="5" applyNumberFormat="1" applyFont="1" applyFill="1" applyBorder="1" applyAlignment="1">
      <alignment vertical="center" wrapText="1"/>
    </xf>
    <xf numFmtId="178" fontId="5" fillId="18" borderId="1" xfId="5" applyNumberFormat="1" applyFont="1" applyFill="1" applyBorder="1" applyAlignment="1">
      <alignment vertical="center" wrapText="1"/>
    </xf>
    <xf numFmtId="178" fontId="2" fillId="15" borderId="1" xfId="5" applyNumberFormat="1" applyFont="1" applyFill="1" applyBorder="1" applyAlignment="1">
      <alignment vertical="center" wrapText="1"/>
    </xf>
    <xf numFmtId="178" fontId="5" fillId="15" borderId="1" xfId="5" applyNumberFormat="1" applyFont="1" applyFill="1" applyBorder="1" applyAlignment="1">
      <alignment vertical="center" wrapText="1"/>
    </xf>
    <xf numFmtId="178" fontId="2" fillId="17" borderId="1" xfId="5" applyNumberFormat="1" applyFont="1" applyFill="1" applyBorder="1" applyAlignment="1">
      <alignment vertical="center" wrapText="1"/>
    </xf>
    <xf numFmtId="178" fontId="5" fillId="17" borderId="1" xfId="5" applyNumberFormat="1" applyFont="1" applyFill="1" applyBorder="1" applyAlignment="1">
      <alignment vertical="center" wrapText="1"/>
    </xf>
    <xf numFmtId="183" fontId="5" fillId="17" borderId="1" xfId="3" applyNumberFormat="1" applyFont="1" applyFill="1" applyBorder="1" applyAlignment="1">
      <alignment vertical="center" wrapText="1"/>
    </xf>
    <xf numFmtId="178" fontId="1" fillId="15" borderId="1" xfId="5" applyNumberFormat="1" applyFont="1" applyFill="1" applyBorder="1" applyAlignment="1">
      <alignment vertical="center" wrapText="1"/>
    </xf>
    <xf numFmtId="178" fontId="1" fillId="17" borderId="1" xfId="5" applyNumberFormat="1" applyFont="1" applyFill="1" applyBorder="1" applyAlignment="1">
      <alignment vertical="center" wrapText="1"/>
    </xf>
    <xf numFmtId="10" fontId="5" fillId="17" borderId="1" xfId="3" applyNumberFormat="1" applyFont="1" applyFill="1" applyBorder="1" applyAlignment="1">
      <alignment vertical="center" wrapText="1"/>
    </xf>
    <xf numFmtId="0" fontId="2" fillId="0" borderId="0" xfId="7" applyFont="1">
      <alignment vertical="center"/>
    </xf>
    <xf numFmtId="0" fontId="2" fillId="0" borderId="0" xfId="7" applyFont="1" applyFill="1" applyBorder="1">
      <alignment vertical="center"/>
    </xf>
    <xf numFmtId="181" fontId="5" fillId="0" borderId="0" xfId="9" applyFont="1" applyAlignment="1"/>
    <xf numFmtId="181" fontId="8" fillId="0" borderId="0" xfId="9" applyFont="1" applyAlignment="1"/>
    <xf numFmtId="181" fontId="2" fillId="0" borderId="0" xfId="9" applyFont="1" applyAlignment="1">
      <alignment horizontal="center"/>
    </xf>
    <xf numFmtId="181" fontId="2" fillId="0" borderId="0" xfId="9" applyFont="1" applyAlignment="1">
      <alignment horizontal="left" wrapText="1"/>
    </xf>
    <xf numFmtId="176" fontId="1" fillId="0" borderId="0" xfId="9" applyNumberFormat="1" applyFont="1" applyAlignment="1"/>
    <xf numFmtId="181" fontId="2" fillId="0" borderId="0" xfId="9" applyFont="1" applyAlignment="1"/>
    <xf numFmtId="181" fontId="2" fillId="0" borderId="0" xfId="9" applyFont="1" applyAlignment="1">
      <alignment horizontal="center" vertical="center"/>
    </xf>
    <xf numFmtId="181" fontId="2" fillId="0" borderId="0" xfId="9" applyFont="1" applyAlignment="1">
      <alignment vertical="center"/>
    </xf>
    <xf numFmtId="181" fontId="2" fillId="0" borderId="0" xfId="9" applyFont="1" applyAlignment="1">
      <alignment horizontal="left" vertical="center"/>
    </xf>
    <xf numFmtId="181" fontId="1" fillId="0" borderId="0" xfId="9" applyFont="1" applyAlignment="1">
      <alignment horizontal="right" vertical="center"/>
    </xf>
    <xf numFmtId="181" fontId="1" fillId="0" borderId="0" xfId="9" applyFont="1" applyAlignment="1">
      <alignment vertical="center"/>
    </xf>
    <xf numFmtId="49" fontId="2" fillId="3" borderId="50" xfId="9" applyNumberFormat="1" applyFont="1" applyFill="1" applyBorder="1" applyAlignment="1">
      <alignment horizontal="center" vertical="center" wrapText="1"/>
    </xf>
    <xf numFmtId="181" fontId="2" fillId="3" borderId="28" xfId="9" applyFont="1" applyFill="1" applyBorder="1" applyAlignment="1">
      <alignment horizontal="center" vertical="center" wrapText="1"/>
    </xf>
    <xf numFmtId="181" fontId="2" fillId="3" borderId="28" xfId="9" applyFont="1" applyFill="1" applyBorder="1" applyAlignment="1">
      <alignment horizontal="center" vertical="center"/>
    </xf>
    <xf numFmtId="10" fontId="2" fillId="3" borderId="28" xfId="3" applyNumberFormat="1" applyFont="1" applyFill="1" applyBorder="1" applyAlignment="1">
      <alignment horizontal="center" vertical="center" wrapText="1"/>
    </xf>
    <xf numFmtId="181" fontId="1" fillId="3" borderId="29" xfId="9" applyFont="1" applyFill="1" applyBorder="1" applyAlignment="1">
      <alignment horizontal="center" vertical="center" wrapText="1"/>
    </xf>
    <xf numFmtId="181" fontId="1" fillId="3" borderId="41" xfId="9" applyFont="1" applyFill="1" applyBorder="1" applyAlignment="1">
      <alignment horizontal="center" vertical="center" wrapText="1"/>
    </xf>
    <xf numFmtId="176" fontId="1" fillId="3" borderId="21" xfId="9" applyNumberFormat="1" applyFont="1" applyFill="1" applyBorder="1" applyAlignment="1">
      <alignment horizontal="center" vertical="center" wrapText="1"/>
    </xf>
    <xf numFmtId="181" fontId="1" fillId="3" borderId="0" xfId="9" applyFont="1" applyFill="1" applyAlignment="1">
      <alignment vertical="center"/>
    </xf>
    <xf numFmtId="181" fontId="2" fillId="3" borderId="0" xfId="9" applyFont="1" applyFill="1" applyAlignment="1"/>
    <xf numFmtId="49" fontId="3" fillId="4" borderId="1" xfId="9" applyNumberFormat="1" applyFont="1" applyFill="1" applyBorder="1" applyAlignment="1">
      <alignment horizontal="center" vertical="center"/>
    </xf>
    <xf numFmtId="2" fontId="1" fillId="0" borderId="1" xfId="9" applyNumberFormat="1" applyFont="1" applyFill="1" applyBorder="1" applyAlignment="1">
      <alignment horizontal="center" vertical="center"/>
    </xf>
    <xf numFmtId="181" fontId="1" fillId="0" borderId="1" xfId="9" applyFont="1" applyFill="1" applyBorder="1" applyAlignment="1">
      <alignment horizontal="center" vertical="center"/>
    </xf>
    <xf numFmtId="181" fontId="1" fillId="0" borderId="1" xfId="9" applyFont="1" applyFill="1" applyBorder="1" applyAlignment="1">
      <alignment horizontal="left" vertical="center" wrapText="1"/>
    </xf>
    <xf numFmtId="177" fontId="1" fillId="0" borderId="1" xfId="9" applyNumberFormat="1" applyFont="1" applyFill="1" applyBorder="1" applyAlignment="1">
      <alignment horizontal="right" vertical="center" wrapText="1"/>
    </xf>
    <xf numFmtId="2" fontId="1" fillId="0" borderId="1" xfId="9" applyNumberFormat="1" applyFont="1" applyFill="1" applyBorder="1" applyAlignment="1">
      <alignment horizontal="right" vertical="center"/>
    </xf>
    <xf numFmtId="43" fontId="1" fillId="0" borderId="1" xfId="2" applyFont="1" applyFill="1" applyBorder="1" applyAlignment="1">
      <alignment horizontal="right" vertical="center"/>
    </xf>
    <xf numFmtId="177" fontId="1" fillId="0" borderId="1" xfId="2" applyNumberFormat="1" applyFont="1" applyFill="1" applyBorder="1" applyAlignment="1">
      <alignment horizontal="right" vertical="center"/>
    </xf>
    <xf numFmtId="183" fontId="1" fillId="0" borderId="1" xfId="3" applyNumberFormat="1" applyFont="1" applyFill="1" applyBorder="1" applyAlignment="1">
      <alignment horizontal="center" vertical="center"/>
    </xf>
    <xf numFmtId="1" fontId="1" fillId="0" borderId="1" xfId="3" applyNumberFormat="1" applyFont="1" applyFill="1" applyBorder="1" applyAlignment="1">
      <alignment horizontal="right" vertical="center"/>
    </xf>
    <xf numFmtId="181" fontId="4" fillId="0" borderId="1" xfId="9" applyFont="1" applyFill="1" applyBorder="1" applyAlignment="1">
      <alignment horizontal="center" vertical="center" wrapText="1"/>
    </xf>
    <xf numFmtId="181" fontId="2" fillId="0" borderId="0" xfId="9" applyFont="1" applyFill="1" applyAlignment="1"/>
    <xf numFmtId="181" fontId="1" fillId="0" borderId="0" xfId="9" applyFont="1" applyFill="1" applyAlignment="1"/>
    <xf numFmtId="49" fontId="3" fillId="6" borderId="1" xfId="9" applyNumberFormat="1" applyFont="1" applyFill="1" applyBorder="1" applyAlignment="1">
      <alignment horizontal="center" vertical="center"/>
    </xf>
    <xf numFmtId="2" fontId="1" fillId="6" borderId="1" xfId="9" applyNumberFormat="1" applyFont="1" applyFill="1" applyBorder="1" applyAlignment="1">
      <alignment horizontal="center" vertical="center"/>
    </xf>
    <xf numFmtId="181" fontId="1" fillId="6" borderId="1" xfId="9" applyFont="1" applyFill="1" applyBorder="1" applyAlignment="1">
      <alignment horizontal="center" vertical="center"/>
    </xf>
    <xf numFmtId="181" fontId="1" fillId="6" borderId="1" xfId="9" applyFont="1" applyFill="1" applyBorder="1" applyAlignment="1">
      <alignment horizontal="left" vertical="center" wrapText="1"/>
    </xf>
    <xf numFmtId="177" fontId="1" fillId="6" borderId="1" xfId="9" applyNumberFormat="1" applyFont="1" applyFill="1" applyBorder="1" applyAlignment="1">
      <alignment horizontal="right" vertical="center" wrapText="1"/>
    </xf>
    <xf numFmtId="2" fontId="1" fillId="6" borderId="1" xfId="9" applyNumberFormat="1" applyFont="1" applyFill="1" applyBorder="1" applyAlignment="1">
      <alignment horizontal="right" vertical="center"/>
    </xf>
    <xf numFmtId="43" fontId="1" fillId="6" borderId="1" xfId="2" applyFont="1" applyFill="1" applyBorder="1" applyAlignment="1">
      <alignment horizontal="right" vertical="center"/>
    </xf>
    <xf numFmtId="176" fontId="1" fillId="0" borderId="0" xfId="9" applyNumberFormat="1" applyFont="1" applyFill="1" applyAlignment="1"/>
    <xf numFmtId="181" fontId="1" fillId="0" borderId="1" xfId="9" applyFont="1" applyFill="1" applyBorder="1" applyAlignment="1">
      <alignment vertical="center"/>
    </xf>
    <xf numFmtId="49" fontId="3" fillId="22" borderId="1" xfId="9" applyNumberFormat="1" applyFont="1" applyFill="1" applyBorder="1" applyAlignment="1">
      <alignment horizontal="center" vertical="center"/>
    </xf>
    <xf numFmtId="49" fontId="3" fillId="10" borderId="1" xfId="9" applyNumberFormat="1" applyFont="1" applyFill="1" applyBorder="1" applyAlignment="1">
      <alignment horizontal="center" vertical="center"/>
    </xf>
    <xf numFmtId="181" fontId="1" fillId="0" borderId="1" xfId="9" applyFont="1" applyBorder="1" applyAlignment="1">
      <alignment horizontal="left" vertical="center" wrapText="1"/>
    </xf>
    <xf numFmtId="181" fontId="1" fillId="0" borderId="1" xfId="9" applyFont="1" applyBorder="1" applyAlignment="1">
      <alignment vertical="center"/>
    </xf>
    <xf numFmtId="2" fontId="1" fillId="0" borderId="1" xfId="9" applyNumberFormat="1" applyFont="1" applyBorder="1" applyAlignment="1">
      <alignment horizontal="right" vertical="center"/>
    </xf>
    <xf numFmtId="2" fontId="1" fillId="2" borderId="1" xfId="9" applyNumberFormat="1" applyFont="1" applyFill="1" applyBorder="1" applyAlignment="1">
      <alignment horizontal="center" vertical="center"/>
    </xf>
    <xf numFmtId="181" fontId="1" fillId="2" borderId="1" xfId="9" applyFont="1" applyFill="1" applyBorder="1" applyAlignment="1">
      <alignment horizontal="center" vertical="center"/>
    </xf>
    <xf numFmtId="181" fontId="1" fillId="2" borderId="1" xfId="9" applyFont="1" applyFill="1" applyBorder="1" applyAlignment="1">
      <alignment horizontal="left" vertical="center" wrapText="1"/>
    </xf>
    <xf numFmtId="181" fontId="1" fillId="2" borderId="1" xfId="9" applyFont="1" applyFill="1" applyBorder="1" applyAlignment="1">
      <alignment vertical="center"/>
    </xf>
    <xf numFmtId="2" fontId="1" fillId="2" borderId="1" xfId="9" applyNumberFormat="1" applyFont="1" applyFill="1" applyBorder="1" applyAlignment="1">
      <alignment horizontal="right" vertical="center"/>
    </xf>
    <xf numFmtId="43" fontId="1" fillId="2" borderId="1" xfId="2" applyFont="1" applyFill="1" applyBorder="1" applyAlignment="1">
      <alignment horizontal="right" vertical="center"/>
    </xf>
    <xf numFmtId="177" fontId="1" fillId="2" borderId="1" xfId="2" applyNumberFormat="1" applyFont="1" applyFill="1" applyBorder="1" applyAlignment="1">
      <alignment horizontal="right" vertical="center"/>
    </xf>
    <xf numFmtId="183" fontId="1" fillId="2" borderId="1" xfId="3" applyNumberFormat="1" applyFont="1" applyFill="1" applyBorder="1" applyAlignment="1">
      <alignment horizontal="center" vertical="center"/>
    </xf>
    <xf numFmtId="1" fontId="1" fillId="2" borderId="1" xfId="3" applyNumberFormat="1" applyFont="1" applyFill="1" applyBorder="1" applyAlignment="1">
      <alignment horizontal="right" vertical="center"/>
    </xf>
    <xf numFmtId="181" fontId="4" fillId="2" borderId="1" xfId="9" applyFont="1" applyFill="1" applyBorder="1" applyAlignment="1">
      <alignment horizontal="center" vertical="center" wrapText="1"/>
    </xf>
    <xf numFmtId="176" fontId="1" fillId="2" borderId="0" xfId="9" applyNumberFormat="1" applyFont="1" applyFill="1" applyAlignment="1"/>
    <xf numFmtId="181" fontId="2" fillId="2" borderId="0" xfId="9" applyFont="1" applyFill="1" applyAlignment="1"/>
    <xf numFmtId="181" fontId="1" fillId="2" borderId="1" xfId="9" applyFont="1" applyFill="1" applyBorder="1" applyAlignment="1"/>
    <xf numFmtId="177" fontId="36" fillId="0" borderId="0" xfId="9" applyNumberFormat="1" applyFont="1" applyFill="1" applyAlignment="1">
      <alignment wrapText="1"/>
    </xf>
    <xf numFmtId="176" fontId="1" fillId="0" borderId="0" xfId="9" applyNumberFormat="1" applyFont="1" applyFill="1" applyAlignment="1">
      <alignment vertical="center"/>
    </xf>
    <xf numFmtId="181" fontId="2" fillId="0" borderId="0" xfId="9" applyFont="1" applyFill="1" applyAlignment="1">
      <alignment vertical="center"/>
    </xf>
    <xf numFmtId="181" fontId="1" fillId="2" borderId="1" xfId="9" applyFont="1" applyFill="1" applyBorder="1" applyAlignment="1">
      <alignment vertical="center" wrapText="1"/>
    </xf>
    <xf numFmtId="177" fontId="1" fillId="2" borderId="1" xfId="9" applyNumberFormat="1" applyFont="1" applyFill="1" applyBorder="1" applyAlignment="1">
      <alignment horizontal="left" vertical="center" wrapText="1"/>
    </xf>
    <xf numFmtId="176" fontId="1" fillId="2" borderId="0" xfId="9" applyNumberFormat="1" applyFont="1" applyFill="1" applyAlignment="1">
      <alignment vertical="center"/>
    </xf>
    <xf numFmtId="181" fontId="2" fillId="2" borderId="0" xfId="9" applyFont="1" applyFill="1" applyAlignment="1">
      <alignment vertical="center"/>
    </xf>
    <xf numFmtId="181" fontId="1" fillId="0" borderId="1" xfId="9" applyFont="1" applyFill="1" applyBorder="1" applyAlignment="1">
      <alignment vertical="center" wrapText="1"/>
    </xf>
    <xf numFmtId="181" fontId="1" fillId="0" borderId="1" xfId="9" applyFont="1" applyFill="1" applyBorder="1" applyAlignment="1"/>
    <xf numFmtId="181" fontId="1" fillId="0" borderId="0" xfId="9" applyFont="1" applyFill="1" applyAlignment="1">
      <alignment horizontal="justify" wrapText="1"/>
    </xf>
    <xf numFmtId="181" fontId="4" fillId="0" borderId="0" xfId="9" applyFont="1" applyFill="1" applyAlignment="1">
      <alignment vertical="center" wrapText="1"/>
    </xf>
    <xf numFmtId="2" fontId="1" fillId="5" borderId="1" xfId="9" applyNumberFormat="1" applyFont="1" applyFill="1" applyBorder="1" applyAlignment="1">
      <alignment horizontal="center" vertical="center"/>
    </xf>
    <xf numFmtId="181" fontId="1" fillId="5" borderId="1" xfId="9" applyFont="1" applyFill="1" applyBorder="1" applyAlignment="1">
      <alignment horizontal="center" vertical="center"/>
    </xf>
    <xf numFmtId="181" fontId="1" fillId="5" borderId="1" xfId="9" applyFont="1" applyFill="1" applyBorder="1" applyAlignment="1">
      <alignment horizontal="left" vertical="center" wrapText="1"/>
    </xf>
    <xf numFmtId="181" fontId="1" fillId="5" borderId="1" xfId="9" applyFont="1" applyFill="1" applyBorder="1" applyAlignment="1">
      <alignment vertical="center" wrapText="1"/>
    </xf>
    <xf numFmtId="2" fontId="1" fillId="5" borderId="1" xfId="9" applyNumberFormat="1" applyFont="1" applyFill="1" applyBorder="1" applyAlignment="1">
      <alignment horizontal="right" vertical="center"/>
    </xf>
    <xf numFmtId="43" fontId="1" fillId="5" borderId="1" xfId="2" applyFont="1" applyFill="1" applyBorder="1" applyAlignment="1">
      <alignment horizontal="right" vertical="center"/>
    </xf>
    <xf numFmtId="177" fontId="1" fillId="5" borderId="1" xfId="2" applyNumberFormat="1" applyFont="1" applyFill="1" applyBorder="1" applyAlignment="1">
      <alignment horizontal="right" vertical="center"/>
    </xf>
    <xf numFmtId="183" fontId="1" fillId="5" borderId="1" xfId="3" applyNumberFormat="1" applyFont="1" applyFill="1" applyBorder="1" applyAlignment="1">
      <alignment horizontal="center" vertical="center"/>
    </xf>
    <xf numFmtId="1" fontId="1" fillId="5" borderId="1" xfId="3" applyNumberFormat="1" applyFont="1" applyFill="1" applyBorder="1" applyAlignment="1">
      <alignment horizontal="right" vertical="center"/>
    </xf>
    <xf numFmtId="181" fontId="4" fillId="5" borderId="1" xfId="9" applyFont="1" applyFill="1" applyBorder="1" applyAlignment="1">
      <alignment horizontal="center" vertical="center" wrapText="1"/>
    </xf>
    <xf numFmtId="176" fontId="1" fillId="5" borderId="0" xfId="9" applyNumberFormat="1" applyFont="1" applyFill="1" applyAlignment="1">
      <alignment vertical="center"/>
    </xf>
    <xf numFmtId="181" fontId="2" fillId="5" borderId="0" xfId="9" applyFont="1" applyFill="1" applyAlignment="1">
      <alignment vertical="center"/>
    </xf>
    <xf numFmtId="2" fontId="1" fillId="0" borderId="30" xfId="9" applyNumberFormat="1" applyFont="1" applyFill="1" applyBorder="1" applyAlignment="1">
      <alignment horizontal="right" vertical="center"/>
    </xf>
    <xf numFmtId="49" fontId="3" fillId="4" borderId="30" xfId="9" applyNumberFormat="1" applyFont="1" applyFill="1" applyBorder="1" applyAlignment="1">
      <alignment horizontal="center" vertical="center"/>
    </xf>
    <xf numFmtId="2" fontId="1" fillId="2" borderId="30" xfId="9" applyNumberFormat="1" applyFont="1" applyFill="1" applyBorder="1" applyAlignment="1">
      <alignment horizontal="center" vertical="center"/>
    </xf>
    <xf numFmtId="181" fontId="1" fillId="0" borderId="30" xfId="9" applyFont="1" applyFill="1" applyBorder="1" applyAlignment="1">
      <alignment horizontal="center" vertical="center"/>
    </xf>
    <xf numFmtId="181" fontId="1" fillId="2" borderId="30" xfId="9" applyFont="1" applyFill="1" applyBorder="1" applyAlignment="1">
      <alignment horizontal="left" vertical="center" wrapText="1"/>
    </xf>
    <xf numFmtId="181" fontId="1" fillId="2" borderId="30" xfId="9" applyFont="1" applyFill="1" applyBorder="1" applyAlignment="1">
      <alignment vertical="center" wrapText="1"/>
    </xf>
    <xf numFmtId="2" fontId="1" fillId="2" borderId="30" xfId="9" applyNumberFormat="1" applyFont="1" applyFill="1" applyBorder="1" applyAlignment="1">
      <alignment horizontal="right" vertical="center"/>
    </xf>
    <xf numFmtId="43" fontId="1" fillId="0" borderId="30" xfId="2" applyFont="1" applyFill="1" applyBorder="1" applyAlignment="1">
      <alignment horizontal="right" vertical="center"/>
    </xf>
    <xf numFmtId="177" fontId="1" fillId="0" borderId="30" xfId="2" applyNumberFormat="1" applyFont="1" applyFill="1" applyBorder="1" applyAlignment="1">
      <alignment horizontal="right" vertical="center"/>
    </xf>
    <xf numFmtId="183" fontId="1" fillId="0" borderId="30" xfId="3" applyNumberFormat="1" applyFont="1" applyFill="1" applyBorder="1" applyAlignment="1">
      <alignment horizontal="center" vertical="center"/>
    </xf>
    <xf numFmtId="1" fontId="1" fillId="0" borderId="30" xfId="3" applyNumberFormat="1" applyFont="1" applyFill="1" applyBorder="1" applyAlignment="1">
      <alignment horizontal="right" vertical="center"/>
    </xf>
    <xf numFmtId="176" fontId="1" fillId="2" borderId="1" xfId="9" applyNumberFormat="1" applyFont="1" applyFill="1" applyBorder="1" applyAlignment="1">
      <alignment vertical="center"/>
    </xf>
    <xf numFmtId="181" fontId="2" fillId="2" borderId="1" xfId="9" applyFont="1" applyFill="1" applyBorder="1" applyAlignment="1">
      <alignment vertical="center"/>
    </xf>
    <xf numFmtId="176" fontId="1" fillId="2" borderId="0" xfId="9" applyNumberFormat="1" applyFont="1" applyFill="1" applyBorder="1" applyAlignment="1">
      <alignment vertical="center"/>
    </xf>
    <xf numFmtId="181" fontId="2" fillId="2" borderId="0" xfId="9" applyFont="1" applyFill="1" applyBorder="1" applyAlignment="1">
      <alignment vertical="center"/>
    </xf>
    <xf numFmtId="176" fontId="1" fillId="0" borderId="0" xfId="9" applyNumberFormat="1" applyFont="1" applyFill="1" applyBorder="1" applyAlignment="1">
      <alignment vertical="center"/>
    </xf>
    <xf numFmtId="181" fontId="2" fillId="0" borderId="0" xfId="9" applyFont="1" applyFill="1" applyBorder="1" applyAlignment="1">
      <alignment vertical="center"/>
    </xf>
    <xf numFmtId="49" fontId="3" fillId="5" borderId="1" xfId="9" applyNumberFormat="1" applyFont="1" applyFill="1" applyBorder="1" applyAlignment="1">
      <alignment horizontal="center" vertical="center"/>
    </xf>
    <xf numFmtId="176" fontId="1" fillId="5" borderId="0" xfId="9" applyNumberFormat="1" applyFont="1" applyFill="1" applyBorder="1" applyAlignment="1">
      <alignment vertical="center"/>
    </xf>
    <xf numFmtId="181" fontId="2" fillId="5" borderId="0" xfId="9" applyFont="1" applyFill="1" applyBorder="1" applyAlignment="1">
      <alignment vertical="center"/>
    </xf>
    <xf numFmtId="181" fontId="1" fillId="5" borderId="0" xfId="9" applyFont="1" applyFill="1" applyBorder="1" applyAlignment="1">
      <alignment horizontal="left" vertical="center" wrapText="1"/>
    </xf>
    <xf numFmtId="2" fontId="1" fillId="23" borderId="1" xfId="9" applyNumberFormat="1" applyFont="1" applyFill="1" applyBorder="1" applyAlignment="1">
      <alignment horizontal="right" vertical="center"/>
    </xf>
    <xf numFmtId="181" fontId="1" fillId="24" borderId="1" xfId="9" applyFont="1" applyFill="1" applyBorder="1" applyAlignment="1">
      <alignment horizontal="left" vertical="center" wrapText="1"/>
    </xf>
    <xf numFmtId="181" fontId="1" fillId="24" borderId="1" xfId="9" applyFont="1" applyFill="1" applyBorder="1" applyAlignment="1">
      <alignment vertical="center" wrapText="1"/>
    </xf>
    <xf numFmtId="2" fontId="1" fillId="24" borderId="1" xfId="9" applyNumberFormat="1" applyFont="1" applyFill="1" applyBorder="1" applyAlignment="1">
      <alignment horizontal="right" vertical="center"/>
    </xf>
    <xf numFmtId="49" fontId="3" fillId="0" borderId="1" xfId="9" applyNumberFormat="1" applyFont="1" applyFill="1" applyBorder="1" applyAlignment="1">
      <alignment horizontal="center" vertical="center"/>
    </xf>
    <xf numFmtId="181" fontId="1" fillId="25" borderId="1" xfId="9" applyFont="1" applyFill="1" applyBorder="1" applyAlignment="1">
      <alignment horizontal="left" vertical="center" wrapText="1"/>
    </xf>
    <xf numFmtId="181" fontId="1" fillId="25" borderId="1" xfId="9" applyFont="1" applyFill="1" applyBorder="1" applyAlignment="1">
      <alignment vertical="center" wrapText="1"/>
    </xf>
    <xf numFmtId="2" fontId="1" fillId="25" borderId="1" xfId="9" applyNumberFormat="1" applyFont="1" applyFill="1" applyBorder="1" applyAlignment="1">
      <alignment horizontal="right" vertical="center"/>
    </xf>
    <xf numFmtId="181" fontId="1" fillId="23" borderId="1" xfId="9" applyFont="1" applyFill="1" applyBorder="1" applyAlignment="1">
      <alignment horizontal="left" vertical="center" wrapText="1"/>
    </xf>
    <xf numFmtId="181" fontId="1" fillId="23" borderId="1" xfId="9" applyFont="1" applyFill="1" applyBorder="1" applyAlignment="1">
      <alignment vertical="center" wrapText="1"/>
    </xf>
    <xf numFmtId="43" fontId="1" fillId="2" borderId="1" xfId="2" applyFont="1" applyFill="1" applyBorder="1" applyAlignment="1">
      <alignment horizontal="center" vertical="center"/>
    </xf>
    <xf numFmtId="181" fontId="1" fillId="11" borderId="1" xfId="9" applyFont="1" applyFill="1" applyBorder="1" applyAlignment="1">
      <alignment horizontal="left" vertical="center" wrapText="1"/>
    </xf>
    <xf numFmtId="2" fontId="1" fillId="11" borderId="1" xfId="9" applyNumberFormat="1" applyFont="1" applyFill="1" applyBorder="1" applyAlignment="1">
      <alignment horizontal="right" vertical="center"/>
    </xf>
    <xf numFmtId="181" fontId="1" fillId="6" borderId="1" xfId="9" applyFont="1" applyFill="1" applyBorder="1" applyAlignment="1">
      <alignment vertical="center" wrapText="1"/>
    </xf>
    <xf numFmtId="177" fontId="1" fillId="6" borderId="1" xfId="2" applyNumberFormat="1" applyFont="1" applyFill="1" applyBorder="1" applyAlignment="1">
      <alignment horizontal="right" vertical="center"/>
    </xf>
    <xf numFmtId="183" fontId="1" fillId="6" borderId="1" xfId="3" applyNumberFormat="1" applyFont="1" applyFill="1" applyBorder="1" applyAlignment="1">
      <alignment horizontal="center" vertical="center"/>
    </xf>
    <xf numFmtId="1" fontId="1" fillId="6" borderId="1" xfId="3" applyNumberFormat="1" applyFont="1" applyFill="1" applyBorder="1" applyAlignment="1">
      <alignment horizontal="right" vertical="center"/>
    </xf>
    <xf numFmtId="181" fontId="4" fillId="6" borderId="1" xfId="9" applyFont="1" applyFill="1" applyBorder="1" applyAlignment="1">
      <alignment horizontal="center" vertical="center" wrapText="1"/>
    </xf>
    <xf numFmtId="176" fontId="1" fillId="6" borderId="0" xfId="9" applyNumberFormat="1" applyFont="1" applyFill="1" applyBorder="1" applyAlignment="1">
      <alignment vertical="center"/>
    </xf>
    <xf numFmtId="181" fontId="2" fillId="6" borderId="0" xfId="9" applyFont="1" applyFill="1" applyBorder="1" applyAlignment="1">
      <alignment vertical="center"/>
    </xf>
    <xf numFmtId="181" fontId="9" fillId="3" borderId="1" xfId="1" applyFont="1" applyFill="1" applyBorder="1" applyAlignment="1">
      <alignment horizontal="center" vertical="center" wrapText="1"/>
    </xf>
    <xf numFmtId="181" fontId="1" fillId="12" borderId="1" xfId="9" applyFont="1" applyFill="1" applyBorder="1" applyAlignment="1">
      <alignment horizontal="center" vertical="center"/>
    </xf>
    <xf numFmtId="181" fontId="1" fillId="12" borderId="1" xfId="9" applyFont="1" applyFill="1" applyBorder="1" applyAlignment="1">
      <alignment horizontal="left" vertical="center"/>
    </xf>
    <xf numFmtId="2" fontId="1" fillId="12" borderId="1" xfId="9" applyNumberFormat="1" applyFont="1" applyFill="1" applyBorder="1" applyAlignment="1">
      <alignment horizontal="right" vertical="center"/>
    </xf>
    <xf numFmtId="181" fontId="11" fillId="0" borderId="51" xfId="1" applyFont="1" applyFill="1" applyBorder="1" applyAlignment="1">
      <alignment horizontal="center" vertical="center" wrapText="1"/>
    </xf>
    <xf numFmtId="181" fontId="2" fillId="0" borderId="0" xfId="9" applyFont="1" applyAlignment="1">
      <alignment horizontal="left"/>
    </xf>
    <xf numFmtId="177" fontId="1" fillId="0" borderId="0" xfId="9" applyNumberFormat="1" applyFont="1" applyAlignment="1">
      <alignment horizontal="right"/>
    </xf>
    <xf numFmtId="181" fontId="1" fillId="0" borderId="0" xfId="9" applyFont="1" applyAlignment="1"/>
    <xf numFmtId="43" fontId="1" fillId="0" borderId="31" xfId="2" applyFont="1" applyBorder="1" applyAlignment="1">
      <alignment horizontal="right" vertical="center"/>
    </xf>
    <xf numFmtId="181" fontId="13" fillId="0" borderId="4" xfId="1" applyFont="1" applyFill="1" applyBorder="1" applyAlignment="1">
      <alignment horizontal="center" vertical="center" wrapText="1"/>
    </xf>
    <xf numFmtId="177" fontId="1" fillId="0" borderId="0" xfId="9" applyNumberFormat="1" applyFont="1" applyAlignment="1"/>
    <xf numFmtId="181" fontId="11" fillId="0" borderId="4" xfId="9" applyFont="1" applyFill="1" applyBorder="1" applyAlignment="1">
      <alignment horizontal="center" vertical="center"/>
    </xf>
    <xf numFmtId="43" fontId="1" fillId="0" borderId="0" xfId="2" applyFont="1" applyAlignment="1">
      <alignment horizontal="right" vertical="center"/>
    </xf>
    <xf numFmtId="181" fontId="1" fillId="0" borderId="0" xfId="9" applyFont="1" applyAlignment="1">
      <alignment horizontal="right"/>
    </xf>
    <xf numFmtId="177" fontId="2" fillId="0" borderId="0" xfId="9" applyNumberFormat="1" applyFont="1" applyAlignment="1"/>
    <xf numFmtId="181" fontId="2" fillId="3" borderId="52" xfId="9" applyFont="1" applyFill="1" applyBorder="1" applyAlignment="1"/>
    <xf numFmtId="181" fontId="2" fillId="0" borderId="27" xfId="9" applyFont="1" applyBorder="1" applyAlignment="1">
      <alignment horizontal="left" vertical="center"/>
    </xf>
    <xf numFmtId="181" fontId="2" fillId="3" borderId="53" xfId="9" applyFont="1" applyFill="1" applyBorder="1" applyAlignment="1"/>
    <xf numFmtId="181" fontId="2" fillId="0" borderId="21" xfId="9" applyFont="1" applyBorder="1" applyAlignment="1">
      <alignment horizontal="left" vertical="center"/>
    </xf>
    <xf numFmtId="177" fontId="3" fillId="0" borderId="0" xfId="9" applyNumberFormat="1" applyFont="1" applyAlignment="1">
      <alignment horizontal="center" vertical="center" wrapText="1"/>
    </xf>
    <xf numFmtId="2" fontId="1" fillId="0" borderId="0" xfId="9" applyNumberFormat="1" applyFont="1" applyAlignment="1">
      <alignment horizontal="right" vertical="center"/>
    </xf>
    <xf numFmtId="181" fontId="2" fillId="0" borderId="55" xfId="9" applyFont="1" applyBorder="1" applyAlignment="1">
      <alignment horizontal="left" vertical="center"/>
    </xf>
    <xf numFmtId="181" fontId="2" fillId="0" borderId="27" xfId="9" applyFont="1" applyBorder="1" applyAlignment="1">
      <alignment horizontal="left"/>
    </xf>
    <xf numFmtId="181" fontId="2" fillId="0" borderId="55" xfId="9" applyFont="1" applyBorder="1" applyAlignment="1">
      <alignment horizontal="left"/>
    </xf>
    <xf numFmtId="181" fontId="2" fillId="3" borderId="53" xfId="9" applyFont="1" applyFill="1" applyBorder="1" applyAlignment="1">
      <alignment horizontal="center"/>
    </xf>
    <xf numFmtId="181" fontId="1" fillId="0" borderId="0" xfId="9" applyFont="1" applyFill="1" applyAlignment="1">
      <alignment horizontal="right"/>
    </xf>
    <xf numFmtId="181" fontId="2" fillId="0" borderId="27" xfId="9" applyFont="1" applyBorder="1" applyAlignment="1">
      <alignment horizontal="center" vertical="center"/>
    </xf>
    <xf numFmtId="181" fontId="1" fillId="0" borderId="36" xfId="9" applyFont="1" applyBorder="1" applyAlignment="1">
      <alignment horizontal="right" vertical="center"/>
    </xf>
    <xf numFmtId="181" fontId="1" fillId="0" borderId="48" xfId="9" applyFont="1" applyBorder="1" applyAlignment="1">
      <alignment horizontal="center" vertical="center"/>
    </xf>
    <xf numFmtId="181" fontId="2" fillId="0" borderId="21" xfId="9" applyFont="1" applyBorder="1" applyAlignment="1">
      <alignment horizontal="center" vertical="center"/>
    </xf>
    <xf numFmtId="181" fontId="1" fillId="0" borderId="1" xfId="9" applyFont="1" applyBorder="1" applyAlignment="1">
      <alignment horizontal="right" vertical="center"/>
    </xf>
    <xf numFmtId="181" fontId="1" fillId="0" borderId="26" xfId="9" applyFont="1" applyBorder="1" applyAlignment="1">
      <alignment horizontal="center" vertical="center"/>
    </xf>
    <xf numFmtId="2" fontId="2" fillId="0" borderId="0" xfId="9" applyNumberFormat="1" applyFont="1" applyAlignment="1"/>
    <xf numFmtId="43" fontId="2" fillId="0" borderId="0" xfId="9" applyNumberFormat="1" applyFont="1" applyAlignment="1"/>
    <xf numFmtId="181" fontId="1" fillId="0" borderId="30" xfId="9" applyFont="1" applyBorder="1" applyAlignment="1">
      <alignment horizontal="right" vertical="center"/>
    </xf>
    <xf numFmtId="181" fontId="1" fillId="0" borderId="34" xfId="9" applyFont="1" applyBorder="1" applyAlignment="1">
      <alignment horizontal="center" vertical="center"/>
    </xf>
    <xf numFmtId="181" fontId="1" fillId="0" borderId="1" xfId="9" applyFont="1" applyBorder="1" applyAlignment="1">
      <alignment horizontal="center" vertical="center"/>
    </xf>
    <xf numFmtId="181" fontId="2" fillId="3" borderId="59" xfId="9" applyFont="1" applyFill="1" applyBorder="1" applyAlignment="1"/>
    <xf numFmtId="181" fontId="2" fillId="26" borderId="1" xfId="9" applyFont="1" applyFill="1" applyBorder="1" applyAlignment="1">
      <alignment horizontal="left"/>
    </xf>
    <xf numFmtId="49" fontId="2" fillId="0" borderId="0" xfId="9" applyNumberFormat="1" applyFont="1" applyAlignment="1">
      <alignment horizontal="center"/>
    </xf>
    <xf numFmtId="181" fontId="5" fillId="6" borderId="15" xfId="9" applyFont="1" applyFill="1" applyBorder="1" applyAlignment="1">
      <alignment horizontal="center" vertical="center" wrapText="1"/>
    </xf>
    <xf numFmtId="181" fontId="1" fillId="0" borderId="0" xfId="9" applyFont="1" applyFill="1" applyAlignment="1">
      <alignment vertical="center"/>
    </xf>
    <xf numFmtId="181" fontId="5" fillId="6" borderId="1" xfId="9" applyFont="1" applyFill="1" applyBorder="1" applyAlignment="1">
      <alignment vertical="center" wrapText="1"/>
    </xf>
    <xf numFmtId="181" fontId="5" fillId="6" borderId="20" xfId="9" applyFont="1" applyFill="1" applyBorder="1" applyAlignment="1">
      <alignment vertical="center" wrapText="1"/>
    </xf>
    <xf numFmtId="181" fontId="5" fillId="6" borderId="24" xfId="9" applyFont="1" applyFill="1" applyBorder="1" applyAlignment="1">
      <alignment horizontal="center" vertical="center" wrapText="1"/>
    </xf>
    <xf numFmtId="178" fontId="5" fillId="6" borderId="24" xfId="9" applyNumberFormat="1" applyFont="1" applyFill="1" applyBorder="1" applyAlignment="1">
      <alignment horizontal="center" vertical="center" wrapText="1"/>
    </xf>
    <xf numFmtId="178" fontId="5" fillId="6" borderId="25" xfId="9" applyNumberFormat="1" applyFont="1" applyFill="1" applyBorder="1" applyAlignment="1">
      <alignment horizontal="center" vertical="center" wrapText="1"/>
    </xf>
    <xf numFmtId="181" fontId="5" fillId="6" borderId="23" xfId="9" applyFont="1" applyFill="1" applyBorder="1" applyAlignment="1">
      <alignment horizontal="center" vertical="center" wrapText="1"/>
    </xf>
    <xf numFmtId="181" fontId="2" fillId="6" borderId="24" xfId="9" applyFill="1" applyBorder="1" applyAlignment="1"/>
    <xf numFmtId="178" fontId="5" fillId="6" borderId="1" xfId="9" applyNumberFormat="1" applyFont="1" applyFill="1" applyBorder="1" applyAlignment="1">
      <alignment horizontal="center" vertical="center" wrapText="1"/>
    </xf>
    <xf numFmtId="178" fontId="1" fillId="6" borderId="24" xfId="9" applyNumberFormat="1" applyFont="1" applyFill="1" applyBorder="1" applyAlignment="1">
      <alignment horizontal="center" vertical="center" wrapText="1"/>
    </xf>
    <xf numFmtId="181" fontId="5" fillId="6" borderId="25" xfId="9" applyFont="1" applyFill="1" applyBorder="1" applyAlignment="1">
      <alignment horizontal="center" vertical="center" wrapText="1"/>
    </xf>
    <xf numFmtId="181" fontId="18" fillId="13" borderId="1" xfId="9" applyFont="1" applyFill="1" applyBorder="1" applyAlignment="1">
      <alignment horizontal="center" vertical="center" wrapText="1"/>
    </xf>
    <xf numFmtId="181" fontId="18" fillId="13" borderId="1" xfId="9" applyFont="1" applyFill="1" applyBorder="1" applyAlignment="1">
      <alignment vertical="center" wrapText="1"/>
    </xf>
    <xf numFmtId="181" fontId="2" fillId="0" borderId="0" xfId="9" applyAlignment="1"/>
    <xf numFmtId="181" fontId="19" fillId="0" borderId="1" xfId="9" applyFont="1" applyBorder="1" applyAlignment="1">
      <alignment horizontal="center" vertical="center" wrapText="1"/>
    </xf>
    <xf numFmtId="181" fontId="19" fillId="0" borderId="1" xfId="9" applyFont="1" applyBorder="1" applyAlignment="1">
      <alignment vertical="center" wrapText="1"/>
    </xf>
    <xf numFmtId="181" fontId="19" fillId="6" borderId="1" xfId="9" applyFont="1" applyFill="1" applyBorder="1" applyAlignment="1">
      <alignment vertical="center" wrapText="1"/>
    </xf>
    <xf numFmtId="181" fontId="9" fillId="13" borderId="1" xfId="9" applyFont="1" applyFill="1" applyBorder="1" applyAlignment="1">
      <alignment horizontal="center" vertical="center" wrapText="1"/>
    </xf>
    <xf numFmtId="181" fontId="9" fillId="13" borderId="1" xfId="9" applyFont="1" applyFill="1" applyBorder="1" applyAlignment="1">
      <alignment vertical="center" wrapText="1"/>
    </xf>
    <xf numFmtId="181" fontId="18" fillId="14" borderId="1" xfId="9" applyFont="1" applyFill="1" applyBorder="1" applyAlignment="1">
      <alignment horizontal="center" vertical="center" wrapText="1"/>
    </xf>
    <xf numFmtId="181" fontId="18" fillId="14" borderId="1" xfId="9" applyFont="1" applyFill="1" applyBorder="1" applyAlignment="1">
      <alignment vertical="center" wrapText="1"/>
    </xf>
    <xf numFmtId="181" fontId="19" fillId="0" borderId="1" xfId="9" applyFont="1" applyFill="1" applyBorder="1" applyAlignment="1">
      <alignment vertical="center" wrapText="1"/>
    </xf>
    <xf numFmtId="181" fontId="18" fillId="15" borderId="1" xfId="9" applyFont="1" applyFill="1" applyBorder="1" applyAlignment="1">
      <alignment horizontal="center" vertical="center" wrapText="1"/>
    </xf>
    <xf numFmtId="181" fontId="18" fillId="15" borderId="1" xfId="9" applyFont="1" applyFill="1" applyBorder="1" applyAlignment="1">
      <alignment vertical="center" wrapText="1"/>
    </xf>
    <xf numFmtId="181" fontId="2" fillId="0" borderId="0" xfId="9" applyFill="1" applyAlignment="1"/>
    <xf numFmtId="181" fontId="2" fillId="0" borderId="0" xfId="9" applyAlignment="1">
      <alignment wrapText="1"/>
    </xf>
    <xf numFmtId="181" fontId="1" fillId="0" borderId="2" xfId="9" applyFont="1" applyBorder="1" applyAlignment="1">
      <alignment vertical="center"/>
    </xf>
    <xf numFmtId="181" fontId="1" fillId="0" borderId="3" xfId="9" applyFont="1" applyBorder="1" applyAlignment="1">
      <alignment vertical="center"/>
    </xf>
    <xf numFmtId="181" fontId="1" fillId="0" borderId="3" xfId="9" applyFont="1" applyBorder="1" applyAlignment="1">
      <alignment horizontal="center" vertical="center"/>
    </xf>
    <xf numFmtId="181" fontId="1" fillId="0" borderId="3" xfId="9" applyFont="1" applyBorder="1" applyAlignment="1">
      <alignment horizontal="left" vertical="center"/>
    </xf>
    <xf numFmtId="181" fontId="5" fillId="0" borderId="3" xfId="9" applyFont="1" applyBorder="1" applyAlignment="1">
      <alignment horizontal="right" vertical="center"/>
    </xf>
    <xf numFmtId="176" fontId="7" fillId="0" borderId="3" xfId="9" applyNumberFormat="1" applyFont="1" applyBorder="1" applyAlignment="1">
      <alignment horizontal="center" vertical="center"/>
    </xf>
    <xf numFmtId="181" fontId="5" fillId="7" borderId="4" xfId="9" applyFont="1" applyFill="1" applyBorder="1" applyAlignment="1">
      <alignment vertical="center" wrapText="1"/>
    </xf>
    <xf numFmtId="181" fontId="5" fillId="7" borderId="5" xfId="9" applyFont="1" applyFill="1" applyBorder="1" applyAlignment="1">
      <alignment horizontal="center" vertical="center" wrapText="1"/>
    </xf>
    <xf numFmtId="181" fontId="5" fillId="7" borderId="6" xfId="9" applyFont="1" applyFill="1" applyBorder="1" applyAlignment="1">
      <alignment horizontal="center" vertical="center" wrapText="1"/>
    </xf>
    <xf numFmtId="181" fontId="5" fillId="8" borderId="7" xfId="9" applyFont="1" applyFill="1" applyBorder="1" applyAlignment="1">
      <alignment horizontal="center" vertical="center" wrapText="1"/>
    </xf>
    <xf numFmtId="181" fontId="5" fillId="8" borderId="6" xfId="9" applyFont="1" applyFill="1" applyBorder="1" applyAlignment="1">
      <alignment horizontal="center" vertical="center" wrapText="1"/>
    </xf>
    <xf numFmtId="178" fontId="5" fillId="7" borderId="7" xfId="9" applyNumberFormat="1" applyFont="1" applyFill="1" applyBorder="1" applyAlignment="1">
      <alignment horizontal="center" vertical="center" wrapText="1"/>
    </xf>
    <xf numFmtId="178" fontId="5" fillId="7" borderId="5" xfId="9" applyNumberFormat="1" applyFont="1" applyFill="1" applyBorder="1" applyAlignment="1">
      <alignment horizontal="center" vertical="center" wrapText="1"/>
    </xf>
    <xf numFmtId="178" fontId="5" fillId="7" borderId="6" xfId="9" applyNumberFormat="1" applyFont="1" applyFill="1" applyBorder="1" applyAlignment="1">
      <alignment horizontal="center" vertical="center" wrapText="1"/>
    </xf>
    <xf numFmtId="178" fontId="5" fillId="7" borderId="8" xfId="9" applyNumberFormat="1" applyFont="1" applyFill="1" applyBorder="1" applyAlignment="1">
      <alignment horizontal="center" vertical="center" wrapText="1"/>
    </xf>
    <xf numFmtId="181" fontId="5" fillId="7" borderId="9" xfId="9" applyFont="1" applyFill="1" applyBorder="1" applyAlignment="1">
      <alignment horizontal="center" vertical="center" wrapText="1"/>
    </xf>
    <xf numFmtId="43" fontId="10" fillId="9" borderId="5" xfId="9" applyNumberFormat="1" applyFont="1" applyFill="1" applyBorder="1" applyAlignment="1">
      <alignment horizontal="right" vertical="center"/>
    </xf>
    <xf numFmtId="43" fontId="10" fillId="9" borderId="7" xfId="9" applyNumberFormat="1" applyFont="1" applyFill="1" applyBorder="1" applyAlignment="1">
      <alignment horizontal="right" vertical="center"/>
    </xf>
    <xf numFmtId="43" fontId="5" fillId="9" borderId="9" xfId="9" applyNumberFormat="1" applyFont="1" applyFill="1" applyBorder="1" applyAlignment="1">
      <alignment horizontal="center" vertical="center"/>
    </xf>
    <xf numFmtId="181" fontId="5" fillId="0" borderId="3" xfId="9" applyFont="1" applyBorder="1" applyAlignment="1">
      <alignment vertical="center"/>
    </xf>
    <xf numFmtId="43" fontId="3" fillId="3" borderId="5" xfId="9" applyNumberFormat="1" applyFont="1" applyFill="1" applyBorder="1" applyAlignment="1">
      <alignment horizontal="right" vertical="center"/>
    </xf>
    <xf numFmtId="43" fontId="10" fillId="3" borderId="7" xfId="9" applyNumberFormat="1" applyFont="1" applyFill="1" applyBorder="1" applyAlignment="1">
      <alignment horizontal="right" vertical="center"/>
    </xf>
    <xf numFmtId="43" fontId="10" fillId="3" borderId="5" xfId="9" applyNumberFormat="1" applyFont="1" applyFill="1" applyBorder="1" applyAlignment="1">
      <alignment horizontal="right" vertical="center"/>
    </xf>
    <xf numFmtId="181" fontId="1" fillId="0" borderId="3" xfId="9" applyFont="1" applyFill="1" applyBorder="1" applyAlignment="1">
      <alignment vertical="center"/>
    </xf>
    <xf numFmtId="49" fontId="12" fillId="4" borderId="0" xfId="9" applyNumberFormat="1" applyFont="1" applyFill="1" applyBorder="1" applyAlignment="1">
      <alignment horizontal="center" vertical="center"/>
    </xf>
    <xf numFmtId="43" fontId="12" fillId="0" borderId="6" xfId="9" applyNumberFormat="1" applyFont="1" applyFill="1" applyBorder="1" applyAlignment="1">
      <alignment horizontal="right" vertical="center"/>
    </xf>
    <xf numFmtId="43" fontId="12" fillId="0" borderId="7" xfId="9" applyNumberFormat="1" applyFont="1" applyFill="1" applyBorder="1" applyAlignment="1">
      <alignment horizontal="right" vertical="center"/>
    </xf>
    <xf numFmtId="43" fontId="12" fillId="0" borderId="5" xfId="9" applyNumberFormat="1" applyFont="1" applyFill="1" applyBorder="1" applyAlignment="1">
      <alignment horizontal="right" vertical="center"/>
    </xf>
    <xf numFmtId="43" fontId="14" fillId="0" borderId="5" xfId="9" applyNumberFormat="1" applyFont="1" applyFill="1" applyBorder="1" applyAlignment="1">
      <alignment horizontal="right" vertical="center"/>
    </xf>
    <xf numFmtId="43" fontId="7" fillId="9" borderId="9" xfId="9" applyNumberFormat="1" applyFont="1" applyFill="1" applyBorder="1" applyAlignment="1">
      <alignment horizontal="center" vertical="center"/>
    </xf>
    <xf numFmtId="181" fontId="6" fillId="0" borderId="3" xfId="9" applyFont="1" applyFill="1" applyBorder="1" applyAlignment="1">
      <alignment vertical="center"/>
    </xf>
    <xf numFmtId="43" fontId="3" fillId="0" borderId="6" xfId="9" applyNumberFormat="1" applyFont="1" applyFill="1" applyBorder="1" applyAlignment="1">
      <alignment horizontal="right" vertical="center"/>
    </xf>
    <xf numFmtId="43" fontId="3" fillId="0" borderId="7" xfId="9" applyNumberFormat="1" applyFont="1" applyFill="1" applyBorder="1" applyAlignment="1">
      <alignment horizontal="right" vertical="center"/>
    </xf>
    <xf numFmtId="43" fontId="3" fillId="0" borderId="5" xfId="9" applyNumberFormat="1" applyFont="1" applyFill="1" applyBorder="1" applyAlignment="1">
      <alignment horizontal="right" vertical="center"/>
    </xf>
    <xf numFmtId="43" fontId="10" fillId="0" borderId="5" xfId="9" applyNumberFormat="1" applyFont="1" applyFill="1" applyBorder="1" applyAlignment="1">
      <alignment horizontal="right" vertical="center"/>
    </xf>
    <xf numFmtId="43" fontId="3" fillId="3" borderId="6" xfId="9" applyNumberFormat="1" applyFont="1" applyFill="1" applyBorder="1" applyAlignment="1">
      <alignment horizontal="right" vertical="center"/>
    </xf>
    <xf numFmtId="43" fontId="3" fillId="3" borderId="7" xfId="9" applyNumberFormat="1" applyFont="1" applyFill="1" applyBorder="1" applyAlignment="1">
      <alignment horizontal="right" vertical="center"/>
    </xf>
    <xf numFmtId="49" fontId="13" fillId="4" borderId="4" xfId="9" applyNumberFormat="1" applyFont="1" applyFill="1" applyBorder="1" applyAlignment="1">
      <alignment horizontal="center" vertical="center"/>
    </xf>
    <xf numFmtId="49" fontId="13" fillId="10" borderId="4" xfId="9" applyNumberFormat="1" applyFont="1" applyFill="1" applyBorder="1" applyAlignment="1">
      <alignment horizontal="center" vertical="center"/>
    </xf>
    <xf numFmtId="43" fontId="3" fillId="0" borderId="8" xfId="9" applyNumberFormat="1" applyFont="1" applyFill="1" applyBorder="1" applyAlignment="1">
      <alignment horizontal="right" vertical="center"/>
    </xf>
    <xf numFmtId="43" fontId="10" fillId="0" borderId="8" xfId="9" applyNumberFormat="1" applyFont="1" applyFill="1" applyBorder="1" applyAlignment="1">
      <alignment horizontal="right" vertical="center"/>
    </xf>
    <xf numFmtId="43" fontId="10" fillId="9" borderId="6" xfId="9" applyNumberFormat="1" applyFont="1" applyFill="1" applyBorder="1" applyAlignment="1">
      <alignment horizontal="right" vertical="center"/>
    </xf>
    <xf numFmtId="43" fontId="12" fillId="0" borderId="8" xfId="9" applyNumberFormat="1" applyFont="1" applyFill="1" applyBorder="1" applyAlignment="1">
      <alignment horizontal="right" vertical="center"/>
    </xf>
    <xf numFmtId="43" fontId="7" fillId="0" borderId="9" xfId="9" applyNumberFormat="1" applyFont="1" applyFill="1" applyBorder="1" applyAlignment="1">
      <alignment horizontal="center" vertical="center"/>
    </xf>
    <xf numFmtId="43" fontId="5" fillId="0" borderId="9" xfId="9" applyNumberFormat="1" applyFont="1" applyFill="1" applyBorder="1" applyAlignment="1">
      <alignment horizontal="center" vertical="center"/>
    </xf>
    <xf numFmtId="49" fontId="3" fillId="0" borderId="0" xfId="9" applyNumberFormat="1" applyFont="1" applyFill="1" applyBorder="1" applyAlignment="1">
      <alignment horizontal="center" vertical="center"/>
    </xf>
    <xf numFmtId="181" fontId="13" fillId="4" borderId="4" xfId="9" applyFont="1" applyFill="1" applyBorder="1" applyAlignment="1">
      <alignment horizontal="center" vertical="center"/>
    </xf>
    <xf numFmtId="181" fontId="13" fillId="10" borderId="4" xfId="9" applyFont="1" applyFill="1" applyBorder="1" applyAlignment="1">
      <alignment horizontal="center" vertical="center"/>
    </xf>
    <xf numFmtId="181" fontId="13" fillId="0" borderId="4" xfId="9" applyFont="1" applyFill="1" applyBorder="1" applyAlignment="1">
      <alignment horizontal="center" vertical="center"/>
    </xf>
    <xf numFmtId="43" fontId="12" fillId="0" borderId="3" xfId="9" applyNumberFormat="1" applyFont="1" applyFill="1" applyBorder="1" applyAlignment="1">
      <alignment horizontal="right" vertical="center"/>
    </xf>
    <xf numFmtId="49" fontId="12" fillId="0" borderId="0" xfId="9" applyNumberFormat="1" applyFont="1" applyFill="1" applyBorder="1" applyAlignment="1">
      <alignment horizontal="center" vertical="center"/>
    </xf>
    <xf numFmtId="177" fontId="3" fillId="0" borderId="5" xfId="9" applyNumberFormat="1" applyFont="1" applyFill="1" applyBorder="1" applyAlignment="1">
      <alignment horizontal="right" vertical="center"/>
    </xf>
    <xf numFmtId="43" fontId="12" fillId="0" borderId="10" xfId="9" applyNumberFormat="1" applyFont="1" applyFill="1" applyBorder="1" applyAlignment="1">
      <alignment horizontal="right" vertical="center"/>
    </xf>
    <xf numFmtId="181" fontId="12" fillId="0" borderId="5" xfId="9" applyNumberFormat="1" applyFont="1" applyFill="1" applyBorder="1" applyAlignment="1">
      <alignment horizontal="right" vertical="center"/>
    </xf>
    <xf numFmtId="49" fontId="12" fillId="10" borderId="0" xfId="9" applyNumberFormat="1" applyFont="1" applyFill="1" applyBorder="1" applyAlignment="1">
      <alignment horizontal="center" vertical="center"/>
    </xf>
    <xf numFmtId="43" fontId="3" fillId="0" borderId="3" xfId="9" applyNumberFormat="1" applyFont="1" applyFill="1" applyBorder="1" applyAlignment="1">
      <alignment horizontal="right" vertical="center"/>
    </xf>
    <xf numFmtId="43" fontId="10" fillId="9" borderId="8" xfId="9" applyNumberFormat="1" applyFont="1" applyFill="1" applyBorder="1" applyAlignment="1">
      <alignment horizontal="right" vertical="center"/>
    </xf>
    <xf numFmtId="43" fontId="3" fillId="0" borderId="10" xfId="9" applyNumberFormat="1" applyFont="1" applyFill="1" applyBorder="1" applyAlignment="1">
      <alignment horizontal="right" vertical="center"/>
    </xf>
    <xf numFmtId="181" fontId="1" fillId="3" borderId="3" xfId="9" applyFont="1" applyFill="1" applyBorder="1" applyAlignment="1">
      <alignment vertical="center"/>
    </xf>
    <xf numFmtId="43" fontId="1" fillId="0" borderId="3" xfId="9" applyNumberFormat="1" applyFont="1" applyBorder="1" applyAlignment="1">
      <alignment vertical="center"/>
    </xf>
    <xf numFmtId="43" fontId="3" fillId="3" borderId="8" xfId="9" applyNumberFormat="1" applyFont="1" applyFill="1" applyBorder="1" applyAlignment="1">
      <alignment horizontal="right" vertical="center"/>
    </xf>
    <xf numFmtId="177" fontId="12" fillId="0" borderId="5" xfId="9" applyNumberFormat="1" applyFont="1" applyFill="1" applyBorder="1" applyAlignment="1">
      <alignment horizontal="right" vertical="center"/>
    </xf>
    <xf numFmtId="43" fontId="10" fillId="0" borderId="6" xfId="9" applyNumberFormat="1" applyFont="1" applyFill="1" applyBorder="1" applyAlignment="1">
      <alignment horizontal="right" vertical="center"/>
    </xf>
    <xf numFmtId="43" fontId="10" fillId="0" borderId="7" xfId="9" applyNumberFormat="1" applyFont="1" applyFill="1" applyBorder="1" applyAlignment="1">
      <alignment horizontal="right" vertical="center"/>
    </xf>
    <xf numFmtId="49" fontId="1" fillId="0" borderId="9" xfId="9" applyNumberFormat="1" applyFont="1" applyFill="1" applyBorder="1" applyAlignment="1">
      <alignment horizontal="center" vertical="center"/>
    </xf>
    <xf numFmtId="181" fontId="14" fillId="0" borderId="4" xfId="9" applyFont="1" applyFill="1" applyBorder="1" applyAlignment="1">
      <alignment horizontal="center" vertical="center"/>
    </xf>
    <xf numFmtId="49" fontId="7" fillId="0" borderId="9" xfId="9" applyNumberFormat="1" applyFont="1" applyFill="1" applyBorder="1" applyAlignment="1">
      <alignment horizontal="center" vertical="center"/>
    </xf>
    <xf numFmtId="181" fontId="7" fillId="0" borderId="3" xfId="9" applyFont="1" applyFill="1" applyBorder="1" applyAlignment="1">
      <alignment vertical="center"/>
    </xf>
    <xf numFmtId="43" fontId="10" fillId="7" borderId="6" xfId="9" applyNumberFormat="1" applyFont="1" applyFill="1" applyBorder="1" applyAlignment="1">
      <alignment horizontal="right" vertical="center"/>
    </xf>
    <xf numFmtId="43" fontId="14" fillId="7" borderId="8" xfId="9" applyNumberFormat="1" applyFont="1" applyFill="1" applyBorder="1" applyAlignment="1">
      <alignment horizontal="right" vertical="center"/>
    </xf>
    <xf numFmtId="43" fontId="10" fillId="7" borderId="5" xfId="9" applyNumberFormat="1" applyFont="1" applyFill="1" applyBorder="1" applyAlignment="1">
      <alignment horizontal="right" vertical="center"/>
    </xf>
    <xf numFmtId="49" fontId="5" fillId="7" borderId="9" xfId="9" applyNumberFormat="1" applyFont="1" applyFill="1" applyBorder="1" applyAlignment="1">
      <alignment horizontal="center" vertical="center"/>
    </xf>
    <xf numFmtId="43" fontId="10" fillId="0" borderId="6" xfId="9" applyNumberFormat="1" applyFont="1" applyFill="1" applyBorder="1" applyAlignment="1">
      <alignment horizontal="right" vertical="center" wrapText="1"/>
    </xf>
    <xf numFmtId="43" fontId="10" fillId="0" borderId="3" xfId="9" applyNumberFormat="1" applyFont="1" applyFill="1" applyBorder="1" applyAlignment="1">
      <alignment horizontal="right" vertical="center"/>
    </xf>
    <xf numFmtId="43" fontId="14" fillId="0" borderId="8" xfId="9" applyNumberFormat="1" applyFont="1" applyFill="1" applyBorder="1" applyAlignment="1">
      <alignment horizontal="right" vertical="center"/>
    </xf>
    <xf numFmtId="49" fontId="5" fillId="0" borderId="9" xfId="9" applyNumberFormat="1" applyFont="1" applyFill="1" applyBorder="1" applyAlignment="1">
      <alignment horizontal="center" vertical="center"/>
    </xf>
    <xf numFmtId="181" fontId="5" fillId="0" borderId="3" xfId="9" applyFont="1" applyFill="1" applyBorder="1" applyAlignment="1">
      <alignment vertical="center"/>
    </xf>
    <xf numFmtId="181" fontId="3" fillId="0" borderId="4" xfId="9" applyFont="1" applyFill="1" applyBorder="1" applyAlignment="1">
      <alignment horizontal="center" vertical="center"/>
    </xf>
    <xf numFmtId="49" fontId="3" fillId="0" borderId="4" xfId="9" applyNumberFormat="1" applyFont="1" applyFill="1" applyBorder="1" applyAlignment="1">
      <alignment horizontal="center" vertical="center"/>
    </xf>
    <xf numFmtId="43" fontId="1" fillId="0" borderId="3" xfId="9" applyNumberFormat="1" applyFont="1" applyFill="1" applyBorder="1" applyAlignment="1">
      <alignment vertical="center"/>
    </xf>
    <xf numFmtId="43" fontId="5" fillId="0" borderId="3" xfId="9" applyNumberFormat="1" applyFont="1" applyFill="1" applyBorder="1" applyAlignment="1">
      <alignment vertical="center"/>
    </xf>
    <xf numFmtId="43" fontId="10" fillId="12" borderId="6" xfId="9" applyNumberFormat="1" applyFont="1" applyFill="1" applyBorder="1" applyAlignment="1">
      <alignment horizontal="right" vertical="center"/>
    </xf>
    <xf numFmtId="43" fontId="10" fillId="12" borderId="8" xfId="9" applyNumberFormat="1" applyFont="1" applyFill="1" applyBorder="1" applyAlignment="1">
      <alignment horizontal="right" vertical="center"/>
    </xf>
    <xf numFmtId="43" fontId="10" fillId="12" borderId="5" xfId="9" applyNumberFormat="1" applyFont="1" applyFill="1" applyBorder="1" applyAlignment="1">
      <alignment horizontal="right" vertical="center"/>
    </xf>
    <xf numFmtId="49" fontId="5" fillId="12" borderId="9" xfId="9" applyNumberFormat="1" applyFont="1" applyFill="1" applyBorder="1" applyAlignment="1">
      <alignment horizontal="center" vertical="center"/>
    </xf>
    <xf numFmtId="43" fontId="10" fillId="7" borderId="7" xfId="9" applyNumberFormat="1" applyFont="1" applyFill="1" applyBorder="1" applyAlignment="1">
      <alignment horizontal="right" vertical="center"/>
    </xf>
    <xf numFmtId="43" fontId="10" fillId="7" borderId="8" xfId="9" applyNumberFormat="1" applyFont="1" applyFill="1" applyBorder="1" applyAlignment="1">
      <alignment horizontal="right" vertical="center"/>
    </xf>
    <xf numFmtId="43" fontId="3" fillId="7" borderId="8" xfId="9" applyNumberFormat="1" applyFont="1" applyFill="1" applyBorder="1" applyAlignment="1">
      <alignment horizontal="right" vertical="center"/>
    </xf>
    <xf numFmtId="49" fontId="1" fillId="7" borderId="9" xfId="9" applyNumberFormat="1" applyFont="1" applyFill="1" applyBorder="1" applyAlignment="1">
      <alignment horizontal="center" vertical="center"/>
    </xf>
    <xf numFmtId="43" fontId="10" fillId="0" borderId="11" xfId="9" applyNumberFormat="1" applyFont="1" applyFill="1" applyBorder="1" applyAlignment="1">
      <alignment horizontal="right" vertical="center"/>
    </xf>
    <xf numFmtId="43" fontId="3" fillId="0" borderId="11" xfId="9" applyNumberFormat="1" applyFont="1" applyFill="1" applyBorder="1" applyAlignment="1">
      <alignment horizontal="right" vertical="center"/>
    </xf>
    <xf numFmtId="49" fontId="1" fillId="0" borderId="11" xfId="9" applyNumberFormat="1" applyFont="1" applyFill="1" applyBorder="1" applyAlignment="1">
      <alignment horizontal="center" vertical="center"/>
    </xf>
    <xf numFmtId="10" fontId="10" fillId="0" borderId="11" xfId="9" applyNumberFormat="1" applyFont="1" applyFill="1" applyBorder="1" applyAlignment="1">
      <alignment horizontal="right" vertical="center"/>
    </xf>
    <xf numFmtId="49" fontId="5" fillId="0" borderId="11" xfId="9" applyNumberFormat="1" applyFont="1" applyFill="1" applyBorder="1" applyAlignment="1">
      <alignment horizontal="center" vertical="center"/>
    </xf>
    <xf numFmtId="181" fontId="1" fillId="0" borderId="11" xfId="9" applyFont="1" applyBorder="1" applyAlignment="1">
      <alignment vertical="center"/>
    </xf>
    <xf numFmtId="181" fontId="1" fillId="0" borderId="11" xfId="9" applyFont="1" applyBorder="1" applyAlignment="1">
      <alignment horizontal="center" vertical="center"/>
    </xf>
    <xf numFmtId="181" fontId="1" fillId="0" borderId="11" xfId="9" applyFont="1" applyBorder="1" applyAlignment="1">
      <alignment horizontal="right" vertical="center"/>
    </xf>
    <xf numFmtId="181" fontId="5" fillId="0" borderId="11" xfId="9" applyFont="1" applyBorder="1" applyAlignment="1">
      <alignment horizontal="right" vertical="center"/>
    </xf>
    <xf numFmtId="181" fontId="1" fillId="0" borderId="11" xfId="9" applyFont="1" applyFill="1" applyBorder="1" applyAlignment="1">
      <alignment horizontal="center" vertical="center"/>
    </xf>
    <xf numFmtId="43" fontId="1" fillId="0" borderId="11" xfId="9" applyNumberFormat="1" applyFont="1" applyBorder="1" applyAlignment="1">
      <alignment horizontal="right" vertical="center"/>
    </xf>
    <xf numFmtId="181" fontId="1" fillId="0" borderId="3" xfId="9" applyFont="1" applyBorder="1" applyAlignment="1">
      <alignment horizontal="right" vertical="center"/>
    </xf>
    <xf numFmtId="43" fontId="1" fillId="0" borderId="3" xfId="9" applyNumberFormat="1" applyFont="1" applyBorder="1" applyAlignment="1">
      <alignment horizontal="right" vertical="center"/>
    </xf>
    <xf numFmtId="181" fontId="5" fillId="0" borderId="3" xfId="9" applyFont="1" applyBorder="1" applyAlignment="1">
      <alignment horizontal="center" vertical="center"/>
    </xf>
    <xf numFmtId="49" fontId="2" fillId="0" borderId="60" xfId="9" applyNumberFormat="1" applyFont="1" applyBorder="1" applyAlignment="1">
      <alignment horizontal="center" vertical="center" wrapText="1"/>
    </xf>
    <xf numFmtId="181" fontId="2" fillId="0" borderId="61" xfId="9" applyFont="1" applyBorder="1" applyAlignment="1">
      <alignment horizontal="center" vertical="center" wrapText="1"/>
    </xf>
    <xf numFmtId="176" fontId="2" fillId="0" borderId="61" xfId="9" applyNumberFormat="1" applyFont="1" applyBorder="1" applyAlignment="1">
      <alignment vertical="center" wrapText="1"/>
    </xf>
    <xf numFmtId="181" fontId="2" fillId="0" borderId="61" xfId="9" applyBorder="1" applyAlignment="1">
      <alignment vertical="center" wrapText="1"/>
    </xf>
    <xf numFmtId="181" fontId="2" fillId="0" borderId="61" xfId="9" applyBorder="1" applyAlignment="1">
      <alignment horizontal="center" vertical="center" wrapText="1"/>
    </xf>
    <xf numFmtId="181" fontId="2" fillId="0" borderId="62" xfId="9" applyFont="1" applyFill="1" applyBorder="1" applyAlignment="1">
      <alignment horizontal="center" vertical="center" wrapText="1"/>
    </xf>
    <xf numFmtId="181" fontId="2" fillId="0" borderId="30" xfId="9" applyFont="1" applyBorder="1" applyAlignment="1">
      <alignment horizontal="center" vertical="center" wrapText="1"/>
    </xf>
    <xf numFmtId="181" fontId="2" fillId="0" borderId="0" xfId="9" applyAlignment="1">
      <alignment horizontal="center" vertical="center"/>
    </xf>
    <xf numFmtId="14" fontId="3" fillId="0" borderId="1" xfId="9" applyNumberFormat="1" applyFont="1" applyFill="1" applyBorder="1" applyAlignment="1">
      <alignment horizontal="center" vertical="center"/>
    </xf>
    <xf numFmtId="176" fontId="1" fillId="0" borderId="1" xfId="9" applyNumberFormat="1" applyFont="1" applyFill="1" applyBorder="1" applyAlignment="1">
      <alignment vertical="center"/>
    </xf>
    <xf numFmtId="2" fontId="1" fillId="0" borderId="1" xfId="2" applyNumberFormat="1" applyFont="1" applyFill="1" applyBorder="1" applyAlignment="1">
      <alignment vertical="center"/>
    </xf>
    <xf numFmtId="184" fontId="1" fillId="0" borderId="1" xfId="2" applyNumberFormat="1" applyFont="1" applyFill="1" applyBorder="1" applyAlignment="1">
      <alignment vertical="center"/>
    </xf>
    <xf numFmtId="181" fontId="3" fillId="0" borderId="1" xfId="9" applyFont="1" applyFill="1" applyBorder="1" applyAlignment="1">
      <alignment horizontal="left" vertical="center" wrapText="1"/>
    </xf>
    <xf numFmtId="1" fontId="3" fillId="0" borderId="1" xfId="2" applyNumberFormat="1" applyFont="1" applyFill="1" applyBorder="1" applyAlignment="1">
      <alignment horizontal="center" vertical="center"/>
    </xf>
    <xf numFmtId="181" fontId="2" fillId="0" borderId="0" xfId="9" applyFont="1" applyFill="1" applyAlignment="1">
      <alignment horizontal="center" vertical="center"/>
    </xf>
    <xf numFmtId="181" fontId="3" fillId="0" borderId="1" xfId="9" applyFont="1" applyFill="1" applyBorder="1" applyAlignment="1">
      <alignment horizontal="center" vertical="center"/>
    </xf>
    <xf numFmtId="181" fontId="3" fillId="0" borderId="1" xfId="9" applyFont="1" applyBorder="1" applyAlignment="1">
      <alignment horizontal="center" vertical="center"/>
    </xf>
    <xf numFmtId="184" fontId="1" fillId="0" borderId="1" xfId="2" applyNumberFormat="1" applyFont="1" applyBorder="1" applyAlignment="1">
      <alignment vertical="center"/>
    </xf>
    <xf numFmtId="181" fontId="3" fillId="0" borderId="1" xfId="9" applyFont="1" applyBorder="1" applyAlignment="1">
      <alignment horizontal="left" vertical="center" wrapText="1"/>
    </xf>
    <xf numFmtId="49" fontId="3" fillId="0" borderId="1" xfId="9" applyNumberFormat="1" applyFont="1" applyBorder="1" applyAlignment="1">
      <alignment horizontal="center" vertical="center"/>
    </xf>
    <xf numFmtId="176" fontId="1" fillId="0" borderId="1" xfId="9" applyNumberFormat="1" applyFont="1" applyBorder="1" applyAlignment="1">
      <alignment vertical="center"/>
    </xf>
    <xf numFmtId="49" fontId="3" fillId="2" borderId="1" xfId="9" applyNumberFormat="1" applyFont="1" applyFill="1" applyBorder="1" applyAlignment="1">
      <alignment horizontal="center" vertical="center"/>
    </xf>
    <xf numFmtId="181" fontId="3" fillId="2" borderId="1" xfId="9" applyFont="1" applyFill="1" applyBorder="1" applyAlignment="1">
      <alignment horizontal="center" vertical="center"/>
    </xf>
    <xf numFmtId="2" fontId="1" fillId="2" borderId="1" xfId="2" applyNumberFormat="1" applyFont="1" applyFill="1" applyBorder="1" applyAlignment="1">
      <alignment vertical="center"/>
    </xf>
    <xf numFmtId="184" fontId="1" fillId="2" borderId="1" xfId="2" applyNumberFormat="1" applyFont="1" applyFill="1" applyBorder="1" applyAlignment="1">
      <alignment vertical="center"/>
    </xf>
    <xf numFmtId="181" fontId="3" fillId="2" borderId="1" xfId="9" applyFont="1" applyFill="1" applyBorder="1" applyAlignment="1">
      <alignment horizontal="left" vertical="center" wrapText="1"/>
    </xf>
    <xf numFmtId="1" fontId="3" fillId="2" borderId="1" xfId="2" applyNumberFormat="1" applyFont="1" applyFill="1" applyBorder="1" applyAlignment="1">
      <alignment horizontal="center" vertical="center"/>
    </xf>
    <xf numFmtId="181" fontId="2" fillId="2" borderId="0" xfId="9" applyFill="1" applyAlignment="1">
      <alignment horizontal="center" vertical="center"/>
    </xf>
    <xf numFmtId="181" fontId="2" fillId="0" borderId="0" xfId="9" applyFill="1" applyAlignment="1">
      <alignment horizontal="center" vertical="center"/>
    </xf>
    <xf numFmtId="181" fontId="3" fillId="5" borderId="1" xfId="9" applyFont="1" applyFill="1" applyBorder="1" applyAlignment="1">
      <alignment horizontal="center" vertical="center"/>
    </xf>
    <xf numFmtId="176" fontId="1" fillId="5" borderId="1" xfId="9" applyNumberFormat="1" applyFont="1" applyFill="1" applyBorder="1" applyAlignment="1">
      <alignment vertical="center"/>
    </xf>
    <xf numFmtId="184" fontId="1" fillId="5" borderId="1" xfId="2" applyNumberFormat="1" applyFont="1" applyFill="1" applyBorder="1" applyAlignment="1">
      <alignment vertical="center"/>
    </xf>
    <xf numFmtId="181" fontId="3" fillId="5" borderId="1" xfId="9" applyFont="1" applyFill="1" applyBorder="1" applyAlignment="1">
      <alignment horizontal="left" vertical="center" wrapText="1"/>
    </xf>
    <xf numFmtId="1" fontId="3" fillId="5" borderId="1" xfId="2" applyNumberFormat="1" applyFont="1" applyFill="1" applyBorder="1" applyAlignment="1">
      <alignment horizontal="center" vertical="center"/>
    </xf>
    <xf numFmtId="181" fontId="2" fillId="5" borderId="0" xfId="9" applyFill="1" applyAlignment="1">
      <alignment horizontal="center" vertical="center"/>
    </xf>
    <xf numFmtId="181" fontId="3" fillId="10" borderId="1" xfId="9" applyFont="1" applyFill="1" applyBorder="1" applyAlignment="1">
      <alignment horizontal="center" vertical="center"/>
    </xf>
    <xf numFmtId="176" fontId="1" fillId="10" borderId="1" xfId="9" applyNumberFormat="1" applyFont="1" applyFill="1" applyBorder="1" applyAlignment="1">
      <alignment vertical="center"/>
    </xf>
    <xf numFmtId="184" fontId="1" fillId="10" borderId="1" xfId="2" applyNumberFormat="1" applyFont="1" applyFill="1" applyBorder="1" applyAlignment="1">
      <alignment vertical="center"/>
    </xf>
    <xf numFmtId="181" fontId="3" fillId="10" borderId="1" xfId="9" applyFont="1" applyFill="1" applyBorder="1" applyAlignment="1">
      <alignment horizontal="left" vertical="center" wrapText="1"/>
    </xf>
    <xf numFmtId="1" fontId="3" fillId="10" borderId="1" xfId="2" applyNumberFormat="1" applyFont="1" applyFill="1" applyBorder="1" applyAlignment="1">
      <alignment horizontal="center" vertical="center"/>
    </xf>
    <xf numFmtId="181" fontId="1" fillId="10" borderId="1" xfId="9" applyFont="1" applyFill="1" applyBorder="1" applyAlignment="1">
      <alignment horizontal="center" vertical="center"/>
    </xf>
    <xf numFmtId="181" fontId="2" fillId="10" borderId="0" xfId="9" applyFill="1" applyAlignment="1">
      <alignment horizontal="center" vertical="center"/>
    </xf>
    <xf numFmtId="49" fontId="3" fillId="24" borderId="1" xfId="9" applyNumberFormat="1" applyFont="1" applyFill="1" applyBorder="1" applyAlignment="1">
      <alignment horizontal="center" vertical="center"/>
    </xf>
    <xf numFmtId="181" fontId="3" fillId="24" borderId="1" xfId="9" applyFont="1" applyFill="1" applyBorder="1" applyAlignment="1">
      <alignment horizontal="center" vertical="center"/>
    </xf>
    <xf numFmtId="176" fontId="1" fillId="24" borderId="1" xfId="9" applyNumberFormat="1" applyFont="1" applyFill="1" applyBorder="1" applyAlignment="1">
      <alignment vertical="center"/>
    </xf>
    <xf numFmtId="184" fontId="1" fillId="24" borderId="1" xfId="2" applyNumberFormat="1" applyFont="1" applyFill="1" applyBorder="1" applyAlignment="1">
      <alignment vertical="center"/>
    </xf>
    <xf numFmtId="181" fontId="3" fillId="24" borderId="1" xfId="9" applyFont="1" applyFill="1" applyBorder="1" applyAlignment="1">
      <alignment horizontal="left" vertical="center" wrapText="1"/>
    </xf>
    <xf numFmtId="1" fontId="3" fillId="24" borderId="1" xfId="2" applyNumberFormat="1" applyFont="1" applyFill="1" applyBorder="1" applyAlignment="1">
      <alignment horizontal="center" vertical="center"/>
    </xf>
    <xf numFmtId="181" fontId="1" fillId="24" borderId="1" xfId="9" applyFont="1" applyFill="1" applyBorder="1" applyAlignment="1">
      <alignment horizontal="center" vertical="center"/>
    </xf>
    <xf numFmtId="181" fontId="2" fillId="24" borderId="0" xfId="9" applyFill="1" applyAlignment="1">
      <alignment horizontal="center" vertical="center"/>
    </xf>
    <xf numFmtId="181" fontId="3" fillId="6" borderId="1" xfId="9" applyFont="1" applyFill="1" applyBorder="1" applyAlignment="1">
      <alignment horizontal="center" vertical="center"/>
    </xf>
    <xf numFmtId="176" fontId="1" fillId="6" borderId="1" xfId="9" applyNumberFormat="1" applyFont="1" applyFill="1" applyBorder="1" applyAlignment="1">
      <alignment vertical="center"/>
    </xf>
    <xf numFmtId="184" fontId="1" fillId="6" borderId="1" xfId="2" applyNumberFormat="1" applyFont="1" applyFill="1" applyBorder="1" applyAlignment="1">
      <alignment vertical="center"/>
    </xf>
    <xf numFmtId="181" fontId="3" fillId="6" borderId="1" xfId="9" applyFont="1" applyFill="1" applyBorder="1" applyAlignment="1">
      <alignment horizontal="left" vertical="center" wrapText="1"/>
    </xf>
    <xf numFmtId="1" fontId="3" fillId="6" borderId="1" xfId="2" applyNumberFormat="1" applyFont="1" applyFill="1" applyBorder="1" applyAlignment="1">
      <alignment horizontal="center" vertical="center"/>
    </xf>
    <xf numFmtId="181" fontId="2" fillId="6" borderId="0" xfId="9" applyFill="1" applyAlignment="1">
      <alignment horizontal="center" vertical="center"/>
    </xf>
    <xf numFmtId="181" fontId="3" fillId="22" borderId="1" xfId="9" applyFont="1" applyFill="1" applyBorder="1" applyAlignment="1">
      <alignment horizontal="center" vertical="center"/>
    </xf>
    <xf numFmtId="176" fontId="1" fillId="22" borderId="1" xfId="9" applyNumberFormat="1" applyFont="1" applyFill="1" applyBorder="1" applyAlignment="1">
      <alignment vertical="center"/>
    </xf>
    <xf numFmtId="2" fontId="1" fillId="22" borderId="1" xfId="2" applyNumberFormat="1" applyFont="1" applyFill="1" applyBorder="1" applyAlignment="1">
      <alignment vertical="center"/>
    </xf>
    <xf numFmtId="184" fontId="1" fillId="22" borderId="1" xfId="2" applyNumberFormat="1" applyFont="1" applyFill="1" applyBorder="1" applyAlignment="1">
      <alignment vertical="center"/>
    </xf>
    <xf numFmtId="181" fontId="3" fillId="22" borderId="1" xfId="9" applyFont="1" applyFill="1" applyBorder="1" applyAlignment="1">
      <alignment horizontal="left" vertical="center" wrapText="1"/>
    </xf>
    <xf numFmtId="1" fontId="3" fillId="22" borderId="1" xfId="2" applyNumberFormat="1" applyFont="1" applyFill="1" applyBorder="1" applyAlignment="1">
      <alignment horizontal="center" vertical="center"/>
    </xf>
    <xf numFmtId="181" fontId="1" fillId="22" borderId="1" xfId="9" applyFont="1" applyFill="1" applyBorder="1" applyAlignment="1">
      <alignment horizontal="center" vertical="center"/>
    </xf>
    <xf numFmtId="181" fontId="2" fillId="22" borderId="0" xfId="9" applyFill="1" applyAlignment="1">
      <alignment horizontal="center" vertical="center"/>
    </xf>
    <xf numFmtId="2" fontId="1" fillId="6" borderId="1" xfId="2" applyNumberFormat="1" applyFont="1" applyFill="1" applyBorder="1" applyAlignment="1">
      <alignment vertical="center"/>
    </xf>
    <xf numFmtId="0" fontId="3" fillId="0" borderId="1" xfId="9" applyNumberFormat="1" applyFont="1" applyFill="1" applyBorder="1" applyAlignment="1">
      <alignment horizontal="center" vertical="center"/>
    </xf>
    <xf numFmtId="49" fontId="3" fillId="3" borderId="1" xfId="9" applyNumberFormat="1" applyFont="1" applyFill="1" applyBorder="1" applyAlignment="1">
      <alignment horizontal="center" vertical="center"/>
    </xf>
    <xf numFmtId="176" fontId="1" fillId="3" borderId="1" xfId="2" applyNumberFormat="1" applyFont="1" applyFill="1" applyBorder="1" applyAlignment="1">
      <alignment vertical="center"/>
    </xf>
    <xf numFmtId="2" fontId="1" fillId="3" borderId="1" xfId="2" applyNumberFormat="1" applyFont="1" applyFill="1" applyBorder="1" applyAlignment="1">
      <alignment vertical="center"/>
    </xf>
    <xf numFmtId="1" fontId="3" fillId="26" borderId="1" xfId="2" applyNumberFormat="1" applyFont="1" applyFill="1" applyBorder="1" applyAlignment="1">
      <alignment horizontal="center" vertical="center"/>
    </xf>
    <xf numFmtId="181" fontId="1" fillId="3" borderId="1" xfId="9" applyFont="1" applyFill="1" applyBorder="1" applyAlignment="1">
      <alignment horizontal="center" vertical="center"/>
    </xf>
    <xf numFmtId="181" fontId="2" fillId="3" borderId="0" xfId="9" applyFill="1" applyAlignment="1">
      <alignment horizontal="center" vertical="center"/>
    </xf>
    <xf numFmtId="49" fontId="2" fillId="0" borderId="0" xfId="9" applyNumberFormat="1" applyAlignment="1">
      <alignment horizontal="center" vertical="center"/>
    </xf>
    <xf numFmtId="181" fontId="3" fillId="3" borderId="1" xfId="9" applyFont="1" applyFill="1" applyBorder="1" applyAlignment="1">
      <alignment horizontal="center" vertical="center"/>
    </xf>
    <xf numFmtId="176" fontId="2" fillId="0" borderId="0" xfId="9" applyNumberFormat="1" applyFont="1" applyFill="1" applyAlignment="1">
      <alignment vertical="center"/>
    </xf>
    <xf numFmtId="181" fontId="2" fillId="0" borderId="24" xfId="9" applyFill="1" applyBorder="1" applyAlignment="1">
      <alignment horizontal="center" vertical="center"/>
    </xf>
    <xf numFmtId="181" fontId="2" fillId="0" borderId="0" xfId="9" applyAlignment="1">
      <alignment vertical="center"/>
    </xf>
    <xf numFmtId="181" fontId="2" fillId="0" borderId="0" xfId="9" applyAlignment="1">
      <alignment horizontal="left" vertical="center"/>
    </xf>
    <xf numFmtId="181" fontId="2" fillId="26" borderId="0" xfId="9" applyFill="1" applyAlignment="1">
      <alignment horizontal="center" vertical="center"/>
    </xf>
    <xf numFmtId="176" fontId="2" fillId="0" borderId="0" xfId="9" applyNumberFormat="1" applyFont="1" applyAlignment="1">
      <alignment vertical="center"/>
    </xf>
    <xf numFmtId="176" fontId="2" fillId="0" borderId="0" xfId="9" applyNumberFormat="1" applyFont="1" applyAlignment="1">
      <alignment horizontal="center" vertical="center"/>
    </xf>
    <xf numFmtId="176" fontId="2" fillId="0" borderId="0" xfId="9" applyNumberFormat="1" applyAlignment="1">
      <alignment vertical="center"/>
    </xf>
    <xf numFmtId="185" fontId="2" fillId="0" borderId="0" xfId="9" applyNumberFormat="1" applyAlignment="1">
      <alignment vertical="center"/>
    </xf>
    <xf numFmtId="181" fontId="39" fillId="0" borderId="0" xfId="9" applyFont="1" applyAlignment="1"/>
    <xf numFmtId="49" fontId="40" fillId="3" borderId="60" xfId="9" applyNumberFormat="1" applyFont="1" applyFill="1" applyBorder="1" applyAlignment="1">
      <alignment horizontal="center" vertical="center"/>
    </xf>
    <xf numFmtId="181" fontId="40" fillId="3" borderId="61" xfId="9" applyFont="1" applyFill="1" applyBorder="1" applyAlignment="1">
      <alignment horizontal="center" vertical="center"/>
    </xf>
    <xf numFmtId="181" fontId="40" fillId="3" borderId="61" xfId="9" applyFont="1" applyFill="1" applyBorder="1" applyAlignment="1">
      <alignment horizontal="center" vertical="center" wrapText="1"/>
    </xf>
    <xf numFmtId="177" fontId="40" fillId="3" borderId="61" xfId="9" applyNumberFormat="1" applyFont="1" applyFill="1" applyBorder="1" applyAlignment="1">
      <alignment horizontal="right" vertical="center"/>
    </xf>
    <xf numFmtId="181" fontId="40" fillId="3" borderId="63" xfId="9" applyFont="1" applyFill="1" applyBorder="1" applyAlignment="1">
      <alignment horizontal="center" vertical="center"/>
    </xf>
    <xf numFmtId="181" fontId="40" fillId="3" borderId="62" xfId="9" applyFont="1" applyFill="1" applyBorder="1" applyAlignment="1">
      <alignment horizontal="center" vertical="center"/>
    </xf>
    <xf numFmtId="181" fontId="40" fillId="0" borderId="0" xfId="9" applyFont="1" applyFill="1" applyAlignment="1">
      <alignment horizontal="center" vertical="center"/>
    </xf>
    <xf numFmtId="181" fontId="1" fillId="0" borderId="1" xfId="9" applyFont="1" applyFill="1" applyBorder="1" applyAlignment="1">
      <alignment horizontal="center" vertical="center" wrapText="1"/>
    </xf>
    <xf numFmtId="181" fontId="1" fillId="0" borderId="1" xfId="9" applyNumberFormat="1" applyFont="1" applyFill="1" applyBorder="1" applyAlignment="1">
      <alignment horizontal="center" vertical="center" wrapText="1"/>
    </xf>
    <xf numFmtId="177" fontId="1" fillId="0" borderId="1" xfId="9" applyNumberFormat="1" applyFont="1" applyFill="1" applyBorder="1" applyAlignment="1">
      <alignment horizontal="center" vertical="center" wrapText="1"/>
    </xf>
    <xf numFmtId="181" fontId="1" fillId="0" borderId="0" xfId="9" applyFont="1" applyFill="1" applyBorder="1" applyAlignment="1">
      <alignment horizontal="left" vertical="center" wrapText="1"/>
    </xf>
    <xf numFmtId="181" fontId="4" fillId="2" borderId="0" xfId="9" applyFont="1" applyFill="1" applyBorder="1" applyAlignment="1">
      <alignment horizontal="center" vertical="center" wrapText="1"/>
    </xf>
    <xf numFmtId="177" fontId="1" fillId="5" borderId="1" xfId="9" applyNumberFormat="1" applyFont="1" applyFill="1" applyBorder="1" applyAlignment="1">
      <alignment horizontal="right" vertical="center" wrapText="1"/>
    </xf>
    <xf numFmtId="181" fontId="1" fillId="5" borderId="1" xfId="9" applyFont="1" applyFill="1" applyBorder="1" applyAlignment="1">
      <alignment vertical="center"/>
    </xf>
    <xf numFmtId="181" fontId="2" fillId="0" borderId="1" xfId="9" applyBorder="1" applyAlignment="1">
      <alignment horizontal="center"/>
    </xf>
    <xf numFmtId="181" fontId="2" fillId="0" borderId="1" xfId="9" applyBorder="1" applyAlignment="1">
      <alignment wrapText="1"/>
    </xf>
    <xf numFmtId="181" fontId="2" fillId="0" borderId="1" xfId="9" applyBorder="1" applyAlignment="1"/>
    <xf numFmtId="177" fontId="2" fillId="0" borderId="1" xfId="9" applyNumberFormat="1" applyBorder="1" applyAlignment="1">
      <alignment horizontal="right"/>
    </xf>
    <xf numFmtId="181" fontId="2" fillId="0" borderId="0" xfId="9" applyAlignment="1">
      <alignment horizontal="center"/>
    </xf>
    <xf numFmtId="177" fontId="2" fillId="0" borderId="0" xfId="9" applyNumberFormat="1" applyAlignment="1">
      <alignment horizontal="right"/>
    </xf>
    <xf numFmtId="181" fontId="5" fillId="22" borderId="1" xfId="9" applyFont="1" applyFill="1" applyBorder="1" applyAlignment="1">
      <alignment vertical="center" wrapText="1"/>
    </xf>
    <xf numFmtId="181" fontId="2" fillId="27" borderId="1" xfId="0" applyFont="1" applyFill="1" applyBorder="1">
      <alignment vertical="center"/>
    </xf>
    <xf numFmtId="181" fontId="0" fillId="0" borderId="1" xfId="0" applyBorder="1" applyAlignment="1">
      <alignment vertical="center" wrapText="1"/>
    </xf>
    <xf numFmtId="181" fontId="2" fillId="0" borderId="1" xfId="0" applyFont="1" applyBorder="1" applyAlignment="1">
      <alignment vertical="center" wrapText="1"/>
    </xf>
    <xf numFmtId="181" fontId="2" fillId="28" borderId="1" xfId="0" applyFont="1" applyFill="1" applyBorder="1" applyAlignment="1">
      <alignment vertical="center" wrapText="1"/>
    </xf>
    <xf numFmtId="178" fontId="5" fillId="6" borderId="1" xfId="7" applyNumberFormat="1" applyFont="1" applyFill="1" applyBorder="1" applyAlignment="1">
      <alignment horizontal="center" vertical="center" wrapText="1"/>
    </xf>
    <xf numFmtId="178" fontId="5" fillId="6" borderId="24" xfId="7" applyNumberFormat="1" applyFont="1" applyFill="1" applyBorder="1" applyAlignment="1">
      <alignment horizontal="center" vertical="center" wrapText="1"/>
    </xf>
    <xf numFmtId="0" fontId="5" fillId="6" borderId="23" xfId="7" applyFont="1" applyFill="1" applyBorder="1" applyAlignment="1">
      <alignment horizontal="center" vertical="center" wrapText="1"/>
    </xf>
    <xf numFmtId="0" fontId="1" fillId="0" borderId="0" xfId="7" applyFont="1" applyAlignment="1">
      <alignment vertical="center"/>
    </xf>
    <xf numFmtId="0" fontId="19" fillId="28" borderId="1" xfId="7" applyFont="1" applyFill="1" applyBorder="1" applyAlignment="1">
      <alignment vertical="center" wrapText="1"/>
    </xf>
    <xf numFmtId="0" fontId="19" fillId="0" borderId="1" xfId="7" applyFont="1" applyFill="1" applyBorder="1" applyAlignment="1">
      <alignment vertical="center" wrapText="1"/>
    </xf>
    <xf numFmtId="176" fontId="5" fillId="28" borderId="1" xfId="2" applyNumberFormat="1" applyFont="1" applyFill="1" applyBorder="1" applyAlignment="1"/>
    <xf numFmtId="0" fontId="18" fillId="28" borderId="1" xfId="7" applyFont="1" applyFill="1" applyBorder="1" applyAlignment="1">
      <alignment vertical="center" wrapText="1"/>
    </xf>
    <xf numFmtId="0" fontId="18" fillId="0" borderId="1" xfId="7" applyFont="1" applyBorder="1" applyAlignment="1">
      <alignment vertical="center" wrapText="1"/>
    </xf>
    <xf numFmtId="0" fontId="2" fillId="0" borderId="0" xfId="7" applyFill="1" applyAlignment="1"/>
    <xf numFmtId="178" fontId="5" fillId="18" borderId="1" xfId="5" applyNumberFormat="1" applyFont="1" applyFill="1" applyBorder="1" applyAlignment="1">
      <alignment horizontal="left" vertical="center"/>
    </xf>
    <xf numFmtId="181" fontId="26" fillId="0" borderId="0" xfId="0" applyFont="1" applyAlignment="1">
      <alignment horizontal="center"/>
    </xf>
    <xf numFmtId="181" fontId="27" fillId="0" borderId="0" xfId="0" applyFont="1" applyAlignment="1">
      <alignment horizontal="center"/>
    </xf>
    <xf numFmtId="181" fontId="28" fillId="0" borderId="0" xfId="0" applyFont="1" applyAlignment="1">
      <alignment horizontal="center"/>
    </xf>
    <xf numFmtId="181" fontId="28" fillId="0" borderId="0" xfId="0" applyNumberFormat="1" applyFont="1" applyAlignment="1">
      <alignment horizontal="center"/>
    </xf>
    <xf numFmtId="181" fontId="0" fillId="0" borderId="0" xfId="0" applyAlignment="1">
      <alignment horizontal="left" wrapText="1"/>
    </xf>
    <xf numFmtId="181" fontId="8" fillId="0" borderId="0" xfId="0" applyFont="1" applyAlignment="1">
      <alignment horizontal="center"/>
    </xf>
    <xf numFmtId="181" fontId="0" fillId="0" borderId="0" xfId="0" applyAlignment="1">
      <alignment horizontal="center"/>
    </xf>
    <xf numFmtId="181" fontId="0" fillId="0" borderId="0" xfId="0" applyAlignment="1">
      <alignment wrapText="1"/>
    </xf>
    <xf numFmtId="181" fontId="1" fillId="26" borderId="1" xfId="9" applyFont="1" applyFill="1" applyBorder="1" applyAlignment="1">
      <alignment horizontal="center"/>
    </xf>
    <xf numFmtId="43" fontId="1" fillId="0" borderId="20" xfId="2" applyFont="1" applyBorder="1" applyAlignment="1">
      <alignment horizontal="center" vertical="center"/>
    </xf>
    <xf numFmtId="43" fontId="1" fillId="0" borderId="54" xfId="2" applyFont="1" applyBorder="1" applyAlignment="1">
      <alignment horizontal="center" vertical="center"/>
    </xf>
    <xf numFmtId="43" fontId="1" fillId="0" borderId="56" xfId="2" applyFont="1" applyBorder="1" applyAlignment="1">
      <alignment horizontal="center" vertical="center"/>
    </xf>
    <xf numFmtId="43" fontId="1" fillId="0" borderId="57" xfId="2" applyFont="1" applyBorder="1" applyAlignment="1">
      <alignment horizontal="center" vertical="center"/>
    </xf>
    <xf numFmtId="181" fontId="1" fillId="0" borderId="36" xfId="9" applyFont="1" applyBorder="1" applyAlignment="1">
      <alignment horizontal="center"/>
    </xf>
    <xf numFmtId="181" fontId="1" fillId="0" borderId="48" xfId="9" applyFont="1" applyBorder="1" applyAlignment="1">
      <alignment horizontal="center"/>
    </xf>
    <xf numFmtId="181" fontId="1" fillId="0" borderId="44" xfId="9" applyFont="1" applyBorder="1" applyAlignment="1">
      <alignment horizontal="center"/>
    </xf>
    <xf numFmtId="181" fontId="1" fillId="0" borderId="58" xfId="9" applyFont="1" applyBorder="1" applyAlignment="1">
      <alignment horizontal="center"/>
    </xf>
    <xf numFmtId="43" fontId="1" fillId="26" borderId="20" xfId="9" applyNumberFormat="1" applyFont="1" applyFill="1" applyBorder="1" applyAlignment="1">
      <alignment horizontal="center"/>
    </xf>
    <xf numFmtId="43" fontId="1" fillId="26" borderId="21" xfId="9" applyNumberFormat="1" applyFont="1" applyFill="1" applyBorder="1" applyAlignment="1">
      <alignment horizontal="center"/>
    </xf>
    <xf numFmtId="181" fontId="8" fillId="0" borderId="0" xfId="9" applyFont="1" applyAlignment="1">
      <alignment horizontal="center"/>
    </xf>
    <xf numFmtId="181" fontId="35" fillId="0" borderId="0" xfId="9" applyFont="1" applyAlignment="1">
      <alignment vertical="center"/>
    </xf>
    <xf numFmtId="14" fontId="25" fillId="0" borderId="0" xfId="9" applyNumberFormat="1" applyFont="1" applyAlignment="1">
      <alignment horizontal="left" vertical="center"/>
    </xf>
    <xf numFmtId="181" fontId="2" fillId="0" borderId="0" xfId="9" applyFont="1" applyAlignment="1">
      <alignment horizontal="left" vertical="center"/>
    </xf>
    <xf numFmtId="43" fontId="1" fillId="0" borderId="36" xfId="2" applyFont="1" applyBorder="1" applyAlignment="1">
      <alignment horizontal="center" vertical="center"/>
    </xf>
    <xf numFmtId="43" fontId="1" fillId="0" borderId="48" xfId="2" applyFont="1" applyBorder="1" applyAlignment="1">
      <alignment horizontal="center" vertical="center"/>
    </xf>
    <xf numFmtId="181" fontId="1" fillId="20" borderId="18" xfId="6" applyFont="1" applyFill="1" applyBorder="1" applyAlignment="1">
      <alignment horizontal="center" vertical="center" wrapText="1"/>
    </xf>
    <xf numFmtId="181" fontId="1" fillId="20" borderId="19" xfId="6" applyFont="1" applyFill="1" applyBorder="1" applyAlignment="1">
      <alignment horizontal="center" vertical="center" wrapText="1"/>
    </xf>
    <xf numFmtId="181" fontId="1" fillId="20" borderId="42" xfId="6" applyFont="1" applyFill="1" applyBorder="1" applyAlignment="1">
      <alignment horizontal="center" vertical="center" wrapText="1"/>
    </xf>
    <xf numFmtId="181" fontId="1" fillId="20" borderId="43" xfId="6" applyFont="1" applyFill="1" applyBorder="1" applyAlignment="1">
      <alignment horizontal="center" vertical="center" wrapText="1"/>
    </xf>
    <xf numFmtId="181" fontId="1" fillId="0" borderId="40" xfId="6" applyFont="1" applyBorder="1" applyAlignment="1">
      <alignment horizontal="center" vertical="center" wrapText="1"/>
    </xf>
    <xf numFmtId="181" fontId="1" fillId="0" borderId="41" xfId="6" applyFont="1" applyBorder="1" applyAlignment="1">
      <alignment horizontal="center" vertical="center" wrapText="1"/>
    </xf>
    <xf numFmtId="181" fontId="1" fillId="0" borderId="18" xfId="6" applyFont="1" applyBorder="1" applyAlignment="1">
      <alignment horizontal="center" vertical="center" wrapText="1"/>
    </xf>
    <xf numFmtId="181" fontId="1" fillId="0" borderId="19" xfId="6" applyFont="1" applyBorder="1" applyAlignment="1">
      <alignment horizontal="center" vertical="center" wrapText="1"/>
    </xf>
    <xf numFmtId="181" fontId="1" fillId="0" borderId="22" xfId="6" applyFont="1" applyBorder="1" applyAlignment="1">
      <alignment horizontal="center" vertical="center" wrapText="1"/>
    </xf>
    <xf numFmtId="181" fontId="1" fillId="0" borderId="23" xfId="6" applyFont="1" applyBorder="1" applyAlignment="1">
      <alignment horizontal="center" vertical="center" wrapText="1"/>
    </xf>
    <xf numFmtId="181" fontId="1" fillId="0" borderId="1" xfId="6" applyFont="1" applyBorder="1" applyAlignment="1">
      <alignment horizontal="center" vertical="center" wrapText="1"/>
    </xf>
    <xf numFmtId="180" fontId="1" fillId="20" borderId="20" xfId="6" applyNumberFormat="1" applyFont="1" applyFill="1" applyBorder="1" applyAlignment="1">
      <alignment horizontal="center" vertical="center" wrapText="1"/>
    </xf>
    <xf numFmtId="180" fontId="1" fillId="20" borderId="21" xfId="6" applyNumberFormat="1" applyFont="1" applyFill="1" applyBorder="1" applyAlignment="1">
      <alignment horizontal="center" vertical="center" wrapText="1"/>
    </xf>
    <xf numFmtId="181" fontId="1" fillId="20" borderId="44" xfId="6" applyFont="1" applyFill="1" applyBorder="1" applyAlignment="1">
      <alignment horizontal="center" vertical="center" wrapText="1"/>
    </xf>
    <xf numFmtId="181" fontId="1" fillId="0" borderId="37" xfId="6" applyFont="1" applyBorder="1" applyAlignment="1">
      <alignment horizontal="center" vertical="center" wrapText="1"/>
    </xf>
    <xf numFmtId="181" fontId="1" fillId="0" borderId="20" xfId="6" applyFont="1" applyBorder="1" applyAlignment="1">
      <alignment horizontal="center" vertical="center" wrapText="1"/>
    </xf>
    <xf numFmtId="181" fontId="1" fillId="0" borderId="21" xfId="6" applyFont="1" applyBorder="1" applyAlignment="1">
      <alignment horizontal="center" vertical="center" wrapText="1"/>
    </xf>
    <xf numFmtId="180" fontId="1" fillId="19" borderId="20" xfId="6" applyNumberFormat="1" applyFont="1" applyFill="1" applyBorder="1" applyAlignment="1">
      <alignment horizontal="center" vertical="center" wrapText="1"/>
    </xf>
    <xf numFmtId="180" fontId="1" fillId="19" borderId="21" xfId="6" applyNumberFormat="1" applyFont="1" applyFill="1" applyBorder="1" applyAlignment="1">
      <alignment horizontal="center" vertical="center" wrapText="1"/>
    </xf>
    <xf numFmtId="181" fontId="1" fillId="19" borderId="1" xfId="6" applyFont="1" applyFill="1" applyBorder="1" applyAlignment="1">
      <alignment horizontal="center" vertical="center" wrapText="1"/>
    </xf>
    <xf numFmtId="181" fontId="1" fillId="0" borderId="38" xfId="6" applyFont="1" applyBorder="1" applyAlignment="1">
      <alignment horizontal="center" vertical="center" wrapText="1"/>
    </xf>
    <xf numFmtId="181" fontId="1" fillId="0" borderId="39" xfId="6" applyFont="1" applyBorder="1" applyAlignment="1">
      <alignment horizontal="center" vertical="center" wrapText="1"/>
    </xf>
    <xf numFmtId="181" fontId="21" fillId="0" borderId="30" xfId="6" applyFont="1" applyFill="1" applyBorder="1" applyAlignment="1">
      <alignment horizontal="center" vertical="center" wrapText="1"/>
    </xf>
    <xf numFmtId="181" fontId="20" fillId="0" borderId="31" xfId="6" applyFont="1" applyFill="1" applyBorder="1" applyAlignment="1">
      <alignment horizontal="center" vertical="center" wrapText="1"/>
    </xf>
    <xf numFmtId="181" fontId="20" fillId="0" borderId="24" xfId="6" applyFont="1" applyFill="1" applyBorder="1" applyAlignment="1">
      <alignment horizontal="center" vertical="center" wrapText="1"/>
    </xf>
    <xf numFmtId="181" fontId="21" fillId="19" borderId="30" xfId="6" applyFont="1" applyFill="1" applyBorder="1" applyAlignment="1">
      <alignment horizontal="center" vertical="center" wrapText="1"/>
    </xf>
    <xf numFmtId="181" fontId="20" fillId="19" borderId="31" xfId="6" applyFont="1" applyFill="1" applyBorder="1" applyAlignment="1">
      <alignment horizontal="center" vertical="center" wrapText="1"/>
    </xf>
    <xf numFmtId="181" fontId="20" fillId="19" borderId="24" xfId="6" applyFont="1" applyFill="1" applyBorder="1" applyAlignment="1">
      <alignment horizontal="center" vertical="center" wrapText="1"/>
    </xf>
    <xf numFmtId="181" fontId="1" fillId="0" borderId="16" xfId="6" applyFont="1" applyBorder="1" applyAlignment="1">
      <alignment horizontal="center" vertical="center" wrapText="1"/>
    </xf>
    <xf numFmtId="181" fontId="1" fillId="0" borderId="17" xfId="6" applyFont="1" applyBorder="1" applyAlignment="1">
      <alignment horizontal="center" vertical="center" wrapText="1"/>
    </xf>
    <xf numFmtId="181" fontId="1" fillId="0" borderId="27" xfId="6" applyFont="1" applyBorder="1" applyAlignment="1">
      <alignment horizontal="center" vertical="center" wrapText="1"/>
    </xf>
    <xf numFmtId="181" fontId="20" fillId="0" borderId="38" xfId="6" applyFont="1" applyFill="1" applyBorder="1" applyAlignment="1">
      <alignment horizontal="center" vertical="center" wrapText="1"/>
    </xf>
    <xf numFmtId="181" fontId="20" fillId="0" borderId="30" xfId="6" applyFont="1" applyFill="1" applyBorder="1" applyAlignment="1">
      <alignment horizontal="center" vertical="center" wrapText="1"/>
    </xf>
    <xf numFmtId="57" fontId="1" fillId="0" borderId="36" xfId="6" applyNumberFormat="1" applyFont="1" applyBorder="1" applyAlignment="1">
      <alignment horizontal="center" vertical="center" wrapText="1"/>
    </xf>
    <xf numFmtId="181" fontId="1" fillId="0" borderId="36" xfId="6" applyFont="1" applyBorder="1" applyAlignment="1">
      <alignment horizontal="center" vertical="center" wrapText="1"/>
    </xf>
    <xf numFmtId="181" fontId="1" fillId="19" borderId="20" xfId="6" applyFont="1" applyFill="1" applyBorder="1" applyAlignment="1">
      <alignment horizontal="center" vertical="center" wrapText="1"/>
    </xf>
    <xf numFmtId="181" fontId="1" fillId="19" borderId="21" xfId="6" applyFont="1" applyFill="1" applyBorder="1" applyAlignment="1">
      <alignment horizontal="center" vertical="center" wrapText="1"/>
    </xf>
    <xf numFmtId="178" fontId="5" fillId="6" borderId="1" xfId="9" applyNumberFormat="1" applyFont="1" applyFill="1" applyBorder="1" applyAlignment="1">
      <alignment horizontal="center" vertical="center" wrapText="1"/>
    </xf>
    <xf numFmtId="178" fontId="5" fillId="6" borderId="30" xfId="9" applyNumberFormat="1" applyFont="1" applyFill="1" applyBorder="1" applyAlignment="1">
      <alignment horizontal="center" vertical="center" wrapText="1"/>
    </xf>
    <xf numFmtId="178" fontId="5" fillId="6" borderId="24" xfId="9" applyNumberFormat="1" applyFont="1" applyFill="1" applyBorder="1" applyAlignment="1">
      <alignment horizontal="center" vertical="center" wrapText="1"/>
    </xf>
    <xf numFmtId="181" fontId="17" fillId="0" borderId="0" xfId="9" applyFont="1" applyAlignment="1">
      <alignment horizontal="center"/>
    </xf>
    <xf numFmtId="181" fontId="5" fillId="6" borderId="12" xfId="9" applyFont="1" applyFill="1" applyBorder="1" applyAlignment="1">
      <alignment horizontal="center" vertical="center" wrapText="1"/>
    </xf>
    <xf numFmtId="181" fontId="5" fillId="6" borderId="13" xfId="9" applyFont="1" applyFill="1" applyBorder="1" applyAlignment="1">
      <alignment horizontal="center" vertical="center" wrapText="1"/>
    </xf>
    <xf numFmtId="181" fontId="5" fillId="6" borderId="18" xfId="9" applyFont="1" applyFill="1" applyBorder="1" applyAlignment="1">
      <alignment horizontal="center" vertical="center" wrapText="1"/>
    </xf>
    <xf numFmtId="181" fontId="5" fillId="6" borderId="19" xfId="9" applyFont="1" applyFill="1" applyBorder="1" applyAlignment="1">
      <alignment horizontal="center" vertical="center" wrapText="1"/>
    </xf>
    <xf numFmtId="181" fontId="5" fillId="6" borderId="22" xfId="9" applyFont="1" applyFill="1" applyBorder="1" applyAlignment="1">
      <alignment horizontal="center" vertical="center" wrapText="1"/>
    </xf>
    <xf numFmtId="181" fontId="5" fillId="6" borderId="23" xfId="9" applyFont="1" applyFill="1" applyBorder="1" applyAlignment="1">
      <alignment horizontal="center" vertical="center" wrapText="1"/>
    </xf>
    <xf numFmtId="181" fontId="5" fillId="6" borderId="14" xfId="9" applyFont="1" applyFill="1" applyBorder="1" applyAlignment="1">
      <alignment horizontal="center" vertical="center" wrapText="1"/>
    </xf>
    <xf numFmtId="178" fontId="5" fillId="6" borderId="16" xfId="9" applyNumberFormat="1" applyFont="1" applyFill="1" applyBorder="1" applyAlignment="1">
      <alignment horizontal="center" vertical="center" wrapText="1"/>
    </xf>
    <xf numFmtId="178" fontId="5" fillId="6" borderId="17" xfId="9" applyNumberFormat="1" applyFont="1" applyFill="1" applyBorder="1" applyAlignment="1">
      <alignment horizontal="center" vertical="center" wrapText="1"/>
    </xf>
    <xf numFmtId="178" fontId="5" fillId="6" borderId="27" xfId="9" applyNumberFormat="1" applyFont="1" applyFill="1" applyBorder="1" applyAlignment="1">
      <alignment horizontal="center" vertical="center" wrapText="1"/>
    </xf>
    <xf numFmtId="178" fontId="5" fillId="6" borderId="28" xfId="9" applyNumberFormat="1" applyFont="1" applyFill="1" applyBorder="1" applyAlignment="1">
      <alignment horizontal="center" vertical="center" wrapText="1"/>
    </xf>
    <xf numFmtId="178" fontId="5" fillId="6" borderId="31" xfId="9" applyNumberFormat="1" applyFont="1" applyFill="1" applyBorder="1" applyAlignment="1">
      <alignment horizontal="center" vertical="center" wrapText="1"/>
    </xf>
    <xf numFmtId="181" fontId="5" fillId="6" borderId="29" xfId="9" applyFont="1" applyFill="1" applyBorder="1" applyAlignment="1">
      <alignment horizontal="center" vertical="center" wrapText="1"/>
    </xf>
    <xf numFmtId="181" fontId="5" fillId="6" borderId="32" xfId="9" applyFont="1" applyFill="1" applyBorder="1" applyAlignment="1">
      <alignment horizontal="center" vertical="center" wrapText="1"/>
    </xf>
    <xf numFmtId="181" fontId="5" fillId="6" borderId="33" xfId="9" applyFont="1" applyFill="1" applyBorder="1" applyAlignment="1">
      <alignment horizontal="center" vertical="center" wrapText="1"/>
    </xf>
    <xf numFmtId="178" fontId="5" fillId="6" borderId="20" xfId="9" applyNumberFormat="1" applyFont="1" applyFill="1" applyBorder="1" applyAlignment="1">
      <alignment horizontal="center" vertical="center" wrapText="1"/>
    </xf>
    <xf numFmtId="178" fontId="5" fillId="6" borderId="21" xfId="9" applyNumberFormat="1" applyFont="1" applyFill="1" applyBorder="1" applyAlignment="1">
      <alignment horizontal="center" vertical="center" wrapText="1"/>
    </xf>
    <xf numFmtId="178" fontId="5" fillId="6" borderId="1" xfId="7" applyNumberFormat="1" applyFont="1" applyFill="1" applyBorder="1" applyAlignment="1">
      <alignment horizontal="center" vertical="center" wrapText="1"/>
    </xf>
    <xf numFmtId="178" fontId="5" fillId="6" borderId="30" xfId="7" applyNumberFormat="1" applyFont="1" applyFill="1" applyBorder="1" applyAlignment="1">
      <alignment horizontal="center" vertical="center" wrapText="1"/>
    </xf>
    <xf numFmtId="178" fontId="5" fillId="6" borderId="24" xfId="7" applyNumberFormat="1" applyFont="1" applyFill="1" applyBorder="1" applyAlignment="1">
      <alignment horizontal="center" vertical="center" wrapText="1"/>
    </xf>
    <xf numFmtId="0" fontId="17" fillId="0" borderId="0" xfId="7" applyFont="1" applyAlignment="1">
      <alignment horizontal="center"/>
    </xf>
    <xf numFmtId="0" fontId="5" fillId="6" borderId="12" xfId="7" applyFont="1" applyFill="1" applyBorder="1" applyAlignment="1">
      <alignment horizontal="center" vertical="center" wrapText="1"/>
    </xf>
    <xf numFmtId="0" fontId="5" fillId="6" borderId="13" xfId="7" applyFont="1" applyFill="1" applyBorder="1" applyAlignment="1">
      <alignment horizontal="center" vertical="center" wrapText="1"/>
    </xf>
    <xf numFmtId="0" fontId="5" fillId="6" borderId="18" xfId="7" applyFont="1" applyFill="1" applyBorder="1" applyAlignment="1">
      <alignment horizontal="center" vertical="center" wrapText="1"/>
    </xf>
    <xf numFmtId="0" fontId="5" fillId="6" borderId="19" xfId="7" applyFont="1" applyFill="1" applyBorder="1" applyAlignment="1">
      <alignment horizontal="center" vertical="center" wrapText="1"/>
    </xf>
    <xf numFmtId="0" fontId="5" fillId="6" borderId="22" xfId="7" applyFont="1" applyFill="1" applyBorder="1" applyAlignment="1">
      <alignment horizontal="center" vertical="center" wrapText="1"/>
    </xf>
    <xf numFmtId="0" fontId="5" fillId="6" borderId="23" xfId="7" applyFont="1" applyFill="1" applyBorder="1" applyAlignment="1">
      <alignment horizontal="center" vertical="center" wrapText="1"/>
    </xf>
    <xf numFmtId="0" fontId="5" fillId="6" borderId="14" xfId="7" applyFont="1" applyFill="1" applyBorder="1" applyAlignment="1">
      <alignment horizontal="center" vertical="center" wrapText="1"/>
    </xf>
    <xf numFmtId="178" fontId="5" fillId="6" borderId="16" xfId="7" applyNumberFormat="1" applyFont="1" applyFill="1" applyBorder="1" applyAlignment="1">
      <alignment horizontal="center" vertical="center" wrapText="1"/>
    </xf>
    <xf numFmtId="178" fontId="5" fillId="6" borderId="17" xfId="7" applyNumberFormat="1" applyFont="1" applyFill="1" applyBorder="1" applyAlignment="1">
      <alignment horizontal="center" vertical="center" wrapText="1"/>
    </xf>
    <xf numFmtId="178" fontId="5" fillId="6" borderId="27" xfId="7" applyNumberFormat="1" applyFont="1" applyFill="1" applyBorder="1" applyAlignment="1">
      <alignment horizontal="center" vertical="center" wrapText="1"/>
    </xf>
    <xf numFmtId="178" fontId="5" fillId="6" borderId="28" xfId="7" applyNumberFormat="1" applyFont="1" applyFill="1" applyBorder="1" applyAlignment="1">
      <alignment horizontal="center" vertical="center" wrapText="1"/>
    </xf>
    <xf numFmtId="178" fontId="5" fillId="6" borderId="31" xfId="7" applyNumberFormat="1" applyFont="1" applyFill="1" applyBorder="1" applyAlignment="1">
      <alignment horizontal="center" vertical="center" wrapText="1"/>
    </xf>
    <xf numFmtId="0" fontId="5" fillId="6" borderId="29" xfId="7" applyFont="1" applyFill="1" applyBorder="1" applyAlignment="1">
      <alignment horizontal="center" vertical="center" wrapText="1"/>
    </xf>
    <xf numFmtId="0" fontId="5" fillId="6" borderId="32" xfId="7" applyFont="1" applyFill="1" applyBorder="1" applyAlignment="1">
      <alignment horizontal="center" vertical="center" wrapText="1"/>
    </xf>
    <xf numFmtId="0" fontId="5" fillId="6" borderId="33" xfId="7" applyFont="1" applyFill="1" applyBorder="1" applyAlignment="1">
      <alignment horizontal="center" vertical="center" wrapText="1"/>
    </xf>
    <xf numFmtId="178" fontId="1" fillId="6" borderId="20" xfId="7" applyNumberFormat="1" applyFont="1" applyFill="1" applyBorder="1" applyAlignment="1">
      <alignment horizontal="center" vertical="center" wrapText="1"/>
    </xf>
    <xf numFmtId="178" fontId="1" fillId="6" borderId="21" xfId="7" applyNumberFormat="1" applyFont="1" applyFill="1" applyBorder="1" applyAlignment="1">
      <alignment horizontal="center" vertical="center" wrapText="1"/>
    </xf>
    <xf numFmtId="178" fontId="5" fillId="6" borderId="20" xfId="7" applyNumberFormat="1" applyFont="1" applyFill="1" applyBorder="1" applyAlignment="1">
      <alignment horizontal="center" vertical="center" wrapText="1"/>
    </xf>
    <xf numFmtId="178" fontId="5" fillId="6" borderId="21" xfId="7" applyNumberFormat="1" applyFont="1" applyFill="1" applyBorder="1" applyAlignment="1">
      <alignment horizontal="center" vertical="center" wrapText="1"/>
    </xf>
    <xf numFmtId="181" fontId="8" fillId="0" borderId="2" xfId="9" applyFont="1" applyBorder="1" applyAlignment="1">
      <alignment horizontal="center" vertical="center"/>
    </xf>
    <xf numFmtId="181" fontId="1" fillId="0" borderId="3" xfId="9" applyFont="1" applyBorder="1" applyAlignment="1">
      <alignment vertical="center"/>
    </xf>
    <xf numFmtId="181" fontId="39" fillId="0" borderId="0" xfId="9" applyFont="1" applyAlignment="1">
      <alignment horizontal="center"/>
    </xf>
  </cellXfs>
  <cellStyles count="10">
    <cellStyle name="百分比" xfId="3" builtinId="5"/>
    <cellStyle name="百分比 2" xfId="8"/>
    <cellStyle name="常规" xfId="0" builtinId="0"/>
    <cellStyle name="常规 2" xfId="6"/>
    <cellStyle name="常规 2 2" xfId="4"/>
    <cellStyle name="常规 3" xfId="7"/>
    <cellStyle name="常规 4" xfId="9"/>
    <cellStyle name="常规_北辰项目经济指标测算05.3.4测算ok" xfId="1"/>
    <cellStyle name="常规_王村地块财务指标测算08.4.3改管理费用" xfId="5"/>
    <cellStyle name="千位分隔" xfId="2" builtinId="3"/>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1</xdr:row>
      <xdr:rowOff>9525</xdr:rowOff>
    </xdr:from>
    <xdr:to>
      <xdr:col>38</xdr:col>
      <xdr:colOff>550582</xdr:colOff>
      <xdr:row>27</xdr:row>
      <xdr:rowOff>56554</xdr:rowOff>
    </xdr:to>
    <xdr:pic>
      <xdr:nvPicPr>
        <xdr:cNvPr id="2" name="图片 1"/>
        <xdr:cNvPicPr>
          <a:picLocks noChangeAspect="1"/>
        </xdr:cNvPicPr>
      </xdr:nvPicPr>
      <xdr:blipFill>
        <a:blip xmlns:r="http://schemas.openxmlformats.org/officeDocument/2006/relationships" r:embed="rId1"/>
        <a:stretch>
          <a:fillRect/>
        </a:stretch>
      </xdr:blipFill>
      <xdr:spPr>
        <a:xfrm>
          <a:off x="26479500" y="295275"/>
          <a:ext cx="14952382" cy="4771429"/>
        </a:xfrm>
        <a:prstGeom prst="rect">
          <a:avLst/>
        </a:prstGeom>
      </xdr:spPr>
    </xdr:pic>
    <xdr:clientData/>
  </xdr:twoCellAnchor>
  <xdr:twoCellAnchor>
    <xdr:from>
      <xdr:col>24</xdr:col>
      <xdr:colOff>19050</xdr:colOff>
      <xdr:row>5</xdr:row>
      <xdr:rowOff>114300</xdr:rowOff>
    </xdr:from>
    <xdr:to>
      <xdr:col>27</xdr:col>
      <xdr:colOff>504825</xdr:colOff>
      <xdr:row>7</xdr:row>
      <xdr:rowOff>114300</xdr:rowOff>
    </xdr:to>
    <xdr:sp macro="" textlink="">
      <xdr:nvSpPr>
        <xdr:cNvPr id="3" name="圆角矩形标注 2"/>
        <xdr:cNvSpPr/>
      </xdr:nvSpPr>
      <xdr:spPr>
        <a:xfrm>
          <a:off x="31299150" y="1676400"/>
          <a:ext cx="2543175" cy="723900"/>
        </a:xfrm>
        <a:prstGeom prst="wedgeRoundRectCallout">
          <a:avLst>
            <a:gd name="adj1" fmla="val -53792"/>
            <a:gd name="adj2" fmla="val 21711"/>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a:solidFill>
                <a:sysClr val="windowText" lastClr="000000"/>
              </a:solidFill>
              <a:latin typeface="微软雅黑" panose="020B0503020204020204" pitchFamily="34" charset="-122"/>
              <a:ea typeface="微软雅黑" panose="020B0503020204020204" pitchFamily="34" charset="-122"/>
            </a:rPr>
            <a:t>固定值吗？如何确定？</a:t>
          </a:r>
        </a:p>
      </xdr:txBody>
    </xdr:sp>
    <xdr:clientData/>
  </xdr:twoCellAnchor>
  <xdr:twoCellAnchor>
    <xdr:from>
      <xdr:col>3</xdr:col>
      <xdr:colOff>847725</xdr:colOff>
      <xdr:row>2</xdr:row>
      <xdr:rowOff>342900</xdr:rowOff>
    </xdr:from>
    <xdr:to>
      <xdr:col>4</xdr:col>
      <xdr:colOff>19050</xdr:colOff>
      <xdr:row>4</xdr:row>
      <xdr:rowOff>9525</xdr:rowOff>
    </xdr:to>
    <xdr:sp macro="" textlink="">
      <xdr:nvSpPr>
        <xdr:cNvPr id="4" name="流程图: 过程 3"/>
        <xdr:cNvSpPr/>
      </xdr:nvSpPr>
      <xdr:spPr>
        <a:xfrm>
          <a:off x="5829300" y="819150"/>
          <a:ext cx="1962150" cy="390525"/>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1600200</xdr:colOff>
      <xdr:row>4</xdr:row>
      <xdr:rowOff>95250</xdr:rowOff>
    </xdr:from>
    <xdr:to>
      <xdr:col>4</xdr:col>
      <xdr:colOff>1047750</xdr:colOff>
      <xdr:row>5</xdr:row>
      <xdr:rowOff>200025</xdr:rowOff>
    </xdr:to>
    <xdr:sp macro="" textlink="">
      <xdr:nvSpPr>
        <xdr:cNvPr id="5" name="圆角矩形标注 4"/>
        <xdr:cNvSpPr/>
      </xdr:nvSpPr>
      <xdr:spPr>
        <a:xfrm>
          <a:off x="6581775" y="1295400"/>
          <a:ext cx="2238375" cy="466725"/>
        </a:xfrm>
        <a:prstGeom prst="wedgeRoundRectCallout">
          <a:avLst>
            <a:gd name="adj1" fmla="val -32069"/>
            <a:gd name="adj2" fmla="val -66447"/>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200">
              <a:solidFill>
                <a:sysClr val="windowText" lastClr="000000"/>
              </a:solidFill>
              <a:latin typeface="微软雅黑" panose="020B0503020204020204" pitchFamily="34" charset="-122"/>
              <a:ea typeface="微软雅黑" panose="020B0503020204020204" pitchFamily="34" charset="-122"/>
            </a:rPr>
            <a:t>固定值吗？如何确定？</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4448;&#26469;&#27454;&#21488;&#3613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往来款台账"/>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zoomScale="90" zoomScaleNormal="90" workbookViewId="0">
      <selection sqref="A1:M1"/>
    </sheetView>
  </sheetViews>
  <sheetFormatPr defaultColWidth="9" defaultRowHeight="14.25"/>
  <cols>
    <col min="1" max="1" width="11.625" customWidth="1"/>
    <col min="7" max="7" width="25" customWidth="1"/>
  </cols>
  <sheetData>
    <row r="1" spans="1:13" ht="142.5" customHeight="1">
      <c r="A1" s="684" t="s">
        <v>0</v>
      </c>
      <c r="B1" s="685"/>
      <c r="C1" s="685"/>
      <c r="D1" s="685"/>
      <c r="E1" s="685"/>
      <c r="F1" s="685"/>
      <c r="G1" s="685"/>
      <c r="H1" s="685"/>
      <c r="I1" s="685"/>
      <c r="J1" s="685"/>
      <c r="K1" s="685"/>
      <c r="L1" s="685"/>
      <c r="M1" s="685"/>
    </row>
    <row r="2" spans="1:13" ht="114" customHeight="1">
      <c r="A2" s="686" t="s">
        <v>1</v>
      </c>
      <c r="B2" s="686"/>
      <c r="C2" s="686"/>
      <c r="D2" s="686"/>
      <c r="E2" s="686"/>
      <c r="F2" s="686"/>
      <c r="G2" s="686"/>
      <c r="H2" s="686"/>
      <c r="I2" s="686"/>
      <c r="J2" s="686"/>
      <c r="K2" s="686"/>
      <c r="L2" s="686"/>
      <c r="M2" s="686"/>
    </row>
    <row r="3" spans="1:13" ht="31.5" customHeight="1">
      <c r="A3" s="686" t="s">
        <v>2</v>
      </c>
      <c r="B3" s="686"/>
      <c r="C3" s="686"/>
      <c r="D3" s="686"/>
      <c r="E3" s="686"/>
      <c r="F3" s="686"/>
      <c r="G3" s="686"/>
      <c r="H3" s="686"/>
      <c r="I3" s="686"/>
      <c r="J3" s="686"/>
      <c r="K3" s="686"/>
      <c r="L3" s="686"/>
      <c r="M3" s="686"/>
    </row>
    <row r="4" spans="1:13" ht="33" customHeight="1">
      <c r="A4" s="687" t="s">
        <v>3</v>
      </c>
      <c r="B4" s="687"/>
      <c r="C4" s="687"/>
      <c r="D4" s="687"/>
      <c r="E4" s="687"/>
      <c r="F4" s="687"/>
      <c r="G4" s="687"/>
      <c r="H4" s="687"/>
      <c r="I4" s="687"/>
      <c r="J4" s="687"/>
      <c r="K4" s="687"/>
      <c r="L4" s="687"/>
      <c r="M4" s="687"/>
    </row>
    <row r="5" spans="1:13">
      <c r="G5" s="206"/>
    </row>
  </sheetData>
  <mergeCells count="4">
    <mergeCell ref="A1:M1"/>
    <mergeCell ref="A2:M2"/>
    <mergeCell ref="A3:M3"/>
    <mergeCell ref="A4:M4"/>
  </mergeCells>
  <phoneticPr fontId="34" type="noConversion"/>
  <pageMargins left="0.75" right="0.75" top="1" bottom="1" header="0.5" footer="0.5"/>
  <pageSetup paperSize="9" orientation="landscape" useFirstPageNumber="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0"/>
  <sheetViews>
    <sheetView zoomScaleSheetLayoutView="100" workbookViewId="0">
      <selection activeCell="C155" sqref="C155"/>
    </sheetView>
  </sheetViews>
  <sheetFormatPr defaultColWidth="9" defaultRowHeight="14.25" outlineLevelRow="2"/>
  <cols>
    <col min="1" max="1" width="6" style="207" customWidth="1"/>
    <col min="2" max="2" width="33.125" style="207" customWidth="1"/>
    <col min="3" max="3" width="26.25" style="207" customWidth="1"/>
    <col min="4" max="4" width="36.625" style="207" bestFit="1" customWidth="1"/>
    <col min="5" max="5" width="16.375" style="207" customWidth="1"/>
    <col min="6" max="6" width="46.125" style="207" customWidth="1"/>
    <col min="7" max="7" width="20" style="207" bestFit="1" customWidth="1"/>
    <col min="8" max="8" width="13.625" style="207" customWidth="1"/>
    <col min="9" max="9" width="16.125" style="207" customWidth="1"/>
    <col min="10" max="10" width="21.875" style="207" bestFit="1" customWidth="1"/>
    <col min="11" max="11" width="9" style="207"/>
    <col min="12" max="12" width="21.875" style="207" bestFit="1" customWidth="1"/>
    <col min="13" max="13" width="9" style="207"/>
    <col min="14" max="15" width="23.875" style="207" bestFit="1" customWidth="1"/>
    <col min="16" max="16" width="14.75" style="207" customWidth="1"/>
    <col min="17" max="16384" width="9" style="207"/>
  </cols>
  <sheetData>
    <row r="1" spans="1:17" s="209" customFormat="1" ht="22.5">
      <c r="A1" s="770" t="s">
        <v>551</v>
      </c>
      <c r="B1" s="770"/>
      <c r="C1" s="770"/>
      <c r="D1" s="770"/>
      <c r="E1" s="770"/>
      <c r="F1" s="770"/>
      <c r="G1" s="770"/>
      <c r="H1" s="770"/>
      <c r="I1" s="770"/>
      <c r="J1" s="770"/>
      <c r="K1" s="770"/>
      <c r="L1" s="770"/>
      <c r="M1" s="770"/>
      <c r="N1" s="770"/>
      <c r="O1" s="770"/>
      <c r="P1" s="770"/>
      <c r="Q1" s="770"/>
    </row>
    <row r="2" spans="1:17" s="208" customFormat="1" ht="15" thickBot="1">
      <c r="M2" s="209"/>
      <c r="P2" s="210"/>
    </row>
    <row r="3" spans="1:17" s="676" customFormat="1" ht="28.5" customHeight="1">
      <c r="A3" s="771" t="s">
        <v>167</v>
      </c>
      <c r="B3" s="772"/>
      <c r="C3" s="777" t="s">
        <v>326</v>
      </c>
      <c r="D3" s="772"/>
      <c r="E3" s="211" t="s">
        <v>327</v>
      </c>
      <c r="F3" s="778" t="s">
        <v>168</v>
      </c>
      <c r="G3" s="779"/>
      <c r="H3" s="779"/>
      <c r="I3" s="779"/>
      <c r="J3" s="779"/>
      <c r="K3" s="780"/>
      <c r="L3" s="778" t="s">
        <v>169</v>
      </c>
      <c r="M3" s="780"/>
      <c r="N3" s="781" t="s">
        <v>1783</v>
      </c>
      <c r="O3" s="781" t="s">
        <v>171</v>
      </c>
      <c r="P3" s="783" t="s">
        <v>172</v>
      </c>
      <c r="Q3" s="212"/>
    </row>
    <row r="4" spans="1:17" s="676" customFormat="1" ht="28.5" customHeight="1">
      <c r="A4" s="773"/>
      <c r="B4" s="774"/>
      <c r="C4" s="213" t="s">
        <v>552</v>
      </c>
      <c r="D4" s="213">
        <v>95754.15</v>
      </c>
      <c r="E4" s="215"/>
      <c r="F4" s="788" t="s">
        <v>173</v>
      </c>
      <c r="G4" s="789"/>
      <c r="H4" s="788" t="s">
        <v>166</v>
      </c>
      <c r="I4" s="789"/>
      <c r="J4" s="767" t="s">
        <v>1784</v>
      </c>
      <c r="K4" s="768" t="s">
        <v>174</v>
      </c>
      <c r="L4" s="768" t="s">
        <v>1785</v>
      </c>
      <c r="M4" s="768" t="s">
        <v>174</v>
      </c>
      <c r="N4" s="782"/>
      <c r="O4" s="782"/>
      <c r="P4" s="784"/>
      <c r="Q4" s="212"/>
    </row>
    <row r="5" spans="1:17" s="676" customFormat="1" ht="28.5" customHeight="1">
      <c r="A5" s="775"/>
      <c r="B5" s="776"/>
      <c r="C5" s="216" t="s">
        <v>1786</v>
      </c>
      <c r="D5" s="216" t="s">
        <v>177</v>
      </c>
      <c r="E5" s="216"/>
      <c r="F5" s="674" t="s">
        <v>178</v>
      </c>
      <c r="G5" s="218" t="s">
        <v>179</v>
      </c>
      <c r="H5" s="674" t="s">
        <v>1787</v>
      </c>
      <c r="I5" s="218" t="s">
        <v>1788</v>
      </c>
      <c r="J5" s="767"/>
      <c r="K5" s="769"/>
      <c r="L5" s="769"/>
      <c r="M5" s="769"/>
      <c r="N5" s="769"/>
      <c r="O5" s="769"/>
      <c r="P5" s="785"/>
      <c r="Q5" s="212"/>
    </row>
    <row r="6" spans="1:17" s="676" customFormat="1" ht="28.5" customHeight="1">
      <c r="A6" s="675"/>
      <c r="B6" s="220"/>
      <c r="C6" s="216"/>
      <c r="D6" s="674" t="s">
        <v>553</v>
      </c>
      <c r="E6" s="218"/>
      <c r="F6" s="218" t="s">
        <v>554</v>
      </c>
      <c r="G6" s="674" t="s">
        <v>555</v>
      </c>
      <c r="H6" s="218" t="s">
        <v>556</v>
      </c>
      <c r="I6" s="218" t="s">
        <v>557</v>
      </c>
      <c r="J6" s="673" t="s">
        <v>1789</v>
      </c>
      <c r="K6" s="674"/>
      <c r="L6" s="674" t="s">
        <v>559</v>
      </c>
      <c r="M6" s="222"/>
      <c r="N6" s="674" t="s">
        <v>560</v>
      </c>
      <c r="O6" s="674" t="s">
        <v>561</v>
      </c>
      <c r="P6" s="223"/>
      <c r="Q6" s="212"/>
    </row>
    <row r="7" spans="1:17" s="676" customFormat="1" ht="28.5" customHeight="1">
      <c r="A7" s="675"/>
      <c r="B7" s="220"/>
      <c r="C7" s="216"/>
      <c r="D7" s="674"/>
      <c r="E7" s="218"/>
      <c r="F7" s="218"/>
      <c r="G7" s="674"/>
      <c r="H7" s="218"/>
      <c r="I7" s="218"/>
      <c r="J7" s="673"/>
      <c r="K7" s="674"/>
      <c r="L7" s="674"/>
      <c r="M7" s="222"/>
      <c r="N7" s="674"/>
      <c r="O7" s="674"/>
      <c r="P7" s="223"/>
      <c r="Q7" s="212"/>
    </row>
    <row r="8" spans="1:17" s="208" customFormat="1" ht="16.5" customHeight="1">
      <c r="A8" s="224" t="s">
        <v>180</v>
      </c>
      <c r="B8" s="225" t="s">
        <v>1790</v>
      </c>
      <c r="C8" s="49" t="s">
        <v>1791</v>
      </c>
      <c r="D8" s="49" t="s">
        <v>1792</v>
      </c>
      <c r="E8" s="49" t="s">
        <v>1793</v>
      </c>
      <c r="F8" s="49" t="s">
        <v>1794</v>
      </c>
      <c r="G8" s="49" t="s">
        <v>1795</v>
      </c>
      <c r="H8" s="49" t="s">
        <v>1794</v>
      </c>
      <c r="I8" s="49" t="s">
        <v>1795</v>
      </c>
      <c r="J8" s="49" t="s">
        <v>1796</v>
      </c>
      <c r="K8" s="54" t="s">
        <v>1797</v>
      </c>
      <c r="L8" s="49" t="s">
        <v>1798</v>
      </c>
      <c r="M8" s="54" t="s">
        <v>1797</v>
      </c>
      <c r="N8" s="49" t="s">
        <v>1799</v>
      </c>
      <c r="O8" s="49" t="s">
        <v>1800</v>
      </c>
      <c r="P8" s="54" t="s">
        <v>1797</v>
      </c>
    </row>
    <row r="9" spans="1:17" s="208" customFormat="1" ht="16.5" hidden="1" customHeight="1" outlineLevel="1">
      <c r="A9" s="231">
        <v>1.1000000000000001</v>
      </c>
      <c r="B9" s="232" t="s">
        <v>163</v>
      </c>
      <c r="C9" s="50" t="s">
        <v>1801</v>
      </c>
      <c r="D9" s="50" t="s">
        <v>1802</v>
      </c>
      <c r="E9" s="50" t="s">
        <v>1803</v>
      </c>
      <c r="F9" s="50" t="s">
        <v>1804</v>
      </c>
      <c r="G9" s="50" t="s">
        <v>1803</v>
      </c>
      <c r="H9" s="50" t="s">
        <v>1803</v>
      </c>
      <c r="I9" s="50" t="s">
        <v>1803</v>
      </c>
      <c r="J9" s="50" t="s">
        <v>1789</v>
      </c>
      <c r="K9" s="56" t="s">
        <v>1797</v>
      </c>
      <c r="L9" s="50" t="s">
        <v>1803</v>
      </c>
      <c r="M9" s="56" t="s">
        <v>1797</v>
      </c>
      <c r="N9" s="50" t="s">
        <v>1805</v>
      </c>
      <c r="O9" s="50" t="s">
        <v>1806</v>
      </c>
      <c r="P9" s="56" t="s">
        <v>1797</v>
      </c>
    </row>
    <row r="10" spans="1:17" s="208" customFormat="1" ht="16.5" hidden="1" customHeight="1" outlineLevel="1">
      <c r="A10" s="231">
        <v>1.2</v>
      </c>
      <c r="B10" s="232" t="s">
        <v>182</v>
      </c>
      <c r="C10" s="50" t="s">
        <v>1807</v>
      </c>
      <c r="D10" s="50" t="s">
        <v>1808</v>
      </c>
      <c r="E10" s="50" t="s">
        <v>1803</v>
      </c>
      <c r="F10" s="50" t="s">
        <v>1809</v>
      </c>
      <c r="G10" s="50" t="s">
        <v>1803</v>
      </c>
      <c r="H10" s="50" t="s">
        <v>1803</v>
      </c>
      <c r="I10" s="50" t="s">
        <v>1803</v>
      </c>
      <c r="J10" s="50" t="s">
        <v>1810</v>
      </c>
      <c r="K10" s="56" t="s">
        <v>1797</v>
      </c>
      <c r="L10" s="50" t="s">
        <v>1811</v>
      </c>
      <c r="M10" s="56" t="s">
        <v>1797</v>
      </c>
      <c r="N10" s="50" t="s">
        <v>1812</v>
      </c>
      <c r="O10" s="50" t="s">
        <v>1813</v>
      </c>
      <c r="P10" s="56" t="s">
        <v>1797</v>
      </c>
    </row>
    <row r="11" spans="1:17" s="208" customFormat="1" ht="16.5" hidden="1" customHeight="1" outlineLevel="1">
      <c r="A11" s="231">
        <v>1.3</v>
      </c>
      <c r="B11" s="232" t="s">
        <v>120</v>
      </c>
      <c r="C11" s="50" t="s">
        <v>1814</v>
      </c>
      <c r="D11" s="50" t="s">
        <v>1815</v>
      </c>
      <c r="E11" s="50" t="s">
        <v>1803</v>
      </c>
      <c r="F11" s="50" t="s">
        <v>1816</v>
      </c>
      <c r="G11" s="50" t="s">
        <v>1803</v>
      </c>
      <c r="H11" s="50" t="s">
        <v>1803</v>
      </c>
      <c r="I11" s="50" t="s">
        <v>1803</v>
      </c>
      <c r="J11" s="50" t="s">
        <v>1810</v>
      </c>
      <c r="K11" s="56" t="s">
        <v>1797</v>
      </c>
      <c r="L11" s="50" t="s">
        <v>1817</v>
      </c>
      <c r="M11" s="56" t="s">
        <v>1797</v>
      </c>
      <c r="N11" s="50" t="s">
        <v>1810</v>
      </c>
      <c r="O11" s="50" t="s">
        <v>1810</v>
      </c>
      <c r="P11" s="56" t="s">
        <v>1797</v>
      </c>
    </row>
    <row r="12" spans="1:17" s="208" customFormat="1" ht="16.5" hidden="1" customHeight="1" outlineLevel="1">
      <c r="A12" s="231">
        <v>1.4</v>
      </c>
      <c r="B12" s="232" t="s">
        <v>183</v>
      </c>
      <c r="C12" s="50" t="s">
        <v>1810</v>
      </c>
      <c r="D12" s="50" t="s">
        <v>1818</v>
      </c>
      <c r="E12" s="50" t="s">
        <v>1803</v>
      </c>
      <c r="F12" s="50" t="s">
        <v>1819</v>
      </c>
      <c r="G12" s="50" t="s">
        <v>1803</v>
      </c>
      <c r="H12" s="50" t="s">
        <v>1803</v>
      </c>
      <c r="I12" s="50" t="s">
        <v>1803</v>
      </c>
      <c r="J12" s="50" t="s">
        <v>1810</v>
      </c>
      <c r="K12" s="56" t="s">
        <v>1797</v>
      </c>
      <c r="L12" s="50" t="s">
        <v>1803</v>
      </c>
      <c r="M12" s="56" t="s">
        <v>1797</v>
      </c>
      <c r="N12" s="50" t="s">
        <v>1810</v>
      </c>
      <c r="O12" s="50" t="s">
        <v>1810</v>
      </c>
      <c r="P12" s="56" t="s">
        <v>1797</v>
      </c>
    </row>
    <row r="13" spans="1:17" s="208" customFormat="1" ht="16.5" hidden="1" customHeight="1" outlineLevel="1">
      <c r="A13" s="231">
        <v>1.5</v>
      </c>
      <c r="B13" s="677" t="s">
        <v>328</v>
      </c>
      <c r="C13" s="50" t="s">
        <v>1810</v>
      </c>
      <c r="D13" s="50" t="s">
        <v>1820</v>
      </c>
      <c r="E13" s="50" t="s">
        <v>1803</v>
      </c>
      <c r="F13" s="50" t="s">
        <v>1821</v>
      </c>
      <c r="G13" s="50" t="s">
        <v>1803</v>
      </c>
      <c r="H13" s="50" t="s">
        <v>1803</v>
      </c>
      <c r="I13" s="50" t="s">
        <v>1803</v>
      </c>
      <c r="J13" s="50" t="s">
        <v>1810</v>
      </c>
      <c r="K13" s="56" t="s">
        <v>1797</v>
      </c>
      <c r="L13" s="50" t="s">
        <v>1822</v>
      </c>
      <c r="M13" s="56" t="s">
        <v>1797</v>
      </c>
      <c r="N13" s="50" t="s">
        <v>1810</v>
      </c>
      <c r="O13" s="50" t="s">
        <v>1810</v>
      </c>
      <c r="P13" s="56" t="s">
        <v>1797</v>
      </c>
    </row>
    <row r="14" spans="1:17" s="208" customFormat="1" ht="16.5" hidden="1" customHeight="1" outlineLevel="1">
      <c r="A14" s="231">
        <v>1.6</v>
      </c>
      <c r="B14" s="232" t="s">
        <v>329</v>
      </c>
      <c r="C14" s="50" t="s">
        <v>1810</v>
      </c>
      <c r="D14" s="50" t="s">
        <v>1823</v>
      </c>
      <c r="E14" s="50" t="s">
        <v>1803</v>
      </c>
      <c r="F14" s="50" t="s">
        <v>1824</v>
      </c>
      <c r="G14" s="50" t="s">
        <v>1803</v>
      </c>
      <c r="H14" s="50" t="s">
        <v>1803</v>
      </c>
      <c r="I14" s="50" t="s">
        <v>1803</v>
      </c>
      <c r="J14" s="50" t="s">
        <v>1810</v>
      </c>
      <c r="K14" s="56" t="s">
        <v>1797</v>
      </c>
      <c r="L14" s="50" t="s">
        <v>1803</v>
      </c>
      <c r="M14" s="56" t="s">
        <v>1797</v>
      </c>
      <c r="N14" s="50" t="s">
        <v>1810</v>
      </c>
      <c r="O14" s="50" t="s">
        <v>1810</v>
      </c>
      <c r="P14" s="56" t="s">
        <v>1797</v>
      </c>
    </row>
    <row r="15" spans="1:17" s="208" customFormat="1" ht="16.5" hidden="1" customHeight="1" outlineLevel="1">
      <c r="A15" s="231">
        <v>1.7</v>
      </c>
      <c r="B15" s="232" t="s">
        <v>330</v>
      </c>
      <c r="C15" s="50" t="s">
        <v>1810</v>
      </c>
      <c r="D15" s="50" t="s">
        <v>1825</v>
      </c>
      <c r="E15" s="50" t="s">
        <v>1803</v>
      </c>
      <c r="F15" s="50" t="s">
        <v>1826</v>
      </c>
      <c r="G15" s="50" t="s">
        <v>1803</v>
      </c>
      <c r="H15" s="50" t="s">
        <v>1803</v>
      </c>
      <c r="I15" s="50" t="s">
        <v>1803</v>
      </c>
      <c r="J15" s="50" t="s">
        <v>1810</v>
      </c>
      <c r="K15" s="56" t="s">
        <v>1797</v>
      </c>
      <c r="L15" s="50" t="s">
        <v>1803</v>
      </c>
      <c r="M15" s="56" t="s">
        <v>1797</v>
      </c>
      <c r="N15" s="50" t="s">
        <v>1810</v>
      </c>
      <c r="O15" s="50" t="s">
        <v>1810</v>
      </c>
      <c r="P15" s="56" t="s">
        <v>1797</v>
      </c>
    </row>
    <row r="16" spans="1:17" s="208" customFormat="1" ht="16.5" customHeight="1" collapsed="1">
      <c r="A16" s="234" t="s">
        <v>184</v>
      </c>
      <c r="B16" s="235" t="s">
        <v>185</v>
      </c>
      <c r="C16" s="49" t="s">
        <v>1827</v>
      </c>
      <c r="D16" s="49" t="s">
        <v>1828</v>
      </c>
      <c r="E16" s="49" t="s">
        <v>1829</v>
      </c>
      <c r="F16" s="49" t="s">
        <v>1830</v>
      </c>
      <c r="G16" s="49" t="s">
        <v>1831</v>
      </c>
      <c r="H16" s="49" t="s">
        <v>1830</v>
      </c>
      <c r="I16" s="49" t="s">
        <v>1831</v>
      </c>
      <c r="J16" s="49" t="s">
        <v>1832</v>
      </c>
      <c r="K16" s="54" t="s">
        <v>1797</v>
      </c>
      <c r="L16" s="49" t="s">
        <v>1833</v>
      </c>
      <c r="M16" s="54" t="s">
        <v>1797</v>
      </c>
      <c r="N16" s="49" t="s">
        <v>1834</v>
      </c>
      <c r="O16" s="49" t="s">
        <v>1835</v>
      </c>
      <c r="P16" s="54" t="s">
        <v>1797</v>
      </c>
    </row>
    <row r="17" spans="1:16" s="208" customFormat="1" ht="16.5" customHeight="1" outlineLevel="1">
      <c r="A17" s="228">
        <v>2.1</v>
      </c>
      <c r="B17" s="229" t="s">
        <v>1836</v>
      </c>
      <c r="C17" s="49" t="s">
        <v>1837</v>
      </c>
      <c r="D17" s="49" t="s">
        <v>1838</v>
      </c>
      <c r="E17" s="49" t="s">
        <v>1839</v>
      </c>
      <c r="F17" s="49" t="s">
        <v>1840</v>
      </c>
      <c r="G17" s="49" t="s">
        <v>1841</v>
      </c>
      <c r="H17" s="49" t="s">
        <v>1840</v>
      </c>
      <c r="I17" s="49" t="s">
        <v>1841</v>
      </c>
      <c r="J17" s="49" t="s">
        <v>1842</v>
      </c>
      <c r="K17" s="54" t="s">
        <v>1797</v>
      </c>
      <c r="L17" s="49" t="s">
        <v>1843</v>
      </c>
      <c r="M17" s="54" t="s">
        <v>1797</v>
      </c>
      <c r="N17" s="49" t="s">
        <v>1844</v>
      </c>
      <c r="O17" s="49" t="s">
        <v>1845</v>
      </c>
      <c r="P17" s="54" t="s">
        <v>1797</v>
      </c>
    </row>
    <row r="18" spans="1:16" s="208" customFormat="1" ht="16.5" customHeight="1" outlineLevel="2">
      <c r="A18" s="231" t="s">
        <v>1846</v>
      </c>
      <c r="B18" s="232" t="s">
        <v>186</v>
      </c>
      <c r="C18" s="50" t="s">
        <v>1847</v>
      </c>
      <c r="D18" s="50" t="s">
        <v>1848</v>
      </c>
      <c r="E18" s="50" t="s">
        <v>1803</v>
      </c>
      <c r="F18" s="50" t="s">
        <v>1849</v>
      </c>
      <c r="G18" s="50" t="s">
        <v>1803</v>
      </c>
      <c r="H18" s="50" t="s">
        <v>1803</v>
      </c>
      <c r="I18" s="50" t="s">
        <v>1803</v>
      </c>
      <c r="J18" s="50" t="s">
        <v>1789</v>
      </c>
      <c r="K18" s="56" t="s">
        <v>1797</v>
      </c>
      <c r="L18" s="50" t="s">
        <v>1850</v>
      </c>
      <c r="M18" s="56" t="s">
        <v>1797</v>
      </c>
      <c r="N18" s="50" t="s">
        <v>1851</v>
      </c>
      <c r="O18" s="50" t="s">
        <v>1852</v>
      </c>
      <c r="P18" s="56" t="s">
        <v>1797</v>
      </c>
    </row>
    <row r="19" spans="1:16" s="208" customFormat="1" ht="16.5" customHeight="1" outlineLevel="2">
      <c r="A19" s="231" t="s">
        <v>333</v>
      </c>
      <c r="B19" s="232" t="s">
        <v>334</v>
      </c>
      <c r="C19" s="50" t="s">
        <v>1810</v>
      </c>
      <c r="D19" s="50" t="s">
        <v>1853</v>
      </c>
      <c r="E19" s="50" t="s">
        <v>1803</v>
      </c>
      <c r="F19" s="50" t="s">
        <v>1854</v>
      </c>
      <c r="G19" s="50" t="s">
        <v>1803</v>
      </c>
      <c r="H19" s="50" t="s">
        <v>1803</v>
      </c>
      <c r="I19" s="50" t="s">
        <v>1803</v>
      </c>
      <c r="J19" s="50" t="s">
        <v>1810</v>
      </c>
      <c r="K19" s="56" t="s">
        <v>1797</v>
      </c>
      <c r="L19" s="50" t="s">
        <v>1803</v>
      </c>
      <c r="M19" s="56" t="s">
        <v>1797</v>
      </c>
      <c r="N19" s="50" t="s">
        <v>1855</v>
      </c>
      <c r="O19" s="50" t="s">
        <v>1856</v>
      </c>
      <c r="P19" s="56" t="s">
        <v>1797</v>
      </c>
    </row>
    <row r="20" spans="1:16" s="208" customFormat="1" ht="16.5" customHeight="1" outlineLevel="2">
      <c r="A20" s="231" t="s">
        <v>335</v>
      </c>
      <c r="B20" s="232" t="s">
        <v>192</v>
      </c>
      <c r="C20" s="50" t="s">
        <v>1810</v>
      </c>
      <c r="D20" s="50" t="s">
        <v>1857</v>
      </c>
      <c r="E20" s="50" t="s">
        <v>1803</v>
      </c>
      <c r="F20" s="50" t="s">
        <v>1858</v>
      </c>
      <c r="G20" s="50" t="s">
        <v>1803</v>
      </c>
      <c r="H20" s="50" t="s">
        <v>1803</v>
      </c>
      <c r="I20" s="50" t="s">
        <v>1803</v>
      </c>
      <c r="J20" s="50" t="s">
        <v>1810</v>
      </c>
      <c r="K20" s="56" t="s">
        <v>1797</v>
      </c>
      <c r="L20" s="50" t="s">
        <v>1803</v>
      </c>
      <c r="M20" s="56" t="s">
        <v>1797</v>
      </c>
      <c r="N20" s="50" t="s">
        <v>1810</v>
      </c>
      <c r="O20" s="50" t="s">
        <v>1810</v>
      </c>
      <c r="P20" s="56" t="s">
        <v>1797</v>
      </c>
    </row>
    <row r="21" spans="1:16" s="208" customFormat="1" ht="16.5" customHeight="1" outlineLevel="1">
      <c r="A21" s="228">
        <v>2.2000000000000002</v>
      </c>
      <c r="B21" s="229" t="s">
        <v>187</v>
      </c>
      <c r="C21" s="49" t="s">
        <v>1837</v>
      </c>
      <c r="D21" s="49" t="s">
        <v>1838</v>
      </c>
      <c r="E21" s="49" t="s">
        <v>1839</v>
      </c>
      <c r="F21" s="49" t="s">
        <v>1840</v>
      </c>
      <c r="G21" s="49" t="s">
        <v>1841</v>
      </c>
      <c r="H21" s="49" t="s">
        <v>1840</v>
      </c>
      <c r="I21" s="49" t="s">
        <v>1841</v>
      </c>
      <c r="J21" s="49" t="s">
        <v>1842</v>
      </c>
      <c r="K21" s="54" t="s">
        <v>1797</v>
      </c>
      <c r="L21" s="49" t="s">
        <v>1843</v>
      </c>
      <c r="M21" s="54" t="s">
        <v>1797</v>
      </c>
      <c r="N21" s="49" t="s">
        <v>1844</v>
      </c>
      <c r="O21" s="49" t="s">
        <v>1845</v>
      </c>
      <c r="P21" s="54" t="s">
        <v>1797</v>
      </c>
    </row>
    <row r="22" spans="1:16" s="208" customFormat="1" ht="16.5" customHeight="1" outlineLevel="2">
      <c r="A22" s="231" t="s">
        <v>336</v>
      </c>
      <c r="B22" s="232" t="s">
        <v>337</v>
      </c>
      <c r="C22" s="50" t="s">
        <v>1859</v>
      </c>
      <c r="D22" s="50" t="s">
        <v>1860</v>
      </c>
      <c r="E22" s="50" t="s">
        <v>1803</v>
      </c>
      <c r="F22" s="50" t="s">
        <v>1861</v>
      </c>
      <c r="G22" s="50" t="s">
        <v>1803</v>
      </c>
      <c r="H22" s="50" t="s">
        <v>1803</v>
      </c>
      <c r="I22" s="50" t="s">
        <v>1803</v>
      </c>
      <c r="J22" s="50" t="s">
        <v>1789</v>
      </c>
      <c r="K22" s="56" t="s">
        <v>1797</v>
      </c>
      <c r="L22" s="50" t="s">
        <v>1803</v>
      </c>
      <c r="M22" s="56" t="s">
        <v>1797</v>
      </c>
      <c r="N22" s="50" t="s">
        <v>1862</v>
      </c>
      <c r="O22" s="50" t="s">
        <v>1863</v>
      </c>
      <c r="P22" s="56" t="s">
        <v>1797</v>
      </c>
    </row>
    <row r="23" spans="1:16" s="208" customFormat="1" ht="16.5" customHeight="1" outlineLevel="2">
      <c r="A23" s="231" t="s">
        <v>338</v>
      </c>
      <c r="B23" s="232" t="s">
        <v>339</v>
      </c>
      <c r="C23" s="50" t="s">
        <v>1864</v>
      </c>
      <c r="D23" s="50" t="s">
        <v>1865</v>
      </c>
      <c r="E23" s="50" t="s">
        <v>1803</v>
      </c>
      <c r="F23" s="50" t="s">
        <v>1866</v>
      </c>
      <c r="G23" s="50" t="s">
        <v>1803</v>
      </c>
      <c r="H23" s="50" t="s">
        <v>1803</v>
      </c>
      <c r="I23" s="50" t="s">
        <v>1803</v>
      </c>
      <c r="J23" s="50" t="s">
        <v>1810</v>
      </c>
      <c r="K23" s="56" t="s">
        <v>1797</v>
      </c>
      <c r="L23" s="50" t="s">
        <v>1803</v>
      </c>
      <c r="M23" s="56" t="s">
        <v>1797</v>
      </c>
      <c r="N23" s="50" t="s">
        <v>1867</v>
      </c>
      <c r="O23" s="50" t="s">
        <v>1868</v>
      </c>
      <c r="P23" s="56" t="s">
        <v>1797</v>
      </c>
    </row>
    <row r="24" spans="1:16" s="208" customFormat="1" ht="16.5" customHeight="1" outlineLevel="2">
      <c r="A24" s="231" t="s">
        <v>341</v>
      </c>
      <c r="B24" s="232" t="s">
        <v>342</v>
      </c>
      <c r="C24" s="50" t="s">
        <v>1810</v>
      </c>
      <c r="D24" s="50" t="s">
        <v>1869</v>
      </c>
      <c r="E24" s="50" t="s">
        <v>1803</v>
      </c>
      <c r="F24" s="50" t="s">
        <v>1870</v>
      </c>
      <c r="G24" s="50" t="s">
        <v>1803</v>
      </c>
      <c r="H24" s="50" t="s">
        <v>1803</v>
      </c>
      <c r="I24" s="50" t="s">
        <v>1803</v>
      </c>
      <c r="J24" s="50" t="s">
        <v>1810</v>
      </c>
      <c r="K24" s="56" t="s">
        <v>1797</v>
      </c>
      <c r="L24" s="50" t="s">
        <v>1803</v>
      </c>
      <c r="M24" s="56" t="s">
        <v>1797</v>
      </c>
      <c r="N24" s="50" t="s">
        <v>1810</v>
      </c>
      <c r="O24" s="50" t="s">
        <v>1810</v>
      </c>
      <c r="P24" s="56" t="s">
        <v>1797</v>
      </c>
    </row>
    <row r="25" spans="1:16" s="208" customFormat="1" ht="16.5" customHeight="1" outlineLevel="2">
      <c r="A25" s="231" t="s">
        <v>343</v>
      </c>
      <c r="B25" s="232" t="s">
        <v>188</v>
      </c>
      <c r="C25" s="50" t="s">
        <v>1810</v>
      </c>
      <c r="D25" s="50" t="s">
        <v>1871</v>
      </c>
      <c r="E25" s="50" t="s">
        <v>1803</v>
      </c>
      <c r="F25" s="50" t="s">
        <v>1872</v>
      </c>
      <c r="G25" s="50" t="s">
        <v>1803</v>
      </c>
      <c r="H25" s="50" t="s">
        <v>1803</v>
      </c>
      <c r="I25" s="50" t="s">
        <v>1803</v>
      </c>
      <c r="J25" s="50" t="s">
        <v>1810</v>
      </c>
      <c r="K25" s="56" t="s">
        <v>1797</v>
      </c>
      <c r="L25" s="50" t="s">
        <v>1803</v>
      </c>
      <c r="M25" s="56" t="s">
        <v>1797</v>
      </c>
      <c r="N25" s="50" t="s">
        <v>1810</v>
      </c>
      <c r="O25" s="50" t="s">
        <v>1810</v>
      </c>
      <c r="P25" s="56" t="s">
        <v>1797</v>
      </c>
    </row>
    <row r="26" spans="1:16" s="208" customFormat="1" ht="16.5" customHeight="1" outlineLevel="2">
      <c r="A26" s="231" t="s">
        <v>344</v>
      </c>
      <c r="B26" s="232" t="s">
        <v>345</v>
      </c>
      <c r="C26" s="50" t="s">
        <v>1810</v>
      </c>
      <c r="D26" s="50" t="s">
        <v>1873</v>
      </c>
      <c r="E26" s="50" t="s">
        <v>1803</v>
      </c>
      <c r="F26" s="50" t="s">
        <v>1874</v>
      </c>
      <c r="G26" s="50" t="s">
        <v>1803</v>
      </c>
      <c r="H26" s="50" t="s">
        <v>1803</v>
      </c>
      <c r="I26" s="50" t="s">
        <v>1803</v>
      </c>
      <c r="J26" s="50" t="s">
        <v>1810</v>
      </c>
      <c r="K26" s="56" t="s">
        <v>1797</v>
      </c>
      <c r="L26" s="50" t="s">
        <v>1803</v>
      </c>
      <c r="M26" s="56" t="s">
        <v>1797</v>
      </c>
      <c r="N26" s="50" t="s">
        <v>1810</v>
      </c>
      <c r="O26" s="50" t="s">
        <v>1810</v>
      </c>
      <c r="P26" s="56" t="s">
        <v>1797</v>
      </c>
    </row>
    <row r="27" spans="1:16" s="208" customFormat="1" ht="16.5" customHeight="1" outlineLevel="2">
      <c r="A27" s="231" t="s">
        <v>347</v>
      </c>
      <c r="B27" s="232" t="s">
        <v>193</v>
      </c>
      <c r="C27" s="50" t="s">
        <v>1810</v>
      </c>
      <c r="D27" s="50" t="s">
        <v>1875</v>
      </c>
      <c r="E27" s="50" t="s">
        <v>1803</v>
      </c>
      <c r="F27" s="50" t="s">
        <v>1876</v>
      </c>
      <c r="G27" s="50" t="s">
        <v>1803</v>
      </c>
      <c r="H27" s="50" t="s">
        <v>1803</v>
      </c>
      <c r="I27" s="50" t="s">
        <v>1803</v>
      </c>
      <c r="J27" s="50" t="s">
        <v>1810</v>
      </c>
      <c r="K27" s="56" t="s">
        <v>1797</v>
      </c>
      <c r="L27" s="50" t="s">
        <v>1877</v>
      </c>
      <c r="M27" s="56" t="s">
        <v>1797</v>
      </c>
      <c r="N27" s="50" t="s">
        <v>1810</v>
      </c>
      <c r="O27" s="50" t="s">
        <v>1810</v>
      </c>
      <c r="P27" s="56" t="s">
        <v>1797</v>
      </c>
    </row>
    <row r="28" spans="1:16" s="208" customFormat="1" ht="16.5" customHeight="1" outlineLevel="1">
      <c r="A28" s="228">
        <v>2.2999999999999998</v>
      </c>
      <c r="B28" s="229" t="s">
        <v>348</v>
      </c>
      <c r="C28" s="49" t="s">
        <v>1837</v>
      </c>
      <c r="D28" s="49" t="s">
        <v>1838</v>
      </c>
      <c r="E28" s="49" t="s">
        <v>1839</v>
      </c>
      <c r="F28" s="49" t="s">
        <v>1840</v>
      </c>
      <c r="G28" s="49" t="s">
        <v>1841</v>
      </c>
      <c r="H28" s="49" t="s">
        <v>1840</v>
      </c>
      <c r="I28" s="49" t="s">
        <v>1841</v>
      </c>
      <c r="J28" s="49" t="s">
        <v>1842</v>
      </c>
      <c r="K28" s="54" t="s">
        <v>1797</v>
      </c>
      <c r="L28" s="49" t="s">
        <v>1843</v>
      </c>
      <c r="M28" s="54" t="s">
        <v>1797</v>
      </c>
      <c r="N28" s="49" t="s">
        <v>1844</v>
      </c>
      <c r="O28" s="49" t="s">
        <v>1845</v>
      </c>
      <c r="P28" s="54" t="s">
        <v>1797</v>
      </c>
    </row>
    <row r="29" spans="1:16" s="208" customFormat="1" ht="16.5" customHeight="1" outlineLevel="2">
      <c r="A29" s="231" t="s">
        <v>349</v>
      </c>
      <c r="B29" s="232" t="s">
        <v>350</v>
      </c>
      <c r="C29" s="50" t="s">
        <v>1878</v>
      </c>
      <c r="D29" s="50" t="s">
        <v>1879</v>
      </c>
      <c r="E29" s="50" t="s">
        <v>1803</v>
      </c>
      <c r="F29" s="50" t="s">
        <v>1880</v>
      </c>
      <c r="G29" s="50" t="s">
        <v>1803</v>
      </c>
      <c r="H29" s="50" t="s">
        <v>1803</v>
      </c>
      <c r="I29" s="50" t="s">
        <v>1803</v>
      </c>
      <c r="J29" s="50" t="s">
        <v>1789</v>
      </c>
      <c r="K29" s="56" t="s">
        <v>1797</v>
      </c>
      <c r="L29" s="50" t="s">
        <v>1803</v>
      </c>
      <c r="M29" s="56" t="s">
        <v>1797</v>
      </c>
      <c r="N29" s="50" t="s">
        <v>1881</v>
      </c>
      <c r="O29" s="50" t="s">
        <v>1882</v>
      </c>
      <c r="P29" s="56" t="s">
        <v>1797</v>
      </c>
    </row>
    <row r="30" spans="1:16" s="208" customFormat="1" ht="16.5" customHeight="1" outlineLevel="2">
      <c r="A30" s="231" t="s">
        <v>352</v>
      </c>
      <c r="B30" s="232" t="s">
        <v>353</v>
      </c>
      <c r="C30" s="50" t="s">
        <v>1883</v>
      </c>
      <c r="D30" s="50" t="s">
        <v>1884</v>
      </c>
      <c r="E30" s="50" t="s">
        <v>1803</v>
      </c>
      <c r="F30" s="50" t="s">
        <v>1885</v>
      </c>
      <c r="G30" s="50" t="s">
        <v>1803</v>
      </c>
      <c r="H30" s="50" t="s">
        <v>1803</v>
      </c>
      <c r="I30" s="50" t="s">
        <v>1803</v>
      </c>
      <c r="J30" s="50" t="s">
        <v>1810</v>
      </c>
      <c r="K30" s="56" t="s">
        <v>1797</v>
      </c>
      <c r="L30" s="50" t="s">
        <v>1803</v>
      </c>
      <c r="M30" s="56" t="s">
        <v>1797</v>
      </c>
      <c r="N30" s="50" t="s">
        <v>1886</v>
      </c>
      <c r="O30" s="50" t="s">
        <v>1887</v>
      </c>
      <c r="P30" s="56" t="s">
        <v>1797</v>
      </c>
    </row>
    <row r="31" spans="1:16" s="208" customFormat="1" ht="16.5" customHeight="1" outlineLevel="2">
      <c r="A31" s="231" t="s">
        <v>354</v>
      </c>
      <c r="B31" s="232" t="s">
        <v>355</v>
      </c>
      <c r="C31" s="50" t="s">
        <v>1810</v>
      </c>
      <c r="D31" s="50" t="s">
        <v>1888</v>
      </c>
      <c r="E31" s="50" t="s">
        <v>1803</v>
      </c>
      <c r="F31" s="50" t="s">
        <v>1889</v>
      </c>
      <c r="G31" s="50" t="s">
        <v>1803</v>
      </c>
      <c r="H31" s="50" t="s">
        <v>1803</v>
      </c>
      <c r="I31" s="50" t="s">
        <v>1803</v>
      </c>
      <c r="J31" s="50" t="s">
        <v>1810</v>
      </c>
      <c r="K31" s="56" t="s">
        <v>1797</v>
      </c>
      <c r="L31" s="50" t="s">
        <v>1803</v>
      </c>
      <c r="M31" s="56" t="s">
        <v>1797</v>
      </c>
      <c r="N31" s="50" t="s">
        <v>1810</v>
      </c>
      <c r="O31" s="50" t="s">
        <v>1810</v>
      </c>
      <c r="P31" s="56" t="s">
        <v>1797</v>
      </c>
    </row>
    <row r="32" spans="1:16" s="208" customFormat="1" ht="16.5" customHeight="1" outlineLevel="2">
      <c r="A32" s="231" t="s">
        <v>356</v>
      </c>
      <c r="B32" s="232" t="s">
        <v>357</v>
      </c>
      <c r="C32" s="50" t="s">
        <v>1810</v>
      </c>
      <c r="D32" s="50" t="s">
        <v>1890</v>
      </c>
      <c r="E32" s="50" t="s">
        <v>1803</v>
      </c>
      <c r="F32" s="50" t="s">
        <v>1891</v>
      </c>
      <c r="G32" s="50" t="s">
        <v>1803</v>
      </c>
      <c r="H32" s="50" t="s">
        <v>1803</v>
      </c>
      <c r="I32" s="50" t="s">
        <v>1803</v>
      </c>
      <c r="J32" s="50" t="s">
        <v>1810</v>
      </c>
      <c r="K32" s="56" t="s">
        <v>1797</v>
      </c>
      <c r="L32" s="50" t="s">
        <v>1803</v>
      </c>
      <c r="M32" s="56" t="s">
        <v>1797</v>
      </c>
      <c r="N32" s="50" t="s">
        <v>1810</v>
      </c>
      <c r="O32" s="50" t="s">
        <v>1810</v>
      </c>
      <c r="P32" s="56" t="s">
        <v>1797</v>
      </c>
    </row>
    <row r="33" spans="1:16" s="208" customFormat="1" ht="16.5" customHeight="1" outlineLevel="2">
      <c r="A33" s="231" t="s">
        <v>358</v>
      </c>
      <c r="B33" s="232" t="s">
        <v>359</v>
      </c>
      <c r="C33" s="50" t="s">
        <v>1810</v>
      </c>
      <c r="D33" s="50" t="s">
        <v>1892</v>
      </c>
      <c r="E33" s="50" t="s">
        <v>1803</v>
      </c>
      <c r="F33" s="50" t="s">
        <v>1893</v>
      </c>
      <c r="G33" s="50" t="s">
        <v>1803</v>
      </c>
      <c r="H33" s="50" t="s">
        <v>1803</v>
      </c>
      <c r="I33" s="50" t="s">
        <v>1803</v>
      </c>
      <c r="J33" s="50" t="s">
        <v>1810</v>
      </c>
      <c r="K33" s="56" t="s">
        <v>1797</v>
      </c>
      <c r="L33" s="50" t="s">
        <v>1894</v>
      </c>
      <c r="M33" s="56" t="s">
        <v>1797</v>
      </c>
      <c r="N33" s="50" t="s">
        <v>1810</v>
      </c>
      <c r="O33" s="50" t="s">
        <v>1810</v>
      </c>
      <c r="P33" s="56" t="s">
        <v>1797</v>
      </c>
    </row>
    <row r="34" spans="1:16" s="208" customFormat="1" ht="16.5" customHeight="1" outlineLevel="2">
      <c r="A34" s="231" t="s">
        <v>360</v>
      </c>
      <c r="B34" s="232" t="s">
        <v>198</v>
      </c>
      <c r="C34" s="50" t="s">
        <v>1810</v>
      </c>
      <c r="D34" s="50" t="s">
        <v>1895</v>
      </c>
      <c r="E34" s="50" t="s">
        <v>1803</v>
      </c>
      <c r="F34" s="50" t="s">
        <v>1896</v>
      </c>
      <c r="G34" s="50" t="s">
        <v>1803</v>
      </c>
      <c r="H34" s="50" t="s">
        <v>1803</v>
      </c>
      <c r="I34" s="50" t="s">
        <v>1803</v>
      </c>
      <c r="J34" s="50" t="s">
        <v>1810</v>
      </c>
      <c r="K34" s="56" t="s">
        <v>1797</v>
      </c>
      <c r="L34" s="50" t="s">
        <v>890</v>
      </c>
      <c r="M34" s="56" t="s">
        <v>1797</v>
      </c>
      <c r="N34" s="50" t="s">
        <v>1810</v>
      </c>
      <c r="O34" s="50" t="s">
        <v>1810</v>
      </c>
      <c r="P34" s="56" t="s">
        <v>1797</v>
      </c>
    </row>
    <row r="35" spans="1:16" s="208" customFormat="1" ht="16.5" customHeight="1" outlineLevel="2">
      <c r="A35" s="231" t="s">
        <v>361</v>
      </c>
      <c r="B35" s="232" t="s">
        <v>362</v>
      </c>
      <c r="C35" s="50" t="s">
        <v>1810</v>
      </c>
      <c r="D35" s="50" t="s">
        <v>1897</v>
      </c>
      <c r="E35" s="50" t="s">
        <v>1803</v>
      </c>
      <c r="F35" s="50" t="s">
        <v>1898</v>
      </c>
      <c r="G35" s="50" t="s">
        <v>1803</v>
      </c>
      <c r="H35" s="50" t="s">
        <v>1803</v>
      </c>
      <c r="I35" s="50" t="s">
        <v>1803</v>
      </c>
      <c r="J35" s="50" t="s">
        <v>1810</v>
      </c>
      <c r="K35" s="56" t="s">
        <v>1797</v>
      </c>
      <c r="L35" s="50" t="s">
        <v>890</v>
      </c>
      <c r="M35" s="56" t="s">
        <v>1797</v>
      </c>
      <c r="N35" s="50" t="s">
        <v>1810</v>
      </c>
      <c r="O35" s="50" t="s">
        <v>1810</v>
      </c>
      <c r="P35" s="56" t="s">
        <v>1797</v>
      </c>
    </row>
    <row r="36" spans="1:16" s="208" customFormat="1" ht="16.5" customHeight="1" outlineLevel="1">
      <c r="A36" s="228">
        <v>2.4</v>
      </c>
      <c r="B36" s="229" t="s">
        <v>363</v>
      </c>
      <c r="C36" s="49" t="s">
        <v>1837</v>
      </c>
      <c r="D36" s="49" t="s">
        <v>1838</v>
      </c>
      <c r="E36" s="49" t="s">
        <v>1839</v>
      </c>
      <c r="F36" s="49" t="s">
        <v>1840</v>
      </c>
      <c r="G36" s="49" t="s">
        <v>1841</v>
      </c>
      <c r="H36" s="49" t="s">
        <v>1840</v>
      </c>
      <c r="I36" s="49" t="s">
        <v>1841</v>
      </c>
      <c r="J36" s="49" t="s">
        <v>1842</v>
      </c>
      <c r="K36" s="54" t="s">
        <v>1797</v>
      </c>
      <c r="L36" s="49" t="s">
        <v>1843</v>
      </c>
      <c r="M36" s="54" t="s">
        <v>1797</v>
      </c>
      <c r="N36" s="49" t="s">
        <v>1844</v>
      </c>
      <c r="O36" s="49" t="s">
        <v>1845</v>
      </c>
      <c r="P36" s="54" t="s">
        <v>1797</v>
      </c>
    </row>
    <row r="37" spans="1:16" s="208" customFormat="1" ht="16.5" customHeight="1" outlineLevel="2">
      <c r="A37" s="231" t="s">
        <v>364</v>
      </c>
      <c r="B37" s="232" t="s">
        <v>365</v>
      </c>
      <c r="C37" s="50" t="s">
        <v>1899</v>
      </c>
      <c r="D37" s="50" t="s">
        <v>1900</v>
      </c>
      <c r="E37" s="50" t="s">
        <v>1803</v>
      </c>
      <c r="F37" s="50" t="s">
        <v>1901</v>
      </c>
      <c r="G37" s="50" t="s">
        <v>1803</v>
      </c>
      <c r="H37" s="50" t="s">
        <v>1803</v>
      </c>
      <c r="I37" s="50" t="s">
        <v>1803</v>
      </c>
      <c r="J37" s="50" t="s">
        <v>1789</v>
      </c>
      <c r="K37" s="56" t="s">
        <v>1797</v>
      </c>
      <c r="L37" s="50" t="s">
        <v>1803</v>
      </c>
      <c r="M37" s="56" t="s">
        <v>1797</v>
      </c>
      <c r="N37" s="50" t="s">
        <v>1902</v>
      </c>
      <c r="O37" s="50" t="s">
        <v>1903</v>
      </c>
      <c r="P37" s="56" t="s">
        <v>1797</v>
      </c>
    </row>
    <row r="38" spans="1:16" s="208" customFormat="1" ht="16.5" customHeight="1" outlineLevel="2">
      <c r="A38" s="231" t="s">
        <v>366</v>
      </c>
      <c r="B38" s="232" t="s">
        <v>367</v>
      </c>
      <c r="C38" s="50" t="s">
        <v>1904</v>
      </c>
      <c r="D38" s="50" t="s">
        <v>1905</v>
      </c>
      <c r="E38" s="50" t="s">
        <v>1803</v>
      </c>
      <c r="F38" s="50" t="s">
        <v>1906</v>
      </c>
      <c r="G38" s="50" t="s">
        <v>1803</v>
      </c>
      <c r="H38" s="50" t="s">
        <v>1803</v>
      </c>
      <c r="I38" s="50" t="s">
        <v>1803</v>
      </c>
      <c r="J38" s="50" t="s">
        <v>1810</v>
      </c>
      <c r="K38" s="56" t="s">
        <v>1797</v>
      </c>
      <c r="L38" s="50" t="s">
        <v>1803</v>
      </c>
      <c r="M38" s="56" t="s">
        <v>1797</v>
      </c>
      <c r="N38" s="50" t="s">
        <v>1907</v>
      </c>
      <c r="O38" s="50" t="s">
        <v>1908</v>
      </c>
      <c r="P38" s="56" t="s">
        <v>1797</v>
      </c>
    </row>
    <row r="39" spans="1:16" s="208" customFormat="1" ht="16.5" customHeight="1" outlineLevel="2">
      <c r="A39" s="231" t="s">
        <v>368</v>
      </c>
      <c r="B39" s="232" t="s">
        <v>369</v>
      </c>
      <c r="C39" s="50" t="s">
        <v>1810</v>
      </c>
      <c r="D39" s="50" t="s">
        <v>1909</v>
      </c>
      <c r="E39" s="50" t="s">
        <v>1803</v>
      </c>
      <c r="F39" s="50" t="s">
        <v>1910</v>
      </c>
      <c r="G39" s="50" t="s">
        <v>1803</v>
      </c>
      <c r="H39" s="50" t="s">
        <v>1803</v>
      </c>
      <c r="I39" s="50" t="s">
        <v>1803</v>
      </c>
      <c r="J39" s="50" t="s">
        <v>1810</v>
      </c>
      <c r="K39" s="56" t="s">
        <v>1797</v>
      </c>
      <c r="L39" s="50" t="s">
        <v>1911</v>
      </c>
      <c r="M39" s="56" t="s">
        <v>1797</v>
      </c>
      <c r="N39" s="50" t="s">
        <v>1810</v>
      </c>
      <c r="O39" s="50" t="s">
        <v>1810</v>
      </c>
      <c r="P39" s="56" t="s">
        <v>1797</v>
      </c>
    </row>
    <row r="40" spans="1:16" s="208" customFormat="1" ht="16.5" customHeight="1" outlineLevel="2">
      <c r="A40" s="231" t="s">
        <v>370</v>
      </c>
      <c r="B40" s="232" t="s">
        <v>371</v>
      </c>
      <c r="C40" s="50" t="s">
        <v>1810</v>
      </c>
      <c r="D40" s="50" t="s">
        <v>1912</v>
      </c>
      <c r="E40" s="50" t="s">
        <v>1803</v>
      </c>
      <c r="F40" s="50" t="s">
        <v>1913</v>
      </c>
      <c r="G40" s="50" t="s">
        <v>1803</v>
      </c>
      <c r="H40" s="50" t="s">
        <v>1803</v>
      </c>
      <c r="I40" s="50" t="s">
        <v>1803</v>
      </c>
      <c r="J40" s="50" t="s">
        <v>1810</v>
      </c>
      <c r="K40" s="56" t="s">
        <v>1797</v>
      </c>
      <c r="L40" s="50" t="s">
        <v>1914</v>
      </c>
      <c r="M40" s="56" t="s">
        <v>1797</v>
      </c>
      <c r="N40" s="50" t="s">
        <v>1810</v>
      </c>
      <c r="O40" s="50" t="s">
        <v>1810</v>
      </c>
      <c r="P40" s="56" t="s">
        <v>1797</v>
      </c>
    </row>
    <row r="41" spans="1:16" s="208" customFormat="1" ht="16.5" customHeight="1" outlineLevel="1">
      <c r="A41" s="228">
        <v>2.5</v>
      </c>
      <c r="B41" s="229" t="s">
        <v>372</v>
      </c>
      <c r="C41" s="49" t="s">
        <v>1837</v>
      </c>
      <c r="D41" s="49" t="s">
        <v>1838</v>
      </c>
      <c r="E41" s="49" t="s">
        <v>1839</v>
      </c>
      <c r="F41" s="49" t="s">
        <v>1840</v>
      </c>
      <c r="G41" s="49" t="s">
        <v>1841</v>
      </c>
      <c r="H41" s="49" t="s">
        <v>1840</v>
      </c>
      <c r="I41" s="49" t="s">
        <v>1841</v>
      </c>
      <c r="J41" s="49" t="s">
        <v>1842</v>
      </c>
      <c r="K41" s="54" t="s">
        <v>1797</v>
      </c>
      <c r="L41" s="49" t="s">
        <v>1843</v>
      </c>
      <c r="M41" s="54" t="s">
        <v>1797</v>
      </c>
      <c r="N41" s="49" t="s">
        <v>1844</v>
      </c>
      <c r="O41" s="49" t="s">
        <v>1845</v>
      </c>
      <c r="P41" s="54" t="s">
        <v>1797</v>
      </c>
    </row>
    <row r="42" spans="1:16" s="208" customFormat="1" ht="16.5" customHeight="1" outlineLevel="2">
      <c r="A42" s="231" t="s">
        <v>373</v>
      </c>
      <c r="B42" s="232" t="s">
        <v>1915</v>
      </c>
      <c r="C42" s="50" t="s">
        <v>1916</v>
      </c>
      <c r="D42" s="50" t="s">
        <v>1917</v>
      </c>
      <c r="E42" s="50" t="s">
        <v>1803</v>
      </c>
      <c r="F42" s="50" t="s">
        <v>1918</v>
      </c>
      <c r="G42" s="50" t="s">
        <v>1803</v>
      </c>
      <c r="H42" s="50" t="s">
        <v>1803</v>
      </c>
      <c r="I42" s="50" t="s">
        <v>1803</v>
      </c>
      <c r="J42" s="50" t="s">
        <v>1789</v>
      </c>
      <c r="K42" s="56" t="s">
        <v>1797</v>
      </c>
      <c r="L42" s="50" t="s">
        <v>1803</v>
      </c>
      <c r="M42" s="56" t="s">
        <v>1797</v>
      </c>
      <c r="N42" s="50" t="s">
        <v>1919</v>
      </c>
      <c r="O42" s="50" t="s">
        <v>1920</v>
      </c>
      <c r="P42" s="56" t="s">
        <v>1797</v>
      </c>
    </row>
    <row r="43" spans="1:16" s="208" customFormat="1" ht="16.5" customHeight="1" outlineLevel="2">
      <c r="A43" s="231" t="s">
        <v>374</v>
      </c>
      <c r="B43" s="232" t="s">
        <v>375</v>
      </c>
      <c r="C43" s="50" t="s">
        <v>1921</v>
      </c>
      <c r="D43" s="50" t="s">
        <v>1922</v>
      </c>
      <c r="E43" s="50" t="s">
        <v>1803</v>
      </c>
      <c r="F43" s="50" t="s">
        <v>1923</v>
      </c>
      <c r="G43" s="50" t="s">
        <v>1803</v>
      </c>
      <c r="H43" s="50" t="s">
        <v>1803</v>
      </c>
      <c r="I43" s="50" t="s">
        <v>1803</v>
      </c>
      <c r="J43" s="50" t="s">
        <v>1810</v>
      </c>
      <c r="K43" s="56" t="s">
        <v>1797</v>
      </c>
      <c r="L43" s="50" t="s">
        <v>1924</v>
      </c>
      <c r="M43" s="56" t="s">
        <v>1797</v>
      </c>
      <c r="N43" s="50" t="s">
        <v>1925</v>
      </c>
      <c r="O43" s="50" t="s">
        <v>1926</v>
      </c>
      <c r="P43" s="56" t="s">
        <v>1797</v>
      </c>
    </row>
    <row r="44" spans="1:16" s="208" customFormat="1" ht="16.5" customHeight="1" outlineLevel="2">
      <c r="A44" s="231" t="s">
        <v>376</v>
      </c>
      <c r="B44" s="232" t="s">
        <v>377</v>
      </c>
      <c r="C44" s="50" t="s">
        <v>1810</v>
      </c>
      <c r="D44" s="50" t="s">
        <v>1927</v>
      </c>
      <c r="E44" s="50" t="s">
        <v>1803</v>
      </c>
      <c r="F44" s="50" t="s">
        <v>1928</v>
      </c>
      <c r="G44" s="50" t="s">
        <v>1803</v>
      </c>
      <c r="H44" s="50" t="s">
        <v>1803</v>
      </c>
      <c r="I44" s="50" t="s">
        <v>1803</v>
      </c>
      <c r="J44" s="50" t="s">
        <v>1810</v>
      </c>
      <c r="K44" s="56" t="s">
        <v>1797</v>
      </c>
      <c r="L44" s="50" t="s">
        <v>1803</v>
      </c>
      <c r="M44" s="56" t="s">
        <v>1797</v>
      </c>
      <c r="N44" s="50" t="s">
        <v>1810</v>
      </c>
      <c r="O44" s="50" t="s">
        <v>1810</v>
      </c>
      <c r="P44" s="56" t="s">
        <v>1797</v>
      </c>
    </row>
    <row r="45" spans="1:16" s="208" customFormat="1" ht="16.5" customHeight="1" outlineLevel="2">
      <c r="A45" s="231" t="s">
        <v>378</v>
      </c>
      <c r="B45" s="232" t="s">
        <v>379</v>
      </c>
      <c r="C45" s="50" t="s">
        <v>1810</v>
      </c>
      <c r="D45" s="50" t="s">
        <v>1929</v>
      </c>
      <c r="E45" s="50" t="s">
        <v>1803</v>
      </c>
      <c r="F45" s="50" t="s">
        <v>1930</v>
      </c>
      <c r="G45" s="50" t="s">
        <v>1803</v>
      </c>
      <c r="H45" s="50" t="s">
        <v>1803</v>
      </c>
      <c r="I45" s="50" t="s">
        <v>1803</v>
      </c>
      <c r="J45" s="50" t="s">
        <v>1810</v>
      </c>
      <c r="K45" s="56" t="s">
        <v>1797</v>
      </c>
      <c r="L45" s="50" t="s">
        <v>1803</v>
      </c>
      <c r="M45" s="56" t="s">
        <v>1797</v>
      </c>
      <c r="N45" s="50" t="s">
        <v>1810</v>
      </c>
      <c r="O45" s="50" t="s">
        <v>1810</v>
      </c>
      <c r="P45" s="56" t="s">
        <v>1797</v>
      </c>
    </row>
    <row r="46" spans="1:16" s="208" customFormat="1" ht="16.5" customHeight="1" outlineLevel="2">
      <c r="A46" s="231" t="s">
        <v>380</v>
      </c>
      <c r="B46" s="52" t="s">
        <v>381</v>
      </c>
      <c r="C46" s="50" t="s">
        <v>1810</v>
      </c>
      <c r="D46" s="50" t="s">
        <v>1803</v>
      </c>
      <c r="E46" s="50" t="s">
        <v>1803</v>
      </c>
      <c r="F46" s="50" t="s">
        <v>1803</v>
      </c>
      <c r="G46" s="50" t="s">
        <v>1803</v>
      </c>
      <c r="H46" s="50" t="s">
        <v>1803</v>
      </c>
      <c r="I46" s="50" t="s">
        <v>1803</v>
      </c>
      <c r="J46" s="50" t="s">
        <v>1810</v>
      </c>
      <c r="K46" s="56" t="s">
        <v>1797</v>
      </c>
      <c r="L46" s="50" t="s">
        <v>1803</v>
      </c>
      <c r="M46" s="56" t="s">
        <v>1797</v>
      </c>
      <c r="N46" s="50" t="s">
        <v>1810</v>
      </c>
      <c r="O46" s="50" t="s">
        <v>1810</v>
      </c>
      <c r="P46" s="56" t="s">
        <v>1797</v>
      </c>
    </row>
    <row r="47" spans="1:16" s="208" customFormat="1" ht="16.5" customHeight="1" outlineLevel="2">
      <c r="A47" s="231" t="s">
        <v>382</v>
      </c>
      <c r="B47" s="52" t="s">
        <v>383</v>
      </c>
      <c r="C47" s="50" t="s">
        <v>1810</v>
      </c>
      <c r="D47" s="50" t="s">
        <v>1803</v>
      </c>
      <c r="E47" s="50" t="s">
        <v>1803</v>
      </c>
      <c r="F47" s="50" t="s">
        <v>1803</v>
      </c>
      <c r="G47" s="50" t="s">
        <v>1803</v>
      </c>
      <c r="H47" s="50" t="s">
        <v>1803</v>
      </c>
      <c r="I47" s="50" t="s">
        <v>1803</v>
      </c>
      <c r="J47" s="50" t="s">
        <v>1810</v>
      </c>
      <c r="K47" s="56" t="s">
        <v>1797</v>
      </c>
      <c r="L47" s="50" t="s">
        <v>1803</v>
      </c>
      <c r="M47" s="56" t="s">
        <v>1797</v>
      </c>
      <c r="N47" s="50" t="s">
        <v>1810</v>
      </c>
      <c r="O47" s="50" t="s">
        <v>1810</v>
      </c>
      <c r="P47" s="56" t="s">
        <v>1797</v>
      </c>
    </row>
    <row r="48" spans="1:16" s="208" customFormat="1" ht="16.5" customHeight="1" outlineLevel="1">
      <c r="A48" s="228">
        <v>2.6</v>
      </c>
      <c r="B48" s="229" t="s">
        <v>384</v>
      </c>
      <c r="C48" s="49" t="s">
        <v>1837</v>
      </c>
      <c r="D48" s="49" t="s">
        <v>1838</v>
      </c>
      <c r="E48" s="49" t="s">
        <v>1839</v>
      </c>
      <c r="F48" s="49" t="s">
        <v>1840</v>
      </c>
      <c r="G48" s="49" t="s">
        <v>1841</v>
      </c>
      <c r="H48" s="49" t="s">
        <v>1840</v>
      </c>
      <c r="I48" s="49" t="s">
        <v>1841</v>
      </c>
      <c r="J48" s="49" t="s">
        <v>1842</v>
      </c>
      <c r="K48" s="54" t="s">
        <v>1797</v>
      </c>
      <c r="L48" s="49" t="s">
        <v>1843</v>
      </c>
      <c r="M48" s="54" t="s">
        <v>1797</v>
      </c>
      <c r="N48" s="49" t="s">
        <v>1844</v>
      </c>
      <c r="O48" s="49" t="s">
        <v>1845</v>
      </c>
      <c r="P48" s="54" t="s">
        <v>1797</v>
      </c>
    </row>
    <row r="49" spans="1:16" s="208" customFormat="1" ht="16.5" customHeight="1" outlineLevel="2">
      <c r="A49" s="231" t="s">
        <v>385</v>
      </c>
      <c r="B49" s="232" t="s">
        <v>1931</v>
      </c>
      <c r="C49" s="50" t="s">
        <v>1932</v>
      </c>
      <c r="D49" s="50" t="s">
        <v>1933</v>
      </c>
      <c r="E49" s="50" t="s">
        <v>1803</v>
      </c>
      <c r="F49" s="50" t="s">
        <v>1934</v>
      </c>
      <c r="G49" s="50" t="s">
        <v>1803</v>
      </c>
      <c r="H49" s="50" t="s">
        <v>1803</v>
      </c>
      <c r="I49" s="50" t="s">
        <v>1803</v>
      </c>
      <c r="J49" s="50" t="s">
        <v>1789</v>
      </c>
      <c r="K49" s="56" t="s">
        <v>1797</v>
      </c>
      <c r="L49" s="50" t="s">
        <v>1803</v>
      </c>
      <c r="M49" s="56" t="s">
        <v>1797</v>
      </c>
      <c r="N49" s="50" t="s">
        <v>1935</v>
      </c>
      <c r="O49" s="50" t="s">
        <v>1936</v>
      </c>
      <c r="P49" s="56" t="s">
        <v>1797</v>
      </c>
    </row>
    <row r="50" spans="1:16" s="208" customFormat="1" ht="16.5" customHeight="1" outlineLevel="2">
      <c r="A50" s="231" t="s">
        <v>386</v>
      </c>
      <c r="B50" s="232" t="s">
        <v>195</v>
      </c>
      <c r="C50" s="50" t="s">
        <v>1937</v>
      </c>
      <c r="D50" s="50" t="s">
        <v>1938</v>
      </c>
      <c r="E50" s="50" t="s">
        <v>1803</v>
      </c>
      <c r="F50" s="50" t="s">
        <v>1939</v>
      </c>
      <c r="G50" s="50" t="s">
        <v>1803</v>
      </c>
      <c r="H50" s="50" t="s">
        <v>1803</v>
      </c>
      <c r="I50" s="50" t="s">
        <v>1803</v>
      </c>
      <c r="J50" s="50" t="s">
        <v>1810</v>
      </c>
      <c r="K50" s="56" t="s">
        <v>1797</v>
      </c>
      <c r="L50" s="50" t="s">
        <v>1940</v>
      </c>
      <c r="M50" s="56" t="s">
        <v>1797</v>
      </c>
      <c r="N50" s="50" t="s">
        <v>1941</v>
      </c>
      <c r="O50" s="50" t="s">
        <v>1942</v>
      </c>
      <c r="P50" s="56" t="s">
        <v>1797</v>
      </c>
    </row>
    <row r="51" spans="1:16" s="208" customFormat="1" ht="16.5" customHeight="1" outlineLevel="2">
      <c r="A51" s="231" t="s">
        <v>387</v>
      </c>
      <c r="B51" s="232" t="s">
        <v>388</v>
      </c>
      <c r="C51" s="50" t="s">
        <v>1810</v>
      </c>
      <c r="D51" s="50" t="s">
        <v>1943</v>
      </c>
      <c r="E51" s="50" t="s">
        <v>1803</v>
      </c>
      <c r="F51" s="50" t="s">
        <v>1944</v>
      </c>
      <c r="G51" s="50" t="s">
        <v>1803</v>
      </c>
      <c r="H51" s="50" t="s">
        <v>1803</v>
      </c>
      <c r="I51" s="50" t="s">
        <v>1803</v>
      </c>
      <c r="J51" s="50" t="s">
        <v>1810</v>
      </c>
      <c r="K51" s="56" t="s">
        <v>1797</v>
      </c>
      <c r="L51" s="50" t="s">
        <v>1803</v>
      </c>
      <c r="M51" s="56" t="s">
        <v>1797</v>
      </c>
      <c r="N51" s="50" t="s">
        <v>1810</v>
      </c>
      <c r="O51" s="50" t="s">
        <v>1810</v>
      </c>
      <c r="P51" s="56" t="s">
        <v>1797</v>
      </c>
    </row>
    <row r="52" spans="1:16" s="208" customFormat="1" ht="16.5" customHeight="1" outlineLevel="2">
      <c r="A52" s="231" t="s">
        <v>389</v>
      </c>
      <c r="B52" s="232" t="s">
        <v>390</v>
      </c>
      <c r="C52" s="50" t="s">
        <v>1810</v>
      </c>
      <c r="D52" s="50" t="s">
        <v>1945</v>
      </c>
      <c r="E52" s="50" t="s">
        <v>1803</v>
      </c>
      <c r="F52" s="50" t="s">
        <v>1946</v>
      </c>
      <c r="G52" s="50" t="s">
        <v>1803</v>
      </c>
      <c r="H52" s="50" t="s">
        <v>1803</v>
      </c>
      <c r="I52" s="50" t="s">
        <v>1803</v>
      </c>
      <c r="J52" s="50" t="s">
        <v>1810</v>
      </c>
      <c r="K52" s="56" t="s">
        <v>1797</v>
      </c>
      <c r="L52" s="50" t="s">
        <v>1803</v>
      </c>
      <c r="M52" s="56" t="s">
        <v>1797</v>
      </c>
      <c r="N52" s="50" t="s">
        <v>1810</v>
      </c>
      <c r="O52" s="50" t="s">
        <v>1810</v>
      </c>
      <c r="P52" s="56" t="s">
        <v>1797</v>
      </c>
    </row>
    <row r="53" spans="1:16" s="208" customFormat="1" ht="16.5" customHeight="1" outlineLevel="2">
      <c r="A53" s="231" t="s">
        <v>391</v>
      </c>
      <c r="B53" s="232" t="s">
        <v>392</v>
      </c>
      <c r="C53" s="50" t="s">
        <v>1810</v>
      </c>
      <c r="D53" s="50" t="s">
        <v>1947</v>
      </c>
      <c r="E53" s="50" t="s">
        <v>1803</v>
      </c>
      <c r="F53" s="50" t="s">
        <v>1948</v>
      </c>
      <c r="G53" s="50" t="s">
        <v>1803</v>
      </c>
      <c r="H53" s="50" t="s">
        <v>1803</v>
      </c>
      <c r="I53" s="50" t="s">
        <v>1803</v>
      </c>
      <c r="J53" s="50" t="s">
        <v>1810</v>
      </c>
      <c r="K53" s="56" t="s">
        <v>1797</v>
      </c>
      <c r="L53" s="50" t="s">
        <v>1803</v>
      </c>
      <c r="M53" s="56" t="s">
        <v>1797</v>
      </c>
      <c r="N53" s="50" t="s">
        <v>1810</v>
      </c>
      <c r="O53" s="50" t="s">
        <v>1810</v>
      </c>
      <c r="P53" s="56" t="s">
        <v>1797</v>
      </c>
    </row>
    <row r="54" spans="1:16" s="208" customFormat="1" ht="16.5" customHeight="1" outlineLevel="2">
      <c r="A54" s="231" t="s">
        <v>393</v>
      </c>
      <c r="B54" s="232" t="s">
        <v>394</v>
      </c>
      <c r="C54" s="50" t="s">
        <v>1810</v>
      </c>
      <c r="D54" s="50" t="s">
        <v>1949</v>
      </c>
      <c r="E54" s="50" t="s">
        <v>1803</v>
      </c>
      <c r="F54" s="50" t="s">
        <v>1950</v>
      </c>
      <c r="G54" s="50" t="s">
        <v>1803</v>
      </c>
      <c r="H54" s="50" t="s">
        <v>1803</v>
      </c>
      <c r="I54" s="50" t="s">
        <v>1803</v>
      </c>
      <c r="J54" s="50" t="s">
        <v>1810</v>
      </c>
      <c r="K54" s="56" t="s">
        <v>1797</v>
      </c>
      <c r="L54" s="50" t="s">
        <v>1951</v>
      </c>
      <c r="M54" s="56" t="s">
        <v>1797</v>
      </c>
      <c r="N54" s="50" t="s">
        <v>1810</v>
      </c>
      <c r="O54" s="50" t="s">
        <v>1810</v>
      </c>
      <c r="P54" s="56" t="s">
        <v>1797</v>
      </c>
    </row>
    <row r="55" spans="1:16" s="208" customFormat="1" ht="16.5" customHeight="1" outlineLevel="1">
      <c r="A55" s="228">
        <v>2.7</v>
      </c>
      <c r="B55" s="229" t="s">
        <v>395</v>
      </c>
      <c r="C55" s="49" t="s">
        <v>1837</v>
      </c>
      <c r="D55" s="49" t="s">
        <v>1838</v>
      </c>
      <c r="E55" s="49" t="s">
        <v>1839</v>
      </c>
      <c r="F55" s="49" t="s">
        <v>1840</v>
      </c>
      <c r="G55" s="49" t="s">
        <v>1841</v>
      </c>
      <c r="H55" s="49" t="s">
        <v>1840</v>
      </c>
      <c r="I55" s="49" t="s">
        <v>1841</v>
      </c>
      <c r="J55" s="49" t="s">
        <v>1842</v>
      </c>
      <c r="K55" s="54" t="s">
        <v>1797</v>
      </c>
      <c r="L55" s="49" t="s">
        <v>1843</v>
      </c>
      <c r="M55" s="54" t="s">
        <v>1797</v>
      </c>
      <c r="N55" s="49" t="s">
        <v>1844</v>
      </c>
      <c r="O55" s="49" t="s">
        <v>1845</v>
      </c>
      <c r="P55" s="54" t="s">
        <v>1797</v>
      </c>
    </row>
    <row r="56" spans="1:16" s="208" customFormat="1" ht="16.5" customHeight="1" outlineLevel="2">
      <c r="A56" s="231" t="s">
        <v>396</v>
      </c>
      <c r="B56" s="232" t="s">
        <v>190</v>
      </c>
      <c r="C56" s="50" t="s">
        <v>1952</v>
      </c>
      <c r="D56" s="50" t="s">
        <v>1953</v>
      </c>
      <c r="E56" s="50" t="s">
        <v>1803</v>
      </c>
      <c r="F56" s="50" t="s">
        <v>1954</v>
      </c>
      <c r="G56" s="50" t="s">
        <v>1803</v>
      </c>
      <c r="H56" s="50" t="s">
        <v>1803</v>
      </c>
      <c r="I56" s="50" t="s">
        <v>1803</v>
      </c>
      <c r="J56" s="50" t="s">
        <v>1789</v>
      </c>
      <c r="K56" s="56" t="s">
        <v>1797</v>
      </c>
      <c r="L56" s="50" t="s">
        <v>1955</v>
      </c>
      <c r="M56" s="56" t="s">
        <v>1797</v>
      </c>
      <c r="N56" s="50" t="s">
        <v>1956</v>
      </c>
      <c r="O56" s="50" t="s">
        <v>1957</v>
      </c>
      <c r="P56" s="56" t="s">
        <v>1797</v>
      </c>
    </row>
    <row r="57" spans="1:16" s="208" customFormat="1" ht="16.5" customHeight="1" outlineLevel="2">
      <c r="A57" s="231" t="s">
        <v>397</v>
      </c>
      <c r="B57" s="232" t="s">
        <v>398</v>
      </c>
      <c r="C57" s="50" t="s">
        <v>1958</v>
      </c>
      <c r="D57" s="50" t="s">
        <v>1959</v>
      </c>
      <c r="E57" s="50" t="s">
        <v>1803</v>
      </c>
      <c r="F57" s="50" t="s">
        <v>1960</v>
      </c>
      <c r="G57" s="50" t="s">
        <v>1803</v>
      </c>
      <c r="H57" s="50" t="s">
        <v>1803</v>
      </c>
      <c r="I57" s="50" t="s">
        <v>1803</v>
      </c>
      <c r="J57" s="50" t="s">
        <v>1810</v>
      </c>
      <c r="K57" s="56" t="s">
        <v>1797</v>
      </c>
      <c r="L57" s="50" t="s">
        <v>1961</v>
      </c>
      <c r="M57" s="56" t="s">
        <v>1797</v>
      </c>
      <c r="N57" s="50" t="s">
        <v>1962</v>
      </c>
      <c r="O57" s="50" t="s">
        <v>1963</v>
      </c>
      <c r="P57" s="56" t="s">
        <v>1797</v>
      </c>
    </row>
    <row r="58" spans="1:16" s="208" customFormat="1" ht="16.5" customHeight="1" outlineLevel="2">
      <c r="A58" s="231" t="s">
        <v>399</v>
      </c>
      <c r="B58" s="232" t="s">
        <v>191</v>
      </c>
      <c r="C58" s="50" t="s">
        <v>1810</v>
      </c>
      <c r="D58" s="50" t="s">
        <v>1964</v>
      </c>
      <c r="E58" s="50" t="s">
        <v>1803</v>
      </c>
      <c r="F58" s="50" t="s">
        <v>1965</v>
      </c>
      <c r="G58" s="50" t="s">
        <v>1803</v>
      </c>
      <c r="H58" s="50" t="s">
        <v>1803</v>
      </c>
      <c r="I58" s="50" t="s">
        <v>1803</v>
      </c>
      <c r="J58" s="50" t="s">
        <v>1810</v>
      </c>
      <c r="K58" s="56" t="s">
        <v>1797</v>
      </c>
      <c r="L58" s="50" t="s">
        <v>1803</v>
      </c>
      <c r="M58" s="56" t="s">
        <v>1797</v>
      </c>
      <c r="N58" s="50" t="s">
        <v>1810</v>
      </c>
      <c r="O58" s="50" t="s">
        <v>1810</v>
      </c>
      <c r="P58" s="56" t="s">
        <v>1797</v>
      </c>
    </row>
    <row r="59" spans="1:16" s="208" customFormat="1" ht="16.5" customHeight="1" outlineLevel="2">
      <c r="A59" s="231" t="s">
        <v>400</v>
      </c>
      <c r="B59" s="232" t="s">
        <v>201</v>
      </c>
      <c r="C59" s="50" t="s">
        <v>1810</v>
      </c>
      <c r="D59" s="50" t="s">
        <v>1966</v>
      </c>
      <c r="E59" s="50" t="s">
        <v>1803</v>
      </c>
      <c r="F59" s="50" t="s">
        <v>1967</v>
      </c>
      <c r="G59" s="50" t="s">
        <v>1803</v>
      </c>
      <c r="H59" s="50" t="s">
        <v>1803</v>
      </c>
      <c r="I59" s="50" t="s">
        <v>1803</v>
      </c>
      <c r="J59" s="50" t="s">
        <v>1810</v>
      </c>
      <c r="K59" s="56" t="s">
        <v>1797</v>
      </c>
      <c r="L59" s="50" t="s">
        <v>1803</v>
      </c>
      <c r="M59" s="56" t="s">
        <v>1797</v>
      </c>
      <c r="N59" s="50" t="s">
        <v>1810</v>
      </c>
      <c r="O59" s="50" t="s">
        <v>1810</v>
      </c>
      <c r="P59" s="56" t="s">
        <v>1797</v>
      </c>
    </row>
    <row r="60" spans="1:16" s="208" customFormat="1" ht="16.5" customHeight="1" outlineLevel="2">
      <c r="A60" s="231" t="s">
        <v>401</v>
      </c>
      <c r="B60" s="232" t="s">
        <v>204</v>
      </c>
      <c r="C60" s="50" t="s">
        <v>1810</v>
      </c>
      <c r="D60" s="50" t="s">
        <v>1968</v>
      </c>
      <c r="E60" s="50" t="s">
        <v>1803</v>
      </c>
      <c r="F60" s="50" t="s">
        <v>1969</v>
      </c>
      <c r="G60" s="50" t="s">
        <v>1803</v>
      </c>
      <c r="H60" s="50" t="s">
        <v>1803</v>
      </c>
      <c r="I60" s="50" t="s">
        <v>1803</v>
      </c>
      <c r="J60" s="50" t="s">
        <v>1810</v>
      </c>
      <c r="K60" s="56" t="s">
        <v>1797</v>
      </c>
      <c r="L60" s="50" t="s">
        <v>1803</v>
      </c>
      <c r="M60" s="56" t="s">
        <v>1797</v>
      </c>
      <c r="N60" s="50" t="s">
        <v>1810</v>
      </c>
      <c r="O60" s="50" t="s">
        <v>1810</v>
      </c>
      <c r="P60" s="56" t="s">
        <v>1797</v>
      </c>
    </row>
    <row r="61" spans="1:16" s="208" customFormat="1" ht="16.5" customHeight="1" outlineLevel="2">
      <c r="A61" s="231" t="s">
        <v>402</v>
      </c>
      <c r="B61" s="232" t="s">
        <v>199</v>
      </c>
      <c r="C61" s="50" t="s">
        <v>1810</v>
      </c>
      <c r="D61" s="50" t="s">
        <v>1970</v>
      </c>
      <c r="E61" s="50" t="s">
        <v>1803</v>
      </c>
      <c r="F61" s="50" t="s">
        <v>1971</v>
      </c>
      <c r="G61" s="50" t="s">
        <v>1803</v>
      </c>
      <c r="H61" s="50" t="s">
        <v>1803</v>
      </c>
      <c r="I61" s="50" t="s">
        <v>1803</v>
      </c>
      <c r="J61" s="50" t="s">
        <v>1810</v>
      </c>
      <c r="K61" s="56" t="s">
        <v>1797</v>
      </c>
      <c r="L61" s="50" t="s">
        <v>1803</v>
      </c>
      <c r="M61" s="56" t="s">
        <v>1797</v>
      </c>
      <c r="N61" s="50" t="s">
        <v>1810</v>
      </c>
      <c r="O61" s="50" t="s">
        <v>1810</v>
      </c>
      <c r="P61" s="56" t="s">
        <v>1797</v>
      </c>
    </row>
    <row r="62" spans="1:16" s="208" customFormat="1" ht="16.5" customHeight="1" outlineLevel="1">
      <c r="A62" s="228">
        <v>2.8</v>
      </c>
      <c r="B62" s="229" t="s">
        <v>403</v>
      </c>
      <c r="C62" s="49" t="s">
        <v>1837</v>
      </c>
      <c r="D62" s="49" t="s">
        <v>1838</v>
      </c>
      <c r="E62" s="49" t="s">
        <v>1839</v>
      </c>
      <c r="F62" s="49" t="s">
        <v>1840</v>
      </c>
      <c r="G62" s="49" t="s">
        <v>1841</v>
      </c>
      <c r="H62" s="49" t="s">
        <v>1840</v>
      </c>
      <c r="I62" s="49" t="s">
        <v>1841</v>
      </c>
      <c r="J62" s="49" t="s">
        <v>1842</v>
      </c>
      <c r="K62" s="54" t="s">
        <v>1797</v>
      </c>
      <c r="L62" s="49" t="s">
        <v>1843</v>
      </c>
      <c r="M62" s="54" t="s">
        <v>1797</v>
      </c>
      <c r="N62" s="49" t="s">
        <v>1844</v>
      </c>
      <c r="O62" s="49" t="s">
        <v>1845</v>
      </c>
      <c r="P62" s="54" t="s">
        <v>1797</v>
      </c>
    </row>
    <row r="63" spans="1:16" s="208" customFormat="1" ht="16.5" customHeight="1" outlineLevel="2">
      <c r="A63" s="231" t="s">
        <v>404</v>
      </c>
      <c r="B63" s="232" t="s">
        <v>196</v>
      </c>
      <c r="C63" s="50" t="s">
        <v>1972</v>
      </c>
      <c r="D63" s="50" t="s">
        <v>1973</v>
      </c>
      <c r="E63" s="50" t="s">
        <v>1803</v>
      </c>
      <c r="F63" s="50" t="s">
        <v>1974</v>
      </c>
      <c r="G63" s="50" t="s">
        <v>1803</v>
      </c>
      <c r="H63" s="50" t="s">
        <v>1803</v>
      </c>
      <c r="I63" s="50" t="s">
        <v>1803</v>
      </c>
      <c r="J63" s="50" t="s">
        <v>1789</v>
      </c>
      <c r="K63" s="56" t="s">
        <v>1797</v>
      </c>
      <c r="L63" s="50" t="s">
        <v>1975</v>
      </c>
      <c r="M63" s="56" t="s">
        <v>1797</v>
      </c>
      <c r="N63" s="50" t="s">
        <v>1976</v>
      </c>
      <c r="O63" s="50" t="s">
        <v>1977</v>
      </c>
      <c r="P63" s="56" t="s">
        <v>1797</v>
      </c>
    </row>
    <row r="64" spans="1:16" s="208" customFormat="1" ht="16.5" customHeight="1" outlineLevel="2">
      <c r="A64" s="231" t="s">
        <v>405</v>
      </c>
      <c r="B64" s="232" t="s">
        <v>197</v>
      </c>
      <c r="C64" s="50" t="s">
        <v>1978</v>
      </c>
      <c r="D64" s="50" t="s">
        <v>1979</v>
      </c>
      <c r="E64" s="50" t="s">
        <v>1803</v>
      </c>
      <c r="F64" s="50" t="s">
        <v>1980</v>
      </c>
      <c r="G64" s="50" t="s">
        <v>1803</v>
      </c>
      <c r="H64" s="50" t="s">
        <v>1803</v>
      </c>
      <c r="I64" s="50" t="s">
        <v>1803</v>
      </c>
      <c r="J64" s="50" t="s">
        <v>1810</v>
      </c>
      <c r="K64" s="56" t="s">
        <v>1797</v>
      </c>
      <c r="L64" s="50" t="s">
        <v>1981</v>
      </c>
      <c r="M64" s="56" t="s">
        <v>1797</v>
      </c>
      <c r="N64" s="50" t="s">
        <v>1982</v>
      </c>
      <c r="O64" s="50" t="s">
        <v>1983</v>
      </c>
      <c r="P64" s="56" t="s">
        <v>1797</v>
      </c>
    </row>
    <row r="65" spans="1:16" s="208" customFormat="1" ht="16.5" customHeight="1" outlineLevel="2">
      <c r="A65" s="231" t="s">
        <v>406</v>
      </c>
      <c r="B65" s="232" t="s">
        <v>407</v>
      </c>
      <c r="C65" s="50" t="s">
        <v>1810</v>
      </c>
      <c r="D65" s="50" t="s">
        <v>1984</v>
      </c>
      <c r="E65" s="50" t="s">
        <v>1803</v>
      </c>
      <c r="F65" s="50" t="s">
        <v>1985</v>
      </c>
      <c r="G65" s="50" t="s">
        <v>1803</v>
      </c>
      <c r="H65" s="50" t="s">
        <v>1803</v>
      </c>
      <c r="I65" s="50" t="s">
        <v>1803</v>
      </c>
      <c r="J65" s="50" t="s">
        <v>1810</v>
      </c>
      <c r="K65" s="56" t="s">
        <v>1797</v>
      </c>
      <c r="L65" s="50" t="s">
        <v>1810</v>
      </c>
      <c r="M65" s="56" t="s">
        <v>1797</v>
      </c>
      <c r="N65" s="50" t="s">
        <v>1810</v>
      </c>
      <c r="O65" s="50" t="s">
        <v>1810</v>
      </c>
      <c r="P65" s="56" t="s">
        <v>1797</v>
      </c>
    </row>
    <row r="66" spans="1:16" s="208" customFormat="1" ht="16.5" customHeight="1" outlineLevel="2">
      <c r="A66" s="231" t="s">
        <v>408</v>
      </c>
      <c r="B66" s="232" t="s">
        <v>409</v>
      </c>
      <c r="C66" s="50" t="s">
        <v>1810</v>
      </c>
      <c r="D66" s="50" t="s">
        <v>1986</v>
      </c>
      <c r="E66" s="50" t="s">
        <v>1803</v>
      </c>
      <c r="F66" s="50" t="s">
        <v>1987</v>
      </c>
      <c r="G66" s="50" t="s">
        <v>1803</v>
      </c>
      <c r="H66" s="50" t="s">
        <v>1803</v>
      </c>
      <c r="I66" s="50" t="s">
        <v>1803</v>
      </c>
      <c r="J66" s="50" t="s">
        <v>1810</v>
      </c>
      <c r="K66" s="56" t="s">
        <v>1797</v>
      </c>
      <c r="L66" s="50" t="s">
        <v>1810</v>
      </c>
      <c r="M66" s="56" t="s">
        <v>1797</v>
      </c>
      <c r="N66" s="50" t="s">
        <v>1810</v>
      </c>
      <c r="O66" s="50" t="s">
        <v>1810</v>
      </c>
      <c r="P66" s="56" t="s">
        <v>1797</v>
      </c>
    </row>
    <row r="67" spans="1:16" s="208" customFormat="1" ht="16.5" customHeight="1" outlineLevel="2">
      <c r="A67" s="231" t="s">
        <v>410</v>
      </c>
      <c r="B67" s="232" t="s">
        <v>200</v>
      </c>
      <c r="C67" s="50" t="s">
        <v>1810</v>
      </c>
      <c r="D67" s="50" t="s">
        <v>1988</v>
      </c>
      <c r="E67" s="50" t="s">
        <v>1803</v>
      </c>
      <c r="F67" s="50" t="s">
        <v>1989</v>
      </c>
      <c r="G67" s="50" t="s">
        <v>1803</v>
      </c>
      <c r="H67" s="50" t="s">
        <v>1803</v>
      </c>
      <c r="I67" s="50" t="s">
        <v>1803</v>
      </c>
      <c r="J67" s="50" t="s">
        <v>1810</v>
      </c>
      <c r="K67" s="56" t="s">
        <v>1797</v>
      </c>
      <c r="L67" s="50" t="s">
        <v>1810</v>
      </c>
      <c r="M67" s="56" t="s">
        <v>1797</v>
      </c>
      <c r="N67" s="50" t="s">
        <v>1810</v>
      </c>
      <c r="O67" s="50" t="s">
        <v>1810</v>
      </c>
      <c r="P67" s="56" t="s">
        <v>1797</v>
      </c>
    </row>
    <row r="68" spans="1:16" s="208" customFormat="1" ht="16.5" customHeight="1" outlineLevel="2">
      <c r="A68" s="231" t="s">
        <v>411</v>
      </c>
      <c r="B68" s="232" t="s">
        <v>412</v>
      </c>
      <c r="C68" s="50" t="s">
        <v>1810</v>
      </c>
      <c r="D68" s="50" t="s">
        <v>1990</v>
      </c>
      <c r="E68" s="50" t="s">
        <v>1803</v>
      </c>
      <c r="F68" s="50" t="s">
        <v>1991</v>
      </c>
      <c r="G68" s="50" t="s">
        <v>1803</v>
      </c>
      <c r="H68" s="50" t="s">
        <v>1803</v>
      </c>
      <c r="I68" s="50" t="s">
        <v>1803</v>
      </c>
      <c r="J68" s="50" t="s">
        <v>1810</v>
      </c>
      <c r="K68" s="56" t="s">
        <v>1797</v>
      </c>
      <c r="L68" s="50" t="s">
        <v>1810</v>
      </c>
      <c r="M68" s="56" t="s">
        <v>1797</v>
      </c>
      <c r="N68" s="50" t="s">
        <v>1810</v>
      </c>
      <c r="O68" s="50" t="s">
        <v>1810</v>
      </c>
      <c r="P68" s="56" t="s">
        <v>1797</v>
      </c>
    </row>
    <row r="69" spans="1:16" s="208" customFormat="1" ht="16.5" customHeight="1" outlineLevel="2">
      <c r="A69" s="231" t="s">
        <v>413</v>
      </c>
      <c r="B69" s="232" t="s">
        <v>414</v>
      </c>
      <c r="C69" s="50" t="s">
        <v>1810</v>
      </c>
      <c r="D69" s="50" t="s">
        <v>1992</v>
      </c>
      <c r="E69" s="50" t="s">
        <v>1803</v>
      </c>
      <c r="F69" s="50" t="s">
        <v>1993</v>
      </c>
      <c r="G69" s="50" t="s">
        <v>1803</v>
      </c>
      <c r="H69" s="50" t="s">
        <v>1803</v>
      </c>
      <c r="I69" s="50" t="s">
        <v>1803</v>
      </c>
      <c r="J69" s="50" t="s">
        <v>1810</v>
      </c>
      <c r="K69" s="56" t="s">
        <v>1797</v>
      </c>
      <c r="L69" s="50" t="s">
        <v>1810</v>
      </c>
      <c r="M69" s="56" t="s">
        <v>1797</v>
      </c>
      <c r="N69" s="50" t="s">
        <v>1810</v>
      </c>
      <c r="O69" s="50" t="s">
        <v>1810</v>
      </c>
      <c r="P69" s="56" t="s">
        <v>1797</v>
      </c>
    </row>
    <row r="70" spans="1:16" s="208" customFormat="1" ht="16.5" customHeight="1">
      <c r="A70" s="224" t="s">
        <v>205</v>
      </c>
      <c r="B70" s="225" t="s">
        <v>206</v>
      </c>
      <c r="C70" s="49" t="s">
        <v>1994</v>
      </c>
      <c r="D70" s="49" t="s">
        <v>1995</v>
      </c>
      <c r="E70" s="49" t="s">
        <v>1996</v>
      </c>
      <c r="F70" s="49" t="s">
        <v>1997</v>
      </c>
      <c r="G70" s="49" t="s">
        <v>1998</v>
      </c>
      <c r="H70" s="49" t="s">
        <v>1997</v>
      </c>
      <c r="I70" s="49" t="s">
        <v>1998</v>
      </c>
      <c r="J70" s="49" t="s">
        <v>1999</v>
      </c>
      <c r="K70" s="54" t="s">
        <v>1797</v>
      </c>
      <c r="L70" s="49" t="s">
        <v>2000</v>
      </c>
      <c r="M70" s="54" t="s">
        <v>1797</v>
      </c>
      <c r="N70" s="49" t="s">
        <v>2001</v>
      </c>
      <c r="O70" s="49" t="s">
        <v>2002</v>
      </c>
      <c r="P70" s="54" t="s">
        <v>1797</v>
      </c>
    </row>
    <row r="71" spans="1:16" s="208" customFormat="1" ht="16.5" customHeight="1" outlineLevel="1">
      <c r="A71" s="228">
        <v>3.1</v>
      </c>
      <c r="B71" s="229" t="s">
        <v>415</v>
      </c>
      <c r="C71" s="49" t="s">
        <v>1837</v>
      </c>
      <c r="D71" s="49" t="s">
        <v>1838</v>
      </c>
      <c r="E71" s="49" t="s">
        <v>1839</v>
      </c>
      <c r="F71" s="49" t="s">
        <v>1840</v>
      </c>
      <c r="G71" s="49" t="s">
        <v>1841</v>
      </c>
      <c r="H71" s="49" t="s">
        <v>1840</v>
      </c>
      <c r="I71" s="49" t="s">
        <v>1841</v>
      </c>
      <c r="J71" s="49" t="s">
        <v>1842</v>
      </c>
      <c r="K71" s="54" t="s">
        <v>1797</v>
      </c>
      <c r="L71" s="49" t="s">
        <v>1843</v>
      </c>
      <c r="M71" s="54" t="s">
        <v>1797</v>
      </c>
      <c r="N71" s="49" t="s">
        <v>1844</v>
      </c>
      <c r="O71" s="49" t="s">
        <v>1845</v>
      </c>
      <c r="P71" s="54" t="s">
        <v>1797</v>
      </c>
    </row>
    <row r="72" spans="1:16" s="208" customFormat="1" ht="16.5" hidden="1" customHeight="1" outlineLevel="2">
      <c r="A72" s="231" t="s">
        <v>416</v>
      </c>
      <c r="B72" s="232" t="s">
        <v>207</v>
      </c>
      <c r="C72" s="50" t="s">
        <v>1972</v>
      </c>
      <c r="D72" s="50" t="s">
        <v>2003</v>
      </c>
      <c r="E72" s="50" t="s">
        <v>1803</v>
      </c>
      <c r="F72" s="50" t="s">
        <v>2004</v>
      </c>
      <c r="G72" s="50" t="s">
        <v>1803</v>
      </c>
      <c r="H72" s="50" t="s">
        <v>1803</v>
      </c>
      <c r="I72" s="50" t="s">
        <v>1803</v>
      </c>
      <c r="J72" s="50" t="s">
        <v>1789</v>
      </c>
      <c r="K72" s="56" t="s">
        <v>1797</v>
      </c>
      <c r="L72" s="50" t="s">
        <v>1803</v>
      </c>
      <c r="M72" s="56" t="s">
        <v>1797</v>
      </c>
      <c r="N72" s="50" t="s">
        <v>2005</v>
      </c>
      <c r="O72" s="50" t="s">
        <v>2006</v>
      </c>
      <c r="P72" s="56" t="s">
        <v>1797</v>
      </c>
    </row>
    <row r="73" spans="1:16" s="208" customFormat="1" ht="16.5" hidden="1" customHeight="1" outlineLevel="2">
      <c r="A73" s="231" t="s">
        <v>417</v>
      </c>
      <c r="B73" s="232" t="s">
        <v>418</v>
      </c>
      <c r="C73" s="50" t="s">
        <v>1978</v>
      </c>
      <c r="D73" s="50" t="s">
        <v>2007</v>
      </c>
      <c r="E73" s="50" t="s">
        <v>1803</v>
      </c>
      <c r="F73" s="50" t="s">
        <v>2008</v>
      </c>
      <c r="G73" s="50" t="s">
        <v>1803</v>
      </c>
      <c r="H73" s="50" t="s">
        <v>1803</v>
      </c>
      <c r="I73" s="50" t="s">
        <v>1803</v>
      </c>
      <c r="J73" s="50" t="s">
        <v>1810</v>
      </c>
      <c r="K73" s="56" t="s">
        <v>1797</v>
      </c>
      <c r="L73" s="50" t="s">
        <v>1803</v>
      </c>
      <c r="M73" s="56" t="s">
        <v>1797</v>
      </c>
      <c r="N73" s="50" t="s">
        <v>2009</v>
      </c>
      <c r="O73" s="50" t="s">
        <v>2010</v>
      </c>
      <c r="P73" s="56" t="s">
        <v>1797</v>
      </c>
    </row>
    <row r="74" spans="1:16" s="208" customFormat="1" ht="16.5" hidden="1" customHeight="1" outlineLevel="2">
      <c r="A74" s="231" t="s">
        <v>419</v>
      </c>
      <c r="B74" s="677" t="s">
        <v>420</v>
      </c>
      <c r="C74" s="50" t="s">
        <v>1810</v>
      </c>
      <c r="D74" s="50" t="s">
        <v>2011</v>
      </c>
      <c r="E74" s="50" t="s">
        <v>1803</v>
      </c>
      <c r="F74" s="50" t="s">
        <v>2012</v>
      </c>
      <c r="G74" s="50" t="s">
        <v>1803</v>
      </c>
      <c r="H74" s="50" t="s">
        <v>1803</v>
      </c>
      <c r="I74" s="50" t="s">
        <v>1803</v>
      </c>
      <c r="J74" s="50" t="s">
        <v>1810</v>
      </c>
      <c r="K74" s="56" t="s">
        <v>1797</v>
      </c>
      <c r="L74" s="50" t="s">
        <v>2013</v>
      </c>
      <c r="M74" s="56" t="s">
        <v>1797</v>
      </c>
      <c r="N74" s="50" t="s">
        <v>1810</v>
      </c>
      <c r="O74" s="50" t="s">
        <v>1810</v>
      </c>
      <c r="P74" s="56" t="s">
        <v>1797</v>
      </c>
    </row>
    <row r="75" spans="1:16" s="208" customFormat="1" ht="16.5" hidden="1" customHeight="1" outlineLevel="2">
      <c r="A75" s="231" t="s">
        <v>421</v>
      </c>
      <c r="B75" s="677" t="s">
        <v>422</v>
      </c>
      <c r="C75" s="50" t="s">
        <v>1810</v>
      </c>
      <c r="D75" s="50" t="s">
        <v>2014</v>
      </c>
      <c r="E75" s="50" t="s">
        <v>1803</v>
      </c>
      <c r="F75" s="50" t="s">
        <v>2015</v>
      </c>
      <c r="G75" s="50" t="s">
        <v>1803</v>
      </c>
      <c r="H75" s="50" t="s">
        <v>1803</v>
      </c>
      <c r="I75" s="50" t="s">
        <v>1803</v>
      </c>
      <c r="J75" s="50" t="s">
        <v>1810</v>
      </c>
      <c r="K75" s="56" t="s">
        <v>1797</v>
      </c>
      <c r="L75" s="50" t="s">
        <v>2016</v>
      </c>
      <c r="M75" s="56" t="s">
        <v>1797</v>
      </c>
      <c r="N75" s="50" t="s">
        <v>1810</v>
      </c>
      <c r="O75" s="50" t="s">
        <v>1810</v>
      </c>
      <c r="P75" s="56" t="s">
        <v>1797</v>
      </c>
    </row>
    <row r="76" spans="1:16" s="208" customFormat="1" ht="16.5" hidden="1" customHeight="1" outlineLevel="2">
      <c r="A76" s="231" t="s">
        <v>423</v>
      </c>
      <c r="B76" s="677" t="s">
        <v>424</v>
      </c>
      <c r="C76" s="50" t="s">
        <v>1810</v>
      </c>
      <c r="D76" s="50" t="s">
        <v>2017</v>
      </c>
      <c r="E76" s="50" t="s">
        <v>1803</v>
      </c>
      <c r="F76" s="50" t="s">
        <v>2018</v>
      </c>
      <c r="G76" s="50" t="s">
        <v>1803</v>
      </c>
      <c r="H76" s="50" t="s">
        <v>1803</v>
      </c>
      <c r="I76" s="50" t="s">
        <v>1803</v>
      </c>
      <c r="J76" s="50" t="s">
        <v>1810</v>
      </c>
      <c r="K76" s="56" t="s">
        <v>1797</v>
      </c>
      <c r="L76" s="50" t="s">
        <v>2019</v>
      </c>
      <c r="M76" s="56" t="s">
        <v>1797</v>
      </c>
      <c r="N76" s="50" t="s">
        <v>1810</v>
      </c>
      <c r="O76" s="50" t="s">
        <v>1810</v>
      </c>
      <c r="P76" s="56" t="s">
        <v>1797</v>
      </c>
    </row>
    <row r="77" spans="1:16" s="208" customFormat="1" ht="16.5" hidden="1" customHeight="1" outlineLevel="2">
      <c r="A77" s="231" t="s">
        <v>425</v>
      </c>
      <c r="B77" s="232" t="s">
        <v>203</v>
      </c>
      <c r="C77" s="50" t="s">
        <v>1810</v>
      </c>
      <c r="D77" s="50" t="s">
        <v>2020</v>
      </c>
      <c r="E77" s="50" t="s">
        <v>1803</v>
      </c>
      <c r="F77" s="50" t="s">
        <v>2021</v>
      </c>
      <c r="G77" s="50" t="s">
        <v>1803</v>
      </c>
      <c r="H77" s="50" t="s">
        <v>1803</v>
      </c>
      <c r="I77" s="50" t="s">
        <v>1803</v>
      </c>
      <c r="J77" s="50" t="s">
        <v>1810</v>
      </c>
      <c r="K77" s="56" t="s">
        <v>1797</v>
      </c>
      <c r="L77" s="50" t="s">
        <v>1803</v>
      </c>
      <c r="M77" s="56" t="s">
        <v>1797</v>
      </c>
      <c r="N77" s="50" t="s">
        <v>1810</v>
      </c>
      <c r="O77" s="50" t="s">
        <v>1810</v>
      </c>
      <c r="P77" s="56" t="s">
        <v>1797</v>
      </c>
    </row>
    <row r="78" spans="1:16" s="208" customFormat="1" ht="16.5" hidden="1" customHeight="1" outlineLevel="2">
      <c r="A78" s="231" t="s">
        <v>426</v>
      </c>
      <c r="B78" s="232" t="s">
        <v>427</v>
      </c>
      <c r="C78" s="50" t="s">
        <v>1810</v>
      </c>
      <c r="D78" s="50" t="s">
        <v>2022</v>
      </c>
      <c r="E78" s="50" t="s">
        <v>1803</v>
      </c>
      <c r="F78" s="50" t="s">
        <v>2023</v>
      </c>
      <c r="G78" s="50" t="s">
        <v>1803</v>
      </c>
      <c r="H78" s="50" t="s">
        <v>1803</v>
      </c>
      <c r="I78" s="50" t="s">
        <v>1803</v>
      </c>
      <c r="J78" s="50" t="s">
        <v>1810</v>
      </c>
      <c r="K78" s="56" t="s">
        <v>1797</v>
      </c>
      <c r="L78" s="50" t="s">
        <v>1803</v>
      </c>
      <c r="M78" s="56" t="s">
        <v>1797</v>
      </c>
      <c r="N78" s="50" t="s">
        <v>1810</v>
      </c>
      <c r="O78" s="50" t="s">
        <v>1810</v>
      </c>
      <c r="P78" s="56" t="s">
        <v>1797</v>
      </c>
    </row>
    <row r="79" spans="1:16" s="208" customFormat="1" ht="16.5" customHeight="1" outlineLevel="1" collapsed="1">
      <c r="A79" s="228">
        <v>3.2</v>
      </c>
      <c r="B79" s="229" t="s">
        <v>208</v>
      </c>
      <c r="C79" s="49" t="s">
        <v>1837</v>
      </c>
      <c r="D79" s="49" t="s">
        <v>1838</v>
      </c>
      <c r="E79" s="49" t="s">
        <v>1839</v>
      </c>
      <c r="F79" s="49" t="s">
        <v>1840</v>
      </c>
      <c r="G79" s="49" t="s">
        <v>1841</v>
      </c>
      <c r="H79" s="49" t="s">
        <v>1840</v>
      </c>
      <c r="I79" s="49" t="s">
        <v>1841</v>
      </c>
      <c r="J79" s="49" t="s">
        <v>1842</v>
      </c>
      <c r="K79" s="54" t="s">
        <v>1797</v>
      </c>
      <c r="L79" s="49" t="s">
        <v>1843</v>
      </c>
      <c r="M79" s="54" t="s">
        <v>1797</v>
      </c>
      <c r="N79" s="49" t="s">
        <v>1844</v>
      </c>
      <c r="O79" s="49" t="s">
        <v>1845</v>
      </c>
      <c r="P79" s="54" t="s">
        <v>1797</v>
      </c>
    </row>
    <row r="80" spans="1:16" s="208" customFormat="1" ht="16.5" hidden="1" customHeight="1" outlineLevel="2">
      <c r="A80" s="231" t="s">
        <v>428</v>
      </c>
      <c r="B80" s="677" t="s">
        <v>429</v>
      </c>
      <c r="C80" s="50" t="s">
        <v>2024</v>
      </c>
      <c r="D80" s="50" t="s">
        <v>2025</v>
      </c>
      <c r="E80" s="50" t="s">
        <v>1803</v>
      </c>
      <c r="F80" s="50" t="s">
        <v>2026</v>
      </c>
      <c r="G80" s="50" t="s">
        <v>1803</v>
      </c>
      <c r="H80" s="50" t="s">
        <v>1803</v>
      </c>
      <c r="I80" s="50" t="s">
        <v>1803</v>
      </c>
      <c r="J80" s="50" t="s">
        <v>1789</v>
      </c>
      <c r="K80" s="56" t="s">
        <v>1797</v>
      </c>
      <c r="L80" s="50" t="s">
        <v>1803</v>
      </c>
      <c r="M80" s="56" t="s">
        <v>1797</v>
      </c>
      <c r="N80" s="50" t="s">
        <v>2027</v>
      </c>
      <c r="O80" s="50" t="s">
        <v>2028</v>
      </c>
      <c r="P80" s="56" t="s">
        <v>1797</v>
      </c>
    </row>
    <row r="81" spans="1:16" s="208" customFormat="1" ht="16.5" hidden="1" customHeight="1" outlineLevel="2">
      <c r="A81" s="231" t="s">
        <v>430</v>
      </c>
      <c r="B81" s="677" t="s">
        <v>210</v>
      </c>
      <c r="C81" s="50" t="s">
        <v>2029</v>
      </c>
      <c r="D81" s="50" t="s">
        <v>2030</v>
      </c>
      <c r="E81" s="50" t="s">
        <v>1803</v>
      </c>
      <c r="F81" s="50" t="s">
        <v>2031</v>
      </c>
      <c r="G81" s="50" t="s">
        <v>1803</v>
      </c>
      <c r="H81" s="50" t="s">
        <v>1803</v>
      </c>
      <c r="I81" s="50" t="s">
        <v>1803</v>
      </c>
      <c r="J81" s="50" t="s">
        <v>1810</v>
      </c>
      <c r="K81" s="56" t="s">
        <v>1797</v>
      </c>
      <c r="L81" s="50" t="s">
        <v>1803</v>
      </c>
      <c r="M81" s="56" t="s">
        <v>1797</v>
      </c>
      <c r="N81" s="50" t="s">
        <v>2032</v>
      </c>
      <c r="O81" s="50" t="s">
        <v>2033</v>
      </c>
      <c r="P81" s="56" t="s">
        <v>1797</v>
      </c>
    </row>
    <row r="82" spans="1:16" s="208" customFormat="1" ht="16.5" hidden="1" customHeight="1" outlineLevel="2">
      <c r="A82" s="231" t="s">
        <v>431</v>
      </c>
      <c r="B82" s="232" t="s">
        <v>432</v>
      </c>
      <c r="C82" s="50" t="s">
        <v>1810</v>
      </c>
      <c r="D82" s="50" t="s">
        <v>2034</v>
      </c>
      <c r="E82" s="50" t="s">
        <v>1803</v>
      </c>
      <c r="F82" s="50" t="s">
        <v>2035</v>
      </c>
      <c r="G82" s="50" t="s">
        <v>1803</v>
      </c>
      <c r="H82" s="50" t="s">
        <v>1803</v>
      </c>
      <c r="I82" s="50" t="s">
        <v>1803</v>
      </c>
      <c r="J82" s="50" t="s">
        <v>1810</v>
      </c>
      <c r="K82" s="56" t="s">
        <v>1797</v>
      </c>
      <c r="L82" s="50" t="s">
        <v>1803</v>
      </c>
      <c r="M82" s="56" t="s">
        <v>1797</v>
      </c>
      <c r="N82" s="50" t="s">
        <v>1810</v>
      </c>
      <c r="O82" s="50" t="s">
        <v>1810</v>
      </c>
      <c r="P82" s="56" t="s">
        <v>1797</v>
      </c>
    </row>
    <row r="83" spans="1:16" s="208" customFormat="1" ht="16.5" hidden="1" customHeight="1" outlineLevel="2">
      <c r="A83" s="231" t="s">
        <v>433</v>
      </c>
      <c r="B83" s="232" t="s">
        <v>434</v>
      </c>
      <c r="C83" s="50" t="s">
        <v>1810</v>
      </c>
      <c r="D83" s="50" t="s">
        <v>2036</v>
      </c>
      <c r="E83" s="50" t="s">
        <v>1803</v>
      </c>
      <c r="F83" s="50" t="s">
        <v>2037</v>
      </c>
      <c r="G83" s="50" t="s">
        <v>1803</v>
      </c>
      <c r="H83" s="50" t="s">
        <v>1803</v>
      </c>
      <c r="I83" s="50" t="s">
        <v>1803</v>
      </c>
      <c r="J83" s="50" t="s">
        <v>1810</v>
      </c>
      <c r="K83" s="56" t="s">
        <v>1797</v>
      </c>
      <c r="L83" s="50" t="s">
        <v>2038</v>
      </c>
      <c r="M83" s="56" t="s">
        <v>1797</v>
      </c>
      <c r="N83" s="50" t="s">
        <v>1810</v>
      </c>
      <c r="O83" s="50" t="s">
        <v>1810</v>
      </c>
      <c r="P83" s="56" t="s">
        <v>1797</v>
      </c>
    </row>
    <row r="84" spans="1:16" s="208" customFormat="1" ht="16.5" hidden="1" customHeight="1" outlineLevel="2">
      <c r="A84" s="231" t="s">
        <v>435</v>
      </c>
      <c r="B84" s="232" t="s">
        <v>436</v>
      </c>
      <c r="C84" s="50" t="s">
        <v>1810</v>
      </c>
      <c r="D84" s="50" t="s">
        <v>2039</v>
      </c>
      <c r="E84" s="50" t="s">
        <v>1803</v>
      </c>
      <c r="F84" s="50" t="s">
        <v>2040</v>
      </c>
      <c r="G84" s="50" t="s">
        <v>1803</v>
      </c>
      <c r="H84" s="50" t="s">
        <v>1803</v>
      </c>
      <c r="I84" s="50" t="s">
        <v>1803</v>
      </c>
      <c r="J84" s="50" t="s">
        <v>1810</v>
      </c>
      <c r="K84" s="56" t="s">
        <v>1797</v>
      </c>
      <c r="L84" s="50" t="s">
        <v>2041</v>
      </c>
      <c r="M84" s="56" t="s">
        <v>1797</v>
      </c>
      <c r="N84" s="50" t="s">
        <v>1810</v>
      </c>
      <c r="O84" s="50" t="s">
        <v>1810</v>
      </c>
      <c r="P84" s="56" t="s">
        <v>1797</v>
      </c>
    </row>
    <row r="85" spans="1:16" s="208" customFormat="1" ht="16.5" hidden="1" customHeight="1" outlineLevel="2">
      <c r="A85" s="231" t="s">
        <v>437</v>
      </c>
      <c r="B85" s="232" t="s">
        <v>438</v>
      </c>
      <c r="C85" s="50" t="s">
        <v>1810</v>
      </c>
      <c r="D85" s="50" t="s">
        <v>2042</v>
      </c>
      <c r="E85" s="50" t="s">
        <v>1803</v>
      </c>
      <c r="F85" s="50" t="s">
        <v>2043</v>
      </c>
      <c r="G85" s="50" t="s">
        <v>1803</v>
      </c>
      <c r="H85" s="50" t="s">
        <v>1803</v>
      </c>
      <c r="I85" s="50" t="s">
        <v>1803</v>
      </c>
      <c r="J85" s="50" t="s">
        <v>1810</v>
      </c>
      <c r="K85" s="56" t="s">
        <v>1797</v>
      </c>
      <c r="L85" s="50" t="s">
        <v>1810</v>
      </c>
      <c r="M85" s="56" t="s">
        <v>1797</v>
      </c>
      <c r="N85" s="50" t="s">
        <v>1810</v>
      </c>
      <c r="O85" s="50" t="s">
        <v>1810</v>
      </c>
      <c r="P85" s="56" t="s">
        <v>1797</v>
      </c>
    </row>
    <row r="86" spans="1:16" s="208" customFormat="1" ht="16.5" hidden="1" customHeight="1" outlineLevel="2">
      <c r="A86" s="231" t="s">
        <v>439</v>
      </c>
      <c r="B86" s="232" t="s">
        <v>440</v>
      </c>
      <c r="C86" s="50" t="s">
        <v>1810</v>
      </c>
      <c r="D86" s="50" t="s">
        <v>2044</v>
      </c>
      <c r="E86" s="50" t="s">
        <v>1803</v>
      </c>
      <c r="F86" s="50" t="s">
        <v>2045</v>
      </c>
      <c r="G86" s="50" t="s">
        <v>1803</v>
      </c>
      <c r="H86" s="50" t="s">
        <v>1803</v>
      </c>
      <c r="I86" s="50" t="s">
        <v>1803</v>
      </c>
      <c r="J86" s="50" t="s">
        <v>1810</v>
      </c>
      <c r="K86" s="56" t="s">
        <v>1797</v>
      </c>
      <c r="L86" s="50" t="s">
        <v>1810</v>
      </c>
      <c r="M86" s="56" t="s">
        <v>1797</v>
      </c>
      <c r="N86" s="50" t="s">
        <v>1810</v>
      </c>
      <c r="O86" s="50" t="s">
        <v>1810</v>
      </c>
      <c r="P86" s="56" t="s">
        <v>1797</v>
      </c>
    </row>
    <row r="87" spans="1:16" s="208" customFormat="1" ht="16.5" hidden="1" customHeight="1" outlineLevel="2">
      <c r="A87" s="231" t="s">
        <v>441</v>
      </c>
      <c r="B87" s="232" t="s">
        <v>442</v>
      </c>
      <c r="C87" s="50" t="s">
        <v>1810</v>
      </c>
      <c r="D87" s="50" t="s">
        <v>2046</v>
      </c>
      <c r="E87" s="50" t="s">
        <v>1803</v>
      </c>
      <c r="F87" s="50" t="s">
        <v>2047</v>
      </c>
      <c r="G87" s="50" t="s">
        <v>1803</v>
      </c>
      <c r="H87" s="50" t="s">
        <v>1803</v>
      </c>
      <c r="I87" s="50" t="s">
        <v>1803</v>
      </c>
      <c r="J87" s="50" t="s">
        <v>1810</v>
      </c>
      <c r="K87" s="56" t="s">
        <v>1797</v>
      </c>
      <c r="L87" s="50" t="s">
        <v>1810</v>
      </c>
      <c r="M87" s="56" t="s">
        <v>1797</v>
      </c>
      <c r="N87" s="50" t="s">
        <v>1810</v>
      </c>
      <c r="O87" s="50" t="s">
        <v>1810</v>
      </c>
      <c r="P87" s="56" t="s">
        <v>1797</v>
      </c>
    </row>
    <row r="88" spans="1:16" s="208" customFormat="1" ht="16.5" customHeight="1" outlineLevel="1" collapsed="1">
      <c r="A88" s="228">
        <v>3.3</v>
      </c>
      <c r="B88" s="229" t="s">
        <v>443</v>
      </c>
      <c r="C88" s="49" t="s">
        <v>1837</v>
      </c>
      <c r="D88" s="49" t="s">
        <v>1838</v>
      </c>
      <c r="E88" s="49" t="s">
        <v>1839</v>
      </c>
      <c r="F88" s="49" t="s">
        <v>1840</v>
      </c>
      <c r="G88" s="49" t="s">
        <v>1841</v>
      </c>
      <c r="H88" s="49" t="s">
        <v>1840</v>
      </c>
      <c r="I88" s="49" t="s">
        <v>1841</v>
      </c>
      <c r="J88" s="49" t="s">
        <v>1842</v>
      </c>
      <c r="K88" s="54" t="s">
        <v>1797</v>
      </c>
      <c r="L88" s="49" t="s">
        <v>1843</v>
      </c>
      <c r="M88" s="54" t="s">
        <v>1797</v>
      </c>
      <c r="N88" s="49" t="s">
        <v>1844</v>
      </c>
      <c r="O88" s="49" t="s">
        <v>1845</v>
      </c>
      <c r="P88" s="54" t="s">
        <v>1797</v>
      </c>
    </row>
    <row r="89" spans="1:16" s="208" customFormat="1" ht="16.5" hidden="1" customHeight="1" outlineLevel="2">
      <c r="A89" s="231" t="s">
        <v>444</v>
      </c>
      <c r="B89" s="232" t="s">
        <v>209</v>
      </c>
      <c r="C89" s="50" t="s">
        <v>2048</v>
      </c>
      <c r="D89" s="50" t="s">
        <v>2049</v>
      </c>
      <c r="E89" s="50" t="s">
        <v>1803</v>
      </c>
      <c r="F89" s="50" t="s">
        <v>2050</v>
      </c>
      <c r="G89" s="50" t="s">
        <v>1803</v>
      </c>
      <c r="H89" s="50" t="s">
        <v>1803</v>
      </c>
      <c r="I89" s="50" t="s">
        <v>1803</v>
      </c>
      <c r="J89" s="50" t="s">
        <v>1789</v>
      </c>
      <c r="K89" s="56" t="s">
        <v>1797</v>
      </c>
      <c r="L89" s="50" t="s">
        <v>2051</v>
      </c>
      <c r="M89" s="56" t="s">
        <v>1797</v>
      </c>
      <c r="N89" s="50" t="s">
        <v>2052</v>
      </c>
      <c r="O89" s="50" t="s">
        <v>2053</v>
      </c>
      <c r="P89" s="56" t="s">
        <v>1797</v>
      </c>
    </row>
    <row r="90" spans="1:16" s="208" customFormat="1" ht="16.5" hidden="1" customHeight="1" outlineLevel="2">
      <c r="A90" s="231" t="s">
        <v>445</v>
      </c>
      <c r="B90" s="232" t="s">
        <v>446</v>
      </c>
      <c r="C90" s="50" t="s">
        <v>2054</v>
      </c>
      <c r="D90" s="50" t="s">
        <v>2055</v>
      </c>
      <c r="E90" s="50" t="s">
        <v>1803</v>
      </c>
      <c r="F90" s="50" t="s">
        <v>2056</v>
      </c>
      <c r="G90" s="50" t="s">
        <v>1803</v>
      </c>
      <c r="H90" s="50" t="s">
        <v>1803</v>
      </c>
      <c r="I90" s="50" t="s">
        <v>1803</v>
      </c>
      <c r="J90" s="50" t="s">
        <v>1810</v>
      </c>
      <c r="K90" s="56" t="s">
        <v>1797</v>
      </c>
      <c r="L90" s="50" t="s">
        <v>2057</v>
      </c>
      <c r="M90" s="56" t="s">
        <v>1797</v>
      </c>
      <c r="N90" s="50" t="s">
        <v>2058</v>
      </c>
      <c r="O90" s="50" t="s">
        <v>2059</v>
      </c>
      <c r="P90" s="56" t="s">
        <v>1797</v>
      </c>
    </row>
    <row r="91" spans="1:16" s="208" customFormat="1" ht="16.5" hidden="1" customHeight="1" outlineLevel="2">
      <c r="A91" s="231" t="s">
        <v>447</v>
      </c>
      <c r="B91" s="232" t="s">
        <v>448</v>
      </c>
      <c r="C91" s="50" t="s">
        <v>1810</v>
      </c>
      <c r="D91" s="50" t="s">
        <v>2060</v>
      </c>
      <c r="E91" s="50" t="s">
        <v>1803</v>
      </c>
      <c r="F91" s="50" t="s">
        <v>2061</v>
      </c>
      <c r="G91" s="50" t="s">
        <v>1803</v>
      </c>
      <c r="H91" s="50" t="s">
        <v>1803</v>
      </c>
      <c r="I91" s="50" t="s">
        <v>1803</v>
      </c>
      <c r="J91" s="50" t="s">
        <v>1810</v>
      </c>
      <c r="K91" s="56" t="s">
        <v>1797</v>
      </c>
      <c r="L91" s="50" t="s">
        <v>2062</v>
      </c>
      <c r="M91" s="56" t="s">
        <v>1797</v>
      </c>
      <c r="N91" s="50" t="s">
        <v>1810</v>
      </c>
      <c r="O91" s="50" t="s">
        <v>1810</v>
      </c>
      <c r="P91" s="56" t="s">
        <v>1797</v>
      </c>
    </row>
    <row r="92" spans="1:16" s="208" customFormat="1" ht="16.5" hidden="1" customHeight="1" outlineLevel="2">
      <c r="A92" s="231" t="s">
        <v>449</v>
      </c>
      <c r="B92" s="232" t="s">
        <v>450</v>
      </c>
      <c r="C92" s="50" t="s">
        <v>1810</v>
      </c>
      <c r="D92" s="50" t="s">
        <v>2063</v>
      </c>
      <c r="E92" s="50" t="s">
        <v>1803</v>
      </c>
      <c r="F92" s="50" t="s">
        <v>2064</v>
      </c>
      <c r="G92" s="50" t="s">
        <v>1803</v>
      </c>
      <c r="H92" s="50" t="s">
        <v>1803</v>
      </c>
      <c r="I92" s="50" t="s">
        <v>1803</v>
      </c>
      <c r="J92" s="50" t="s">
        <v>1810</v>
      </c>
      <c r="K92" s="56" t="s">
        <v>1797</v>
      </c>
      <c r="L92" s="50" t="s">
        <v>2065</v>
      </c>
      <c r="M92" s="56" t="s">
        <v>1797</v>
      </c>
      <c r="N92" s="50" t="s">
        <v>1810</v>
      </c>
      <c r="O92" s="50" t="s">
        <v>1810</v>
      </c>
      <c r="P92" s="56" t="s">
        <v>1797</v>
      </c>
    </row>
    <row r="93" spans="1:16" s="208" customFormat="1" ht="16.5" hidden="1" customHeight="1" outlineLevel="2">
      <c r="A93" s="231" t="s">
        <v>451</v>
      </c>
      <c r="B93" s="232" t="s">
        <v>452</v>
      </c>
      <c r="C93" s="50" t="s">
        <v>1810</v>
      </c>
      <c r="D93" s="50" t="s">
        <v>2066</v>
      </c>
      <c r="E93" s="50" t="s">
        <v>1803</v>
      </c>
      <c r="F93" s="50" t="s">
        <v>2067</v>
      </c>
      <c r="G93" s="50" t="s">
        <v>1803</v>
      </c>
      <c r="H93" s="50" t="s">
        <v>1803</v>
      </c>
      <c r="I93" s="50" t="s">
        <v>1803</v>
      </c>
      <c r="J93" s="50" t="s">
        <v>1810</v>
      </c>
      <c r="K93" s="56" t="s">
        <v>1797</v>
      </c>
      <c r="L93" s="50" t="s">
        <v>1803</v>
      </c>
      <c r="M93" s="56" t="s">
        <v>1797</v>
      </c>
      <c r="N93" s="50" t="s">
        <v>1810</v>
      </c>
      <c r="O93" s="50" t="s">
        <v>1810</v>
      </c>
      <c r="P93" s="56" t="s">
        <v>1797</v>
      </c>
    </row>
    <row r="94" spans="1:16" s="208" customFormat="1" ht="16.5" hidden="1" customHeight="1" outlineLevel="2">
      <c r="A94" s="231" t="s">
        <v>453</v>
      </c>
      <c r="B94" s="678" t="s">
        <v>454</v>
      </c>
      <c r="C94" s="50" t="s">
        <v>1810</v>
      </c>
      <c r="D94" s="50" t="s">
        <v>2068</v>
      </c>
      <c r="E94" s="50" t="s">
        <v>1803</v>
      </c>
      <c r="F94" s="50" t="s">
        <v>2069</v>
      </c>
      <c r="G94" s="50" t="s">
        <v>1803</v>
      </c>
      <c r="H94" s="50" t="s">
        <v>1803</v>
      </c>
      <c r="I94" s="50" t="s">
        <v>1803</v>
      </c>
      <c r="J94" s="50" t="s">
        <v>1810</v>
      </c>
      <c r="K94" s="56" t="s">
        <v>1797</v>
      </c>
      <c r="L94" s="50" t="s">
        <v>1803</v>
      </c>
      <c r="M94" s="56" t="s">
        <v>1797</v>
      </c>
      <c r="N94" s="50" t="s">
        <v>1810</v>
      </c>
      <c r="O94" s="50" t="s">
        <v>1810</v>
      </c>
      <c r="P94" s="56" t="s">
        <v>1797</v>
      </c>
    </row>
    <row r="95" spans="1:16" s="208" customFormat="1" ht="16.5" hidden="1" customHeight="1" outlineLevel="2">
      <c r="A95" s="231" t="s">
        <v>456</v>
      </c>
      <c r="B95" s="232" t="s">
        <v>457</v>
      </c>
      <c r="C95" s="50" t="s">
        <v>1810</v>
      </c>
      <c r="D95" s="50" t="s">
        <v>2070</v>
      </c>
      <c r="E95" s="50" t="s">
        <v>1803</v>
      </c>
      <c r="F95" s="50" t="s">
        <v>2071</v>
      </c>
      <c r="G95" s="50" t="s">
        <v>1803</v>
      </c>
      <c r="H95" s="50" t="s">
        <v>1803</v>
      </c>
      <c r="I95" s="50" t="s">
        <v>1803</v>
      </c>
      <c r="J95" s="50" t="s">
        <v>1810</v>
      </c>
      <c r="K95" s="56" t="s">
        <v>1797</v>
      </c>
      <c r="L95" s="50" t="s">
        <v>2072</v>
      </c>
      <c r="M95" s="56" t="s">
        <v>1797</v>
      </c>
      <c r="N95" s="50" t="s">
        <v>1810</v>
      </c>
      <c r="O95" s="50" t="s">
        <v>1810</v>
      </c>
      <c r="P95" s="56" t="s">
        <v>1797</v>
      </c>
    </row>
    <row r="96" spans="1:16" s="208" customFormat="1" ht="16.5" hidden="1" customHeight="1" outlineLevel="2">
      <c r="A96" s="231" t="s">
        <v>458</v>
      </c>
      <c r="B96" s="232" t="s">
        <v>459</v>
      </c>
      <c r="C96" s="50" t="s">
        <v>1810</v>
      </c>
      <c r="D96" s="50" t="s">
        <v>2073</v>
      </c>
      <c r="E96" s="50" t="s">
        <v>1803</v>
      </c>
      <c r="F96" s="50" t="s">
        <v>2074</v>
      </c>
      <c r="G96" s="50" t="s">
        <v>1803</v>
      </c>
      <c r="H96" s="50" t="s">
        <v>1803</v>
      </c>
      <c r="I96" s="50" t="s">
        <v>1803</v>
      </c>
      <c r="J96" s="50" t="s">
        <v>1810</v>
      </c>
      <c r="K96" s="56" t="s">
        <v>1797</v>
      </c>
      <c r="L96" s="50" t="s">
        <v>2075</v>
      </c>
      <c r="M96" s="56" t="s">
        <v>1797</v>
      </c>
      <c r="N96" s="50" t="s">
        <v>1810</v>
      </c>
      <c r="O96" s="50" t="s">
        <v>1810</v>
      </c>
      <c r="P96" s="56" t="s">
        <v>1797</v>
      </c>
    </row>
    <row r="97" spans="1:16" s="208" customFormat="1" ht="16.5" customHeight="1" outlineLevel="1" collapsed="1">
      <c r="A97" s="228">
        <v>3.4</v>
      </c>
      <c r="B97" s="229" t="s">
        <v>211</v>
      </c>
      <c r="C97" s="49" t="s">
        <v>1837</v>
      </c>
      <c r="D97" s="49" t="s">
        <v>1838</v>
      </c>
      <c r="E97" s="49" t="s">
        <v>1839</v>
      </c>
      <c r="F97" s="49" t="s">
        <v>1840</v>
      </c>
      <c r="G97" s="49" t="s">
        <v>1841</v>
      </c>
      <c r="H97" s="49" t="s">
        <v>1840</v>
      </c>
      <c r="I97" s="49" t="s">
        <v>1841</v>
      </c>
      <c r="J97" s="49" t="s">
        <v>1842</v>
      </c>
      <c r="K97" s="54" t="s">
        <v>1797</v>
      </c>
      <c r="L97" s="49" t="s">
        <v>1843</v>
      </c>
      <c r="M97" s="54" t="s">
        <v>1797</v>
      </c>
      <c r="N97" s="49" t="s">
        <v>1844</v>
      </c>
      <c r="O97" s="49" t="s">
        <v>1845</v>
      </c>
      <c r="P97" s="54" t="s">
        <v>1797</v>
      </c>
    </row>
    <row r="98" spans="1:16" s="208" customFormat="1" ht="16.5" hidden="1" customHeight="1" outlineLevel="2">
      <c r="A98" s="231" t="s">
        <v>460</v>
      </c>
      <c r="B98" s="677" t="s">
        <v>461</v>
      </c>
      <c r="C98" s="679" t="s">
        <v>2076</v>
      </c>
      <c r="D98" s="679" t="s">
        <v>2077</v>
      </c>
      <c r="E98" s="679" t="s">
        <v>1803</v>
      </c>
      <c r="F98" s="680" t="s">
        <v>2078</v>
      </c>
      <c r="G98" s="50" t="s">
        <v>1803</v>
      </c>
      <c r="H98" s="50" t="s">
        <v>1803</v>
      </c>
      <c r="I98" s="50" t="s">
        <v>1803</v>
      </c>
      <c r="J98" s="50" t="s">
        <v>1789</v>
      </c>
      <c r="K98" s="56" t="s">
        <v>1797</v>
      </c>
      <c r="L98" s="50" t="s">
        <v>1803</v>
      </c>
      <c r="M98" s="56" t="s">
        <v>1797</v>
      </c>
      <c r="N98" s="50" t="s">
        <v>2079</v>
      </c>
      <c r="O98" s="50" t="s">
        <v>2080</v>
      </c>
      <c r="P98" s="56" t="s">
        <v>1797</v>
      </c>
    </row>
    <row r="99" spans="1:16" s="208" customFormat="1" ht="16.5" hidden="1" customHeight="1" outlineLevel="2">
      <c r="A99" s="231" t="s">
        <v>462</v>
      </c>
      <c r="B99" s="232" t="s">
        <v>463</v>
      </c>
      <c r="C99" s="50" t="s">
        <v>2081</v>
      </c>
      <c r="D99" s="50" t="s">
        <v>2082</v>
      </c>
      <c r="E99" s="50" t="s">
        <v>1803</v>
      </c>
      <c r="F99" s="681" t="s">
        <v>2083</v>
      </c>
      <c r="G99" s="50" t="s">
        <v>1803</v>
      </c>
      <c r="H99" s="50" t="s">
        <v>1803</v>
      </c>
      <c r="I99" s="50" t="s">
        <v>1803</v>
      </c>
      <c r="J99" s="50" t="s">
        <v>1810</v>
      </c>
      <c r="K99" s="56" t="s">
        <v>1797</v>
      </c>
      <c r="L99" s="50" t="s">
        <v>1803</v>
      </c>
      <c r="M99" s="56" t="s">
        <v>1797</v>
      </c>
      <c r="N99" s="50" t="s">
        <v>2084</v>
      </c>
      <c r="O99" s="50" t="s">
        <v>2085</v>
      </c>
      <c r="P99" s="56" t="s">
        <v>1797</v>
      </c>
    </row>
    <row r="100" spans="1:16" s="208" customFormat="1" ht="16.5" hidden="1" customHeight="1" outlineLevel="2">
      <c r="A100" s="231" t="s">
        <v>464</v>
      </c>
      <c r="B100" s="232" t="s">
        <v>131</v>
      </c>
      <c r="C100" s="50" t="s">
        <v>1810</v>
      </c>
      <c r="D100" s="50" t="s">
        <v>2086</v>
      </c>
      <c r="E100" s="50" t="s">
        <v>1803</v>
      </c>
      <c r="F100" s="681" t="s">
        <v>2087</v>
      </c>
      <c r="G100" s="50" t="s">
        <v>1803</v>
      </c>
      <c r="H100" s="50" t="s">
        <v>1803</v>
      </c>
      <c r="I100" s="50" t="s">
        <v>1803</v>
      </c>
      <c r="J100" s="50" t="s">
        <v>1810</v>
      </c>
      <c r="K100" s="56" t="s">
        <v>1797</v>
      </c>
      <c r="L100" s="50" t="s">
        <v>2088</v>
      </c>
      <c r="M100" s="56" t="s">
        <v>1797</v>
      </c>
      <c r="N100" s="50" t="s">
        <v>1810</v>
      </c>
      <c r="O100" s="50" t="s">
        <v>1810</v>
      </c>
      <c r="P100" s="56" t="s">
        <v>1797</v>
      </c>
    </row>
    <row r="101" spans="1:16" s="208" customFormat="1" ht="16.5" customHeight="1" outlineLevel="1" collapsed="1">
      <c r="A101" s="228">
        <v>3.5</v>
      </c>
      <c r="B101" s="229" t="s">
        <v>465</v>
      </c>
      <c r="C101" s="49" t="s">
        <v>1837</v>
      </c>
      <c r="D101" s="49" t="s">
        <v>1838</v>
      </c>
      <c r="E101" s="49" t="s">
        <v>1839</v>
      </c>
      <c r="F101" s="49" t="s">
        <v>1840</v>
      </c>
      <c r="G101" s="49" t="s">
        <v>1841</v>
      </c>
      <c r="H101" s="49" t="s">
        <v>1840</v>
      </c>
      <c r="I101" s="49" t="s">
        <v>1841</v>
      </c>
      <c r="J101" s="49" t="s">
        <v>1842</v>
      </c>
      <c r="K101" s="54" t="s">
        <v>1797</v>
      </c>
      <c r="L101" s="49" t="s">
        <v>1843</v>
      </c>
      <c r="M101" s="54" t="s">
        <v>1797</v>
      </c>
      <c r="N101" s="49" t="s">
        <v>1844</v>
      </c>
      <c r="O101" s="49" t="s">
        <v>1845</v>
      </c>
      <c r="P101" s="54" t="s">
        <v>1797</v>
      </c>
    </row>
    <row r="102" spans="1:16" s="208" customFormat="1" ht="16.5" hidden="1" customHeight="1" outlineLevel="2">
      <c r="A102" s="231" t="s">
        <v>466</v>
      </c>
      <c r="B102" s="232" t="s">
        <v>202</v>
      </c>
      <c r="C102" s="50" t="s">
        <v>2089</v>
      </c>
      <c r="D102" s="50" t="s">
        <v>2090</v>
      </c>
      <c r="E102" s="50" t="s">
        <v>1803</v>
      </c>
      <c r="F102" s="50" t="s">
        <v>2091</v>
      </c>
      <c r="G102" s="50" t="s">
        <v>1803</v>
      </c>
      <c r="H102" s="50" t="s">
        <v>1803</v>
      </c>
      <c r="I102" s="50" t="s">
        <v>1803</v>
      </c>
      <c r="J102" s="50" t="s">
        <v>1789</v>
      </c>
      <c r="K102" s="56" t="s">
        <v>1797</v>
      </c>
      <c r="L102" s="50" t="s">
        <v>1803</v>
      </c>
      <c r="M102" s="56" t="s">
        <v>1797</v>
      </c>
      <c r="N102" s="50" t="s">
        <v>2092</v>
      </c>
      <c r="O102" s="50" t="s">
        <v>2093</v>
      </c>
      <c r="P102" s="56" t="s">
        <v>1797</v>
      </c>
    </row>
    <row r="103" spans="1:16" s="208" customFormat="1" ht="16.5" hidden="1" customHeight="1" outlineLevel="2">
      <c r="A103" s="231" t="s">
        <v>467</v>
      </c>
      <c r="B103" s="232" t="s">
        <v>468</v>
      </c>
      <c r="C103" s="50" t="s">
        <v>2094</v>
      </c>
      <c r="D103" s="50" t="s">
        <v>2095</v>
      </c>
      <c r="E103" s="50" t="s">
        <v>1803</v>
      </c>
      <c r="F103" s="50" t="s">
        <v>2096</v>
      </c>
      <c r="G103" s="50" t="s">
        <v>1803</v>
      </c>
      <c r="H103" s="50" t="s">
        <v>1803</v>
      </c>
      <c r="I103" s="50" t="s">
        <v>1803</v>
      </c>
      <c r="J103" s="50" t="s">
        <v>1803</v>
      </c>
      <c r="K103" s="56" t="s">
        <v>1797</v>
      </c>
      <c r="L103" s="50" t="s">
        <v>1803</v>
      </c>
      <c r="M103" s="56" t="s">
        <v>1797</v>
      </c>
      <c r="N103" s="50" t="s">
        <v>2097</v>
      </c>
      <c r="O103" s="50" t="s">
        <v>2098</v>
      </c>
      <c r="P103" s="56" t="s">
        <v>1797</v>
      </c>
    </row>
    <row r="104" spans="1:16" s="208" customFormat="1" ht="16.5" customHeight="1" outlineLevel="1" collapsed="1">
      <c r="A104" s="228">
        <v>3.6</v>
      </c>
      <c r="B104" s="229" t="s">
        <v>2099</v>
      </c>
      <c r="C104" s="51" t="s">
        <v>2100</v>
      </c>
      <c r="D104" s="51" t="s">
        <v>2101</v>
      </c>
      <c r="E104" s="51" t="s">
        <v>1803</v>
      </c>
      <c r="F104" s="51" t="s">
        <v>2102</v>
      </c>
      <c r="G104" s="51" t="s">
        <v>1803</v>
      </c>
      <c r="H104" s="51" t="s">
        <v>1803</v>
      </c>
      <c r="I104" s="51" t="s">
        <v>1803</v>
      </c>
      <c r="J104" s="51" t="s">
        <v>1789</v>
      </c>
      <c r="K104" s="54" t="s">
        <v>1797</v>
      </c>
      <c r="L104" s="51" t="s">
        <v>1803</v>
      </c>
      <c r="M104" s="54" t="s">
        <v>1797</v>
      </c>
      <c r="N104" s="51" t="s">
        <v>2103</v>
      </c>
      <c r="O104" s="51" t="s">
        <v>2104</v>
      </c>
      <c r="P104" s="58"/>
    </row>
    <row r="105" spans="1:16" s="208" customFormat="1" ht="16.5" customHeight="1">
      <c r="A105" s="224" t="s">
        <v>212</v>
      </c>
      <c r="B105" s="225" t="s">
        <v>164</v>
      </c>
      <c r="C105" s="49" t="s">
        <v>2105</v>
      </c>
      <c r="D105" s="49" t="s">
        <v>2106</v>
      </c>
      <c r="E105" s="49" t="s">
        <v>2107</v>
      </c>
      <c r="F105" s="49" t="s">
        <v>2108</v>
      </c>
      <c r="G105" s="49" t="s">
        <v>2109</v>
      </c>
      <c r="H105" s="49" t="s">
        <v>2108</v>
      </c>
      <c r="I105" s="49" t="s">
        <v>2109</v>
      </c>
      <c r="J105" s="49" t="s">
        <v>2110</v>
      </c>
      <c r="K105" s="54" t="s">
        <v>1797</v>
      </c>
      <c r="L105" s="49" t="s">
        <v>2111</v>
      </c>
      <c r="M105" s="54" t="s">
        <v>1797</v>
      </c>
      <c r="N105" s="49" t="s">
        <v>2112</v>
      </c>
      <c r="O105" s="49" t="s">
        <v>2113</v>
      </c>
      <c r="P105" s="54" t="s">
        <v>1797</v>
      </c>
    </row>
    <row r="106" spans="1:16" s="208" customFormat="1" ht="16.5" customHeight="1" outlineLevel="1">
      <c r="A106" s="228">
        <v>4.0999999999999996</v>
      </c>
      <c r="B106" s="229" t="s">
        <v>213</v>
      </c>
      <c r="C106" s="49" t="s">
        <v>1837</v>
      </c>
      <c r="D106" s="49" t="s">
        <v>1838</v>
      </c>
      <c r="E106" s="49" t="s">
        <v>1839</v>
      </c>
      <c r="F106" s="49" t="s">
        <v>1840</v>
      </c>
      <c r="G106" s="49" t="s">
        <v>1841</v>
      </c>
      <c r="H106" s="49" t="s">
        <v>1840</v>
      </c>
      <c r="I106" s="49" t="s">
        <v>1841</v>
      </c>
      <c r="J106" s="49" t="s">
        <v>1842</v>
      </c>
      <c r="K106" s="54" t="s">
        <v>1797</v>
      </c>
      <c r="L106" s="49" t="s">
        <v>1843</v>
      </c>
      <c r="M106" s="54" t="s">
        <v>1797</v>
      </c>
      <c r="N106" s="49" t="s">
        <v>1844</v>
      </c>
      <c r="O106" s="49" t="s">
        <v>1845</v>
      </c>
      <c r="P106" s="54" t="s">
        <v>1797</v>
      </c>
    </row>
    <row r="107" spans="1:16" s="208" customFormat="1" ht="16.5" hidden="1" customHeight="1" outlineLevel="2">
      <c r="A107" s="231" t="s">
        <v>471</v>
      </c>
      <c r="B107" s="232" t="s">
        <v>214</v>
      </c>
      <c r="C107" s="50" t="s">
        <v>2114</v>
      </c>
      <c r="D107" s="681" t="s">
        <v>2115</v>
      </c>
      <c r="E107" s="50" t="s">
        <v>1803</v>
      </c>
      <c r="F107" s="681" t="s">
        <v>2116</v>
      </c>
      <c r="G107" s="50" t="s">
        <v>1803</v>
      </c>
      <c r="H107" s="50" t="s">
        <v>1803</v>
      </c>
      <c r="I107" s="50" t="s">
        <v>1803</v>
      </c>
      <c r="J107" s="50" t="s">
        <v>1789</v>
      </c>
      <c r="K107" s="56" t="s">
        <v>1797</v>
      </c>
      <c r="L107" s="50" t="s">
        <v>2117</v>
      </c>
      <c r="M107" s="56" t="s">
        <v>1797</v>
      </c>
      <c r="N107" s="50" t="s">
        <v>2118</v>
      </c>
      <c r="O107" s="50" t="s">
        <v>2119</v>
      </c>
      <c r="P107" s="56" t="s">
        <v>1797</v>
      </c>
    </row>
    <row r="108" spans="1:16" s="208" customFormat="1" ht="16.5" hidden="1" customHeight="1" outlineLevel="2">
      <c r="A108" s="231" t="s">
        <v>472</v>
      </c>
      <c r="B108" s="232" t="s">
        <v>473</v>
      </c>
      <c r="C108" s="50" t="s">
        <v>2120</v>
      </c>
      <c r="D108" s="681" t="s">
        <v>2121</v>
      </c>
      <c r="E108" s="50" t="s">
        <v>1803</v>
      </c>
      <c r="F108" s="681" t="s">
        <v>2122</v>
      </c>
      <c r="G108" s="50" t="s">
        <v>1803</v>
      </c>
      <c r="H108" s="50" t="s">
        <v>1803</v>
      </c>
      <c r="I108" s="50" t="s">
        <v>1803</v>
      </c>
      <c r="J108" s="50" t="s">
        <v>1810</v>
      </c>
      <c r="K108" s="56" t="s">
        <v>1797</v>
      </c>
      <c r="L108" s="50" t="s">
        <v>2123</v>
      </c>
      <c r="M108" s="56" t="s">
        <v>1797</v>
      </c>
      <c r="N108" s="50" t="s">
        <v>2124</v>
      </c>
      <c r="O108" s="50" t="s">
        <v>2125</v>
      </c>
      <c r="P108" s="56" t="s">
        <v>1797</v>
      </c>
    </row>
    <row r="109" spans="1:16" s="208" customFormat="1" ht="16.5" hidden="1" customHeight="1" outlineLevel="2">
      <c r="A109" s="231" t="s">
        <v>474</v>
      </c>
      <c r="B109" s="232" t="s">
        <v>475</v>
      </c>
      <c r="C109" s="50" t="s">
        <v>1810</v>
      </c>
      <c r="D109" s="681" t="s">
        <v>2126</v>
      </c>
      <c r="E109" s="50" t="s">
        <v>1803</v>
      </c>
      <c r="F109" s="681" t="s">
        <v>2127</v>
      </c>
      <c r="G109" s="50" t="s">
        <v>1803</v>
      </c>
      <c r="H109" s="50" t="s">
        <v>1803</v>
      </c>
      <c r="I109" s="50" t="s">
        <v>1803</v>
      </c>
      <c r="J109" s="50" t="s">
        <v>1810</v>
      </c>
      <c r="K109" s="56" t="s">
        <v>1797</v>
      </c>
      <c r="L109" s="50" t="s">
        <v>1810</v>
      </c>
      <c r="M109" s="56" t="s">
        <v>1797</v>
      </c>
      <c r="N109" s="50" t="s">
        <v>1810</v>
      </c>
      <c r="O109" s="50" t="s">
        <v>1810</v>
      </c>
      <c r="P109" s="56" t="s">
        <v>1797</v>
      </c>
    </row>
    <row r="110" spans="1:16" s="208" customFormat="1" ht="16.5" hidden="1" customHeight="1" outlineLevel="2">
      <c r="A110" s="231" t="s">
        <v>476</v>
      </c>
      <c r="B110" s="232" t="s">
        <v>477</v>
      </c>
      <c r="C110" s="50" t="s">
        <v>1810</v>
      </c>
      <c r="D110" s="681" t="s">
        <v>2128</v>
      </c>
      <c r="E110" s="50" t="s">
        <v>1803</v>
      </c>
      <c r="F110" s="681" t="s">
        <v>2129</v>
      </c>
      <c r="G110" s="50" t="s">
        <v>1803</v>
      </c>
      <c r="H110" s="50" t="s">
        <v>1803</v>
      </c>
      <c r="I110" s="50" t="s">
        <v>1803</v>
      </c>
      <c r="J110" s="50" t="s">
        <v>1810</v>
      </c>
      <c r="K110" s="56" t="s">
        <v>1797</v>
      </c>
      <c r="L110" s="50" t="s">
        <v>1810</v>
      </c>
      <c r="M110" s="56" t="s">
        <v>1797</v>
      </c>
      <c r="N110" s="50" t="s">
        <v>1810</v>
      </c>
      <c r="O110" s="50" t="s">
        <v>1810</v>
      </c>
      <c r="P110" s="56" t="s">
        <v>1797</v>
      </c>
    </row>
    <row r="111" spans="1:16" s="208" customFormat="1" ht="16.5" hidden="1" customHeight="1" outlineLevel="2">
      <c r="A111" s="231" t="s">
        <v>478</v>
      </c>
      <c r="B111" s="232" t="s">
        <v>215</v>
      </c>
      <c r="C111" s="50" t="s">
        <v>1810</v>
      </c>
      <c r="D111" s="681" t="s">
        <v>2130</v>
      </c>
      <c r="E111" s="50" t="s">
        <v>1803</v>
      </c>
      <c r="F111" s="681" t="s">
        <v>2131</v>
      </c>
      <c r="G111" s="50" t="s">
        <v>1803</v>
      </c>
      <c r="H111" s="50" t="s">
        <v>1803</v>
      </c>
      <c r="I111" s="50" t="s">
        <v>1803</v>
      </c>
      <c r="J111" s="50" t="s">
        <v>1810</v>
      </c>
      <c r="K111" s="56" t="s">
        <v>1797</v>
      </c>
      <c r="L111" s="50" t="s">
        <v>1810</v>
      </c>
      <c r="M111" s="56" t="s">
        <v>1797</v>
      </c>
      <c r="N111" s="50" t="s">
        <v>1810</v>
      </c>
      <c r="O111" s="50" t="s">
        <v>1810</v>
      </c>
      <c r="P111" s="56" t="s">
        <v>1797</v>
      </c>
    </row>
    <row r="112" spans="1:16" s="208" customFormat="1" ht="16.5" hidden="1" customHeight="1" outlineLevel="2">
      <c r="A112" s="231" t="s">
        <v>479</v>
      </c>
      <c r="B112" s="232" t="s">
        <v>480</v>
      </c>
      <c r="C112" s="50" t="s">
        <v>1810</v>
      </c>
      <c r="D112" s="681" t="s">
        <v>2132</v>
      </c>
      <c r="E112" s="50" t="s">
        <v>1803</v>
      </c>
      <c r="F112" s="681" t="s">
        <v>2133</v>
      </c>
      <c r="G112" s="50" t="s">
        <v>1803</v>
      </c>
      <c r="H112" s="50" t="s">
        <v>1803</v>
      </c>
      <c r="I112" s="50" t="s">
        <v>1803</v>
      </c>
      <c r="J112" s="50" t="s">
        <v>1810</v>
      </c>
      <c r="K112" s="56" t="s">
        <v>1797</v>
      </c>
      <c r="L112" s="50" t="s">
        <v>1810</v>
      </c>
      <c r="M112" s="56" t="s">
        <v>1797</v>
      </c>
      <c r="N112" s="50" t="s">
        <v>1810</v>
      </c>
      <c r="O112" s="50" t="s">
        <v>1810</v>
      </c>
      <c r="P112" s="56" t="s">
        <v>1797</v>
      </c>
    </row>
    <row r="113" spans="1:16" s="208" customFormat="1" ht="16.5" hidden="1" customHeight="1" outlineLevel="2">
      <c r="A113" s="231" t="s">
        <v>481</v>
      </c>
      <c r="B113" s="232" t="s">
        <v>216</v>
      </c>
      <c r="C113" s="50" t="s">
        <v>1810</v>
      </c>
      <c r="D113" s="681" t="s">
        <v>2134</v>
      </c>
      <c r="E113" s="50" t="s">
        <v>1803</v>
      </c>
      <c r="F113" s="681" t="s">
        <v>2135</v>
      </c>
      <c r="G113" s="50" t="s">
        <v>1803</v>
      </c>
      <c r="H113" s="50" t="s">
        <v>1803</v>
      </c>
      <c r="I113" s="50" t="s">
        <v>1803</v>
      </c>
      <c r="J113" s="50" t="s">
        <v>1810</v>
      </c>
      <c r="K113" s="56" t="s">
        <v>1797</v>
      </c>
      <c r="L113" s="50" t="s">
        <v>1810</v>
      </c>
      <c r="M113" s="56" t="s">
        <v>1797</v>
      </c>
      <c r="N113" s="50" t="s">
        <v>1810</v>
      </c>
      <c r="O113" s="50" t="s">
        <v>1810</v>
      </c>
      <c r="P113" s="56" t="s">
        <v>1797</v>
      </c>
    </row>
    <row r="114" spans="1:16" s="208" customFormat="1" ht="16.5" customHeight="1" outlineLevel="1" collapsed="1">
      <c r="A114" s="228">
        <v>4.2</v>
      </c>
      <c r="B114" s="229" t="s">
        <v>482</v>
      </c>
      <c r="C114" s="49" t="s">
        <v>1837</v>
      </c>
      <c r="D114" s="49" t="s">
        <v>1838</v>
      </c>
      <c r="E114" s="49" t="s">
        <v>1839</v>
      </c>
      <c r="F114" s="49" t="s">
        <v>1840</v>
      </c>
      <c r="G114" s="49" t="s">
        <v>1841</v>
      </c>
      <c r="H114" s="49" t="s">
        <v>1840</v>
      </c>
      <c r="I114" s="49" t="s">
        <v>1841</v>
      </c>
      <c r="J114" s="49" t="s">
        <v>1842</v>
      </c>
      <c r="K114" s="54" t="s">
        <v>1797</v>
      </c>
      <c r="L114" s="49" t="s">
        <v>1843</v>
      </c>
      <c r="M114" s="54" t="s">
        <v>1797</v>
      </c>
      <c r="N114" s="49" t="s">
        <v>1844</v>
      </c>
      <c r="O114" s="49" t="s">
        <v>1845</v>
      </c>
      <c r="P114" s="54" t="s">
        <v>1797</v>
      </c>
    </row>
    <row r="115" spans="1:16" s="208" customFormat="1" ht="16.5" hidden="1" customHeight="1" outlineLevel="2">
      <c r="A115" s="231" t="s">
        <v>483</v>
      </c>
      <c r="B115" s="232" t="s">
        <v>217</v>
      </c>
      <c r="C115" s="50" t="s">
        <v>2136</v>
      </c>
      <c r="D115" s="681" t="s">
        <v>2137</v>
      </c>
      <c r="E115" s="50" t="s">
        <v>1803</v>
      </c>
      <c r="F115" s="681" t="s">
        <v>2138</v>
      </c>
      <c r="G115" s="50" t="s">
        <v>1803</v>
      </c>
      <c r="H115" s="50" t="s">
        <v>1803</v>
      </c>
      <c r="I115" s="50" t="s">
        <v>1803</v>
      </c>
      <c r="J115" s="50" t="s">
        <v>1789</v>
      </c>
      <c r="K115" s="56" t="s">
        <v>1797</v>
      </c>
      <c r="L115" s="50" t="s">
        <v>2139</v>
      </c>
      <c r="M115" s="56" t="s">
        <v>1797</v>
      </c>
      <c r="N115" s="50" t="s">
        <v>2140</v>
      </c>
      <c r="O115" s="50" t="s">
        <v>2141</v>
      </c>
      <c r="P115" s="56" t="s">
        <v>1797</v>
      </c>
    </row>
    <row r="116" spans="1:16" s="208" customFormat="1" ht="16.5" hidden="1" customHeight="1" outlineLevel="2">
      <c r="A116" s="231" t="s">
        <v>484</v>
      </c>
      <c r="B116" s="232" t="s">
        <v>485</v>
      </c>
      <c r="C116" s="50" t="s">
        <v>2142</v>
      </c>
      <c r="D116" s="681" t="s">
        <v>2143</v>
      </c>
      <c r="E116" s="50" t="s">
        <v>1803</v>
      </c>
      <c r="F116" s="50" t="s">
        <v>1803</v>
      </c>
      <c r="G116" s="50" t="s">
        <v>1803</v>
      </c>
      <c r="H116" s="50" t="s">
        <v>1803</v>
      </c>
      <c r="I116" s="50" t="s">
        <v>1803</v>
      </c>
      <c r="J116" s="50" t="s">
        <v>1810</v>
      </c>
      <c r="K116" s="56" t="s">
        <v>1797</v>
      </c>
      <c r="L116" s="50" t="s">
        <v>2144</v>
      </c>
      <c r="M116" s="56" t="s">
        <v>1797</v>
      </c>
      <c r="N116" s="50" t="s">
        <v>2145</v>
      </c>
      <c r="O116" s="50" t="s">
        <v>2146</v>
      </c>
      <c r="P116" s="56" t="s">
        <v>1797</v>
      </c>
    </row>
    <row r="117" spans="1:16" s="208" customFormat="1" ht="16.5" hidden="1" customHeight="1" outlineLevel="2">
      <c r="A117" s="231" t="s">
        <v>486</v>
      </c>
      <c r="B117" s="232" t="s">
        <v>487</v>
      </c>
      <c r="C117" s="50" t="s">
        <v>1810</v>
      </c>
      <c r="D117" s="681" t="s">
        <v>2147</v>
      </c>
      <c r="E117" s="50" t="s">
        <v>1803</v>
      </c>
      <c r="F117" s="50" t="s">
        <v>1803</v>
      </c>
      <c r="G117" s="50" t="s">
        <v>1803</v>
      </c>
      <c r="H117" s="50" t="s">
        <v>1803</v>
      </c>
      <c r="I117" s="50" t="s">
        <v>1803</v>
      </c>
      <c r="J117" s="50" t="s">
        <v>1810</v>
      </c>
      <c r="K117" s="56" t="s">
        <v>1797</v>
      </c>
      <c r="L117" s="50" t="s">
        <v>1810</v>
      </c>
      <c r="M117" s="56" t="s">
        <v>1797</v>
      </c>
      <c r="N117" s="50" t="s">
        <v>1810</v>
      </c>
      <c r="O117" s="50" t="s">
        <v>1810</v>
      </c>
      <c r="P117" s="56" t="s">
        <v>1797</v>
      </c>
    </row>
    <row r="118" spans="1:16" s="208" customFormat="1" ht="16.5" hidden="1" customHeight="1" outlineLevel="2">
      <c r="A118" s="231" t="s">
        <v>488</v>
      </c>
      <c r="B118" s="232" t="s">
        <v>489</v>
      </c>
      <c r="C118" s="50" t="s">
        <v>1810</v>
      </c>
      <c r="D118" s="681" t="s">
        <v>2148</v>
      </c>
      <c r="E118" s="50" t="s">
        <v>1803</v>
      </c>
      <c r="F118" s="50" t="s">
        <v>1803</v>
      </c>
      <c r="G118" s="50" t="s">
        <v>1803</v>
      </c>
      <c r="H118" s="50" t="s">
        <v>1803</v>
      </c>
      <c r="I118" s="50" t="s">
        <v>1803</v>
      </c>
      <c r="J118" s="50" t="s">
        <v>1810</v>
      </c>
      <c r="K118" s="56" t="s">
        <v>1797</v>
      </c>
      <c r="L118" s="50" t="s">
        <v>1810</v>
      </c>
      <c r="M118" s="56" t="s">
        <v>1797</v>
      </c>
      <c r="N118" s="50" t="s">
        <v>1810</v>
      </c>
      <c r="O118" s="50" t="s">
        <v>1810</v>
      </c>
      <c r="P118" s="56" t="s">
        <v>1797</v>
      </c>
    </row>
    <row r="119" spans="1:16" s="208" customFormat="1" ht="16.5" hidden="1" customHeight="1" outlineLevel="2">
      <c r="A119" s="231" t="s">
        <v>490</v>
      </c>
      <c r="B119" s="232" t="s">
        <v>126</v>
      </c>
      <c r="C119" s="50" t="s">
        <v>1810</v>
      </c>
      <c r="D119" s="681" t="s">
        <v>2149</v>
      </c>
      <c r="E119" s="50" t="s">
        <v>1803</v>
      </c>
      <c r="F119" s="681" t="s">
        <v>2150</v>
      </c>
      <c r="G119" s="50" t="s">
        <v>1803</v>
      </c>
      <c r="H119" s="50" t="s">
        <v>1803</v>
      </c>
      <c r="I119" s="50" t="s">
        <v>1803</v>
      </c>
      <c r="J119" s="50" t="s">
        <v>1810</v>
      </c>
      <c r="K119" s="56" t="s">
        <v>1797</v>
      </c>
      <c r="L119" s="50" t="s">
        <v>1810</v>
      </c>
      <c r="M119" s="56" t="s">
        <v>1797</v>
      </c>
      <c r="N119" s="50" t="s">
        <v>1810</v>
      </c>
      <c r="O119" s="50" t="s">
        <v>1810</v>
      </c>
      <c r="P119" s="56" t="s">
        <v>1797</v>
      </c>
    </row>
    <row r="120" spans="1:16" s="208" customFormat="1" ht="16.5" hidden="1" customHeight="1" outlineLevel="2">
      <c r="A120" s="231" t="s">
        <v>491</v>
      </c>
      <c r="B120" s="232" t="s">
        <v>125</v>
      </c>
      <c r="C120" s="50" t="s">
        <v>1810</v>
      </c>
      <c r="D120" s="681" t="s">
        <v>2151</v>
      </c>
      <c r="E120" s="50" t="s">
        <v>1803</v>
      </c>
      <c r="F120" s="681" t="s">
        <v>2152</v>
      </c>
      <c r="G120" s="50" t="s">
        <v>1803</v>
      </c>
      <c r="H120" s="50" t="s">
        <v>1803</v>
      </c>
      <c r="I120" s="50" t="s">
        <v>1803</v>
      </c>
      <c r="J120" s="50" t="s">
        <v>1810</v>
      </c>
      <c r="K120" s="56" t="s">
        <v>1797</v>
      </c>
      <c r="L120" s="50" t="s">
        <v>1810</v>
      </c>
      <c r="M120" s="56" t="s">
        <v>1797</v>
      </c>
      <c r="N120" s="50" t="s">
        <v>1810</v>
      </c>
      <c r="O120" s="50" t="s">
        <v>1810</v>
      </c>
      <c r="P120" s="56" t="s">
        <v>1797</v>
      </c>
    </row>
    <row r="121" spans="1:16" s="208" customFormat="1" ht="16.5" hidden="1" customHeight="1" outlineLevel="2">
      <c r="A121" s="231" t="s">
        <v>492</v>
      </c>
      <c r="B121" s="232" t="s">
        <v>493</v>
      </c>
      <c r="C121" s="50" t="s">
        <v>1810</v>
      </c>
      <c r="D121" s="681" t="s">
        <v>2153</v>
      </c>
      <c r="E121" s="50" t="s">
        <v>1803</v>
      </c>
      <c r="F121" s="681" t="s">
        <v>2154</v>
      </c>
      <c r="G121" s="50" t="s">
        <v>1803</v>
      </c>
      <c r="H121" s="50" t="s">
        <v>1803</v>
      </c>
      <c r="I121" s="50" t="s">
        <v>1803</v>
      </c>
      <c r="J121" s="50" t="s">
        <v>1810</v>
      </c>
      <c r="K121" s="56" t="s">
        <v>1797</v>
      </c>
      <c r="L121" s="50" t="s">
        <v>1810</v>
      </c>
      <c r="M121" s="56" t="s">
        <v>1797</v>
      </c>
      <c r="N121" s="50" t="s">
        <v>1810</v>
      </c>
      <c r="O121" s="50" t="s">
        <v>1810</v>
      </c>
      <c r="P121" s="56" t="s">
        <v>1797</v>
      </c>
    </row>
    <row r="122" spans="1:16" s="208" customFormat="1" ht="16.5" hidden="1" customHeight="1" outlineLevel="2">
      <c r="A122" s="231" t="s">
        <v>494</v>
      </c>
      <c r="B122" s="232" t="s">
        <v>495</v>
      </c>
      <c r="C122" s="50" t="s">
        <v>1810</v>
      </c>
      <c r="D122" s="681" t="s">
        <v>2155</v>
      </c>
      <c r="E122" s="50" t="s">
        <v>1803</v>
      </c>
      <c r="F122" s="681" t="s">
        <v>2156</v>
      </c>
      <c r="G122" s="50" t="s">
        <v>1803</v>
      </c>
      <c r="H122" s="50" t="s">
        <v>1803</v>
      </c>
      <c r="I122" s="50" t="s">
        <v>1803</v>
      </c>
      <c r="J122" s="50" t="s">
        <v>1810</v>
      </c>
      <c r="K122" s="56" t="s">
        <v>1797</v>
      </c>
      <c r="L122" s="50" t="s">
        <v>1810</v>
      </c>
      <c r="M122" s="56" t="s">
        <v>1797</v>
      </c>
      <c r="N122" s="50" t="s">
        <v>1810</v>
      </c>
      <c r="O122" s="50" t="s">
        <v>1810</v>
      </c>
      <c r="P122" s="56" t="s">
        <v>1797</v>
      </c>
    </row>
    <row r="123" spans="1:16" s="208" customFormat="1" ht="16.5" hidden="1" customHeight="1" outlineLevel="2">
      <c r="A123" s="231" t="s">
        <v>496</v>
      </c>
      <c r="B123" s="232" t="s">
        <v>497</v>
      </c>
      <c r="C123" s="50" t="s">
        <v>1810</v>
      </c>
      <c r="D123" s="681" t="s">
        <v>2157</v>
      </c>
      <c r="E123" s="50" t="s">
        <v>1803</v>
      </c>
      <c r="F123" s="681" t="s">
        <v>2158</v>
      </c>
      <c r="G123" s="50" t="s">
        <v>1803</v>
      </c>
      <c r="H123" s="50" t="s">
        <v>1803</v>
      </c>
      <c r="I123" s="50" t="s">
        <v>1803</v>
      </c>
      <c r="J123" s="50" t="s">
        <v>1810</v>
      </c>
      <c r="K123" s="56" t="s">
        <v>1797</v>
      </c>
      <c r="L123" s="50" t="s">
        <v>1810</v>
      </c>
      <c r="M123" s="56" t="s">
        <v>1797</v>
      </c>
      <c r="N123" s="50" t="s">
        <v>1810</v>
      </c>
      <c r="O123" s="50" t="s">
        <v>1810</v>
      </c>
      <c r="P123" s="56" t="s">
        <v>1797</v>
      </c>
    </row>
    <row r="124" spans="1:16" s="208" customFormat="1" ht="16.5" customHeight="1" outlineLevel="1" collapsed="1">
      <c r="A124" s="228">
        <v>4.3</v>
      </c>
      <c r="B124" s="229" t="s">
        <v>498</v>
      </c>
      <c r="C124" s="49" t="s">
        <v>1837</v>
      </c>
      <c r="D124" s="49" t="s">
        <v>1838</v>
      </c>
      <c r="E124" s="49" t="s">
        <v>1839</v>
      </c>
      <c r="F124" s="49" t="s">
        <v>1840</v>
      </c>
      <c r="G124" s="49" t="s">
        <v>1841</v>
      </c>
      <c r="H124" s="49" t="s">
        <v>1840</v>
      </c>
      <c r="I124" s="49" t="s">
        <v>1841</v>
      </c>
      <c r="J124" s="49" t="s">
        <v>1842</v>
      </c>
      <c r="K124" s="54" t="s">
        <v>1797</v>
      </c>
      <c r="L124" s="49" t="s">
        <v>1843</v>
      </c>
      <c r="M124" s="54" t="s">
        <v>1797</v>
      </c>
      <c r="N124" s="49" t="s">
        <v>1844</v>
      </c>
      <c r="O124" s="49" t="s">
        <v>1845</v>
      </c>
      <c r="P124" s="54" t="s">
        <v>1797</v>
      </c>
    </row>
    <row r="125" spans="1:16" s="208" customFormat="1" ht="16.5" hidden="1" customHeight="1" outlineLevel="2">
      <c r="A125" s="231" t="s">
        <v>499</v>
      </c>
      <c r="B125" s="232" t="s">
        <v>500</v>
      </c>
      <c r="C125" s="50" t="s">
        <v>2159</v>
      </c>
      <c r="D125" s="50" t="s">
        <v>2160</v>
      </c>
      <c r="E125" s="50" t="s">
        <v>1803</v>
      </c>
      <c r="F125" s="50" t="s">
        <v>1803</v>
      </c>
      <c r="G125" s="50" t="s">
        <v>1803</v>
      </c>
      <c r="H125" s="50" t="s">
        <v>1803</v>
      </c>
      <c r="I125" s="50" t="s">
        <v>1803</v>
      </c>
      <c r="J125" s="50" t="s">
        <v>1789</v>
      </c>
      <c r="K125" s="56" t="s">
        <v>1797</v>
      </c>
      <c r="L125" s="50" t="s">
        <v>2161</v>
      </c>
      <c r="M125" s="56" t="s">
        <v>1797</v>
      </c>
      <c r="N125" s="50" t="s">
        <v>2162</v>
      </c>
      <c r="O125" s="50" t="s">
        <v>2163</v>
      </c>
      <c r="P125" s="56" t="s">
        <v>1797</v>
      </c>
    </row>
    <row r="126" spans="1:16" s="208" customFormat="1" ht="16.5" hidden="1" customHeight="1" outlineLevel="2">
      <c r="A126" s="231" t="s">
        <v>501</v>
      </c>
      <c r="B126" s="232" t="s">
        <v>502</v>
      </c>
      <c r="C126" s="50" t="s">
        <v>2164</v>
      </c>
      <c r="D126" s="50" t="s">
        <v>2165</v>
      </c>
      <c r="E126" s="50" t="s">
        <v>1803</v>
      </c>
      <c r="F126" s="50" t="s">
        <v>1803</v>
      </c>
      <c r="G126" s="50" t="s">
        <v>1803</v>
      </c>
      <c r="H126" s="50" t="s">
        <v>1803</v>
      </c>
      <c r="I126" s="50" t="s">
        <v>1803</v>
      </c>
      <c r="J126" s="50" t="s">
        <v>1810</v>
      </c>
      <c r="K126" s="56" t="s">
        <v>1797</v>
      </c>
      <c r="L126" s="50" t="s">
        <v>2166</v>
      </c>
      <c r="M126" s="56" t="s">
        <v>1797</v>
      </c>
      <c r="N126" s="50" t="s">
        <v>2167</v>
      </c>
      <c r="O126" s="50" t="s">
        <v>2168</v>
      </c>
      <c r="P126" s="56" t="s">
        <v>1797</v>
      </c>
    </row>
    <row r="127" spans="1:16" s="208" customFormat="1" ht="16.5" hidden="1" customHeight="1" outlineLevel="2">
      <c r="A127" s="231" t="s">
        <v>503</v>
      </c>
      <c r="B127" s="232" t="s">
        <v>487</v>
      </c>
      <c r="C127" s="50" t="s">
        <v>1810</v>
      </c>
      <c r="D127" s="50" t="s">
        <v>2147</v>
      </c>
      <c r="E127" s="50" t="s">
        <v>1803</v>
      </c>
      <c r="F127" s="50" t="s">
        <v>1803</v>
      </c>
      <c r="G127" s="50" t="s">
        <v>1803</v>
      </c>
      <c r="H127" s="50" t="s">
        <v>1803</v>
      </c>
      <c r="I127" s="50" t="s">
        <v>1803</v>
      </c>
      <c r="J127" s="50" t="s">
        <v>1810</v>
      </c>
      <c r="K127" s="56" t="s">
        <v>1797</v>
      </c>
      <c r="L127" s="50" t="s">
        <v>1810</v>
      </c>
      <c r="M127" s="56" t="s">
        <v>1797</v>
      </c>
      <c r="N127" s="50" t="s">
        <v>1810</v>
      </c>
      <c r="O127" s="50" t="s">
        <v>1810</v>
      </c>
      <c r="P127" s="56" t="s">
        <v>1797</v>
      </c>
    </row>
    <row r="128" spans="1:16" s="208" customFormat="1" ht="16.5" hidden="1" customHeight="1" outlineLevel="2">
      <c r="A128" s="231" t="s">
        <v>504</v>
      </c>
      <c r="B128" s="232" t="s">
        <v>497</v>
      </c>
      <c r="C128" s="50" t="s">
        <v>1810</v>
      </c>
      <c r="D128" s="50" t="s">
        <v>2169</v>
      </c>
      <c r="E128" s="50" t="s">
        <v>1803</v>
      </c>
      <c r="F128" s="50" t="s">
        <v>2158</v>
      </c>
      <c r="G128" s="50" t="s">
        <v>1803</v>
      </c>
      <c r="H128" s="50" t="s">
        <v>1803</v>
      </c>
      <c r="I128" s="50" t="s">
        <v>1803</v>
      </c>
      <c r="J128" s="50" t="s">
        <v>1810</v>
      </c>
      <c r="K128" s="56" t="s">
        <v>1797</v>
      </c>
      <c r="L128" s="50" t="s">
        <v>1810</v>
      </c>
      <c r="M128" s="56" t="s">
        <v>1797</v>
      </c>
      <c r="N128" s="50" t="s">
        <v>1810</v>
      </c>
      <c r="O128" s="50" t="s">
        <v>1810</v>
      </c>
      <c r="P128" s="56" t="s">
        <v>1797</v>
      </c>
    </row>
    <row r="129" spans="1:16" s="208" customFormat="1" ht="16.5" customHeight="1" outlineLevel="1" collapsed="1">
      <c r="A129" s="228">
        <v>4.4000000000000004</v>
      </c>
      <c r="B129" s="229" t="s">
        <v>224</v>
      </c>
      <c r="C129" s="49" t="s">
        <v>1837</v>
      </c>
      <c r="D129" s="49" t="s">
        <v>1838</v>
      </c>
      <c r="E129" s="49" t="s">
        <v>1839</v>
      </c>
      <c r="F129" s="49" t="s">
        <v>1840</v>
      </c>
      <c r="G129" s="49" t="s">
        <v>1841</v>
      </c>
      <c r="H129" s="49" t="s">
        <v>1840</v>
      </c>
      <c r="I129" s="49" t="s">
        <v>1841</v>
      </c>
      <c r="J129" s="49" t="s">
        <v>1842</v>
      </c>
      <c r="K129" s="54" t="s">
        <v>1797</v>
      </c>
      <c r="L129" s="49" t="s">
        <v>1843</v>
      </c>
      <c r="M129" s="54" t="s">
        <v>1797</v>
      </c>
      <c r="N129" s="49" t="s">
        <v>1844</v>
      </c>
      <c r="O129" s="49" t="s">
        <v>1845</v>
      </c>
      <c r="P129" s="54" t="s">
        <v>1797</v>
      </c>
    </row>
    <row r="130" spans="1:16" s="208" customFormat="1" ht="16.5" hidden="1" customHeight="1" outlineLevel="2">
      <c r="A130" s="231" t="s">
        <v>505</v>
      </c>
      <c r="B130" s="232" t="s">
        <v>2170</v>
      </c>
      <c r="C130" s="50" t="s">
        <v>2171</v>
      </c>
      <c r="D130" s="50" t="s">
        <v>2172</v>
      </c>
      <c r="E130" s="50" t="s">
        <v>1803</v>
      </c>
      <c r="F130" s="50" t="s">
        <v>2173</v>
      </c>
      <c r="G130" s="50" t="s">
        <v>1803</v>
      </c>
      <c r="H130" s="50" t="s">
        <v>1803</v>
      </c>
      <c r="I130" s="50" t="s">
        <v>1803</v>
      </c>
      <c r="J130" s="50" t="s">
        <v>1789</v>
      </c>
      <c r="K130" s="56" t="s">
        <v>1797</v>
      </c>
      <c r="L130" s="50" t="s">
        <v>2174</v>
      </c>
      <c r="M130" s="56" t="s">
        <v>1797</v>
      </c>
      <c r="N130" s="50" t="s">
        <v>2175</v>
      </c>
      <c r="O130" s="50" t="s">
        <v>2176</v>
      </c>
      <c r="P130" s="56" t="s">
        <v>1797</v>
      </c>
    </row>
    <row r="131" spans="1:16" s="208" customFormat="1" ht="16.5" hidden="1" customHeight="1" outlineLevel="2">
      <c r="A131" s="231" t="s">
        <v>506</v>
      </c>
      <c r="B131" s="232" t="s">
        <v>2177</v>
      </c>
      <c r="C131" s="50" t="s">
        <v>2178</v>
      </c>
      <c r="D131" s="50" t="s">
        <v>2179</v>
      </c>
      <c r="E131" s="50" t="s">
        <v>1803</v>
      </c>
      <c r="F131" s="50" t="s">
        <v>2180</v>
      </c>
      <c r="G131" s="50" t="s">
        <v>1803</v>
      </c>
      <c r="H131" s="50" t="s">
        <v>1803</v>
      </c>
      <c r="I131" s="50" t="s">
        <v>1803</v>
      </c>
      <c r="J131" s="50" t="s">
        <v>1810</v>
      </c>
      <c r="K131" s="56" t="s">
        <v>1797</v>
      </c>
      <c r="L131" s="50" t="s">
        <v>2181</v>
      </c>
      <c r="M131" s="56" t="s">
        <v>1797</v>
      </c>
      <c r="N131" s="50" t="s">
        <v>2182</v>
      </c>
      <c r="O131" s="50" t="s">
        <v>2183</v>
      </c>
      <c r="P131" s="56" t="s">
        <v>1797</v>
      </c>
    </row>
    <row r="132" spans="1:16" s="208" customFormat="1" ht="16.5" customHeight="1" outlineLevel="1" collapsed="1">
      <c r="A132" s="228">
        <v>4.5</v>
      </c>
      <c r="B132" s="229" t="s">
        <v>221</v>
      </c>
      <c r="C132" s="49" t="s">
        <v>1837</v>
      </c>
      <c r="D132" s="49" t="s">
        <v>1838</v>
      </c>
      <c r="E132" s="49" t="s">
        <v>1839</v>
      </c>
      <c r="F132" s="49" t="s">
        <v>1840</v>
      </c>
      <c r="G132" s="49" t="s">
        <v>1841</v>
      </c>
      <c r="H132" s="49" t="s">
        <v>1840</v>
      </c>
      <c r="I132" s="49" t="s">
        <v>1841</v>
      </c>
      <c r="J132" s="49" t="s">
        <v>1842</v>
      </c>
      <c r="K132" s="54" t="s">
        <v>1797</v>
      </c>
      <c r="L132" s="49" t="s">
        <v>1843</v>
      </c>
      <c r="M132" s="54" t="s">
        <v>1797</v>
      </c>
      <c r="N132" s="49" t="s">
        <v>1844</v>
      </c>
      <c r="O132" s="49" t="s">
        <v>1845</v>
      </c>
      <c r="P132" s="54" t="s">
        <v>1797</v>
      </c>
    </row>
    <row r="133" spans="1:16" s="208" customFormat="1" ht="16.5" hidden="1" customHeight="1" outlineLevel="2">
      <c r="A133" s="231" t="s">
        <v>507</v>
      </c>
      <c r="B133" s="232" t="s">
        <v>2184</v>
      </c>
      <c r="C133" s="50" t="s">
        <v>2185</v>
      </c>
      <c r="D133" s="50" t="s">
        <v>2186</v>
      </c>
      <c r="E133" s="50" t="s">
        <v>1803</v>
      </c>
      <c r="F133" s="50" t="s">
        <v>2187</v>
      </c>
      <c r="G133" s="50" t="s">
        <v>1803</v>
      </c>
      <c r="H133" s="50" t="s">
        <v>1803</v>
      </c>
      <c r="I133" s="50" t="s">
        <v>1803</v>
      </c>
      <c r="J133" s="50" t="s">
        <v>1789</v>
      </c>
      <c r="K133" s="56" t="s">
        <v>1797</v>
      </c>
      <c r="L133" s="50" t="s">
        <v>1803</v>
      </c>
      <c r="M133" s="56" t="s">
        <v>1797</v>
      </c>
      <c r="N133" s="50" t="s">
        <v>2188</v>
      </c>
      <c r="O133" s="50" t="s">
        <v>2189</v>
      </c>
      <c r="P133" s="56" t="s">
        <v>1797</v>
      </c>
    </row>
    <row r="134" spans="1:16" s="208" customFormat="1" ht="16.5" hidden="1" customHeight="1" outlineLevel="2">
      <c r="A134" s="231" t="s">
        <v>509</v>
      </c>
      <c r="B134" s="232" t="s">
        <v>2190</v>
      </c>
      <c r="C134" s="50" t="s">
        <v>2191</v>
      </c>
      <c r="D134" s="50" t="s">
        <v>2192</v>
      </c>
      <c r="E134" s="50" t="s">
        <v>1803</v>
      </c>
      <c r="F134" s="50" t="s">
        <v>2193</v>
      </c>
      <c r="G134" s="50" t="s">
        <v>1803</v>
      </c>
      <c r="H134" s="50" t="s">
        <v>1803</v>
      </c>
      <c r="I134" s="50" t="s">
        <v>1803</v>
      </c>
      <c r="J134" s="50" t="s">
        <v>1810</v>
      </c>
      <c r="K134" s="56" t="s">
        <v>1797</v>
      </c>
      <c r="L134" s="50" t="s">
        <v>2194</v>
      </c>
      <c r="M134" s="56" t="s">
        <v>1797</v>
      </c>
      <c r="N134" s="50" t="s">
        <v>2195</v>
      </c>
      <c r="O134" s="50" t="s">
        <v>2196</v>
      </c>
      <c r="P134" s="56" t="s">
        <v>1797</v>
      </c>
    </row>
    <row r="135" spans="1:16" s="208" customFormat="1" ht="16.5" hidden="1" customHeight="1" outlineLevel="2">
      <c r="A135" s="231" t="s">
        <v>510</v>
      </c>
      <c r="B135" s="232" t="s">
        <v>2197</v>
      </c>
      <c r="C135" s="50" t="s">
        <v>1810</v>
      </c>
      <c r="D135" s="50" t="s">
        <v>2198</v>
      </c>
      <c r="E135" s="50" t="s">
        <v>1803</v>
      </c>
      <c r="F135" s="50" t="s">
        <v>2199</v>
      </c>
      <c r="G135" s="50" t="s">
        <v>1803</v>
      </c>
      <c r="H135" s="50" t="s">
        <v>1803</v>
      </c>
      <c r="I135" s="50" t="s">
        <v>1803</v>
      </c>
      <c r="J135" s="50" t="s">
        <v>1810</v>
      </c>
      <c r="K135" s="56" t="s">
        <v>1797</v>
      </c>
      <c r="L135" s="50" t="s">
        <v>2200</v>
      </c>
      <c r="M135" s="56" t="s">
        <v>1797</v>
      </c>
      <c r="N135" s="50" t="s">
        <v>1810</v>
      </c>
      <c r="O135" s="50" t="s">
        <v>1810</v>
      </c>
      <c r="P135" s="56" t="s">
        <v>1797</v>
      </c>
    </row>
    <row r="136" spans="1:16" s="208" customFormat="1" ht="16.5" customHeight="1" outlineLevel="1" collapsed="1">
      <c r="A136" s="228">
        <v>4.5999999999999996</v>
      </c>
      <c r="B136" s="229" t="s">
        <v>218</v>
      </c>
      <c r="C136" s="49" t="s">
        <v>1837</v>
      </c>
      <c r="D136" s="49" t="s">
        <v>1838</v>
      </c>
      <c r="E136" s="49" t="s">
        <v>1839</v>
      </c>
      <c r="F136" s="49" t="s">
        <v>1840</v>
      </c>
      <c r="G136" s="49" t="s">
        <v>1841</v>
      </c>
      <c r="H136" s="49" t="s">
        <v>1840</v>
      </c>
      <c r="I136" s="49" t="s">
        <v>1841</v>
      </c>
      <c r="J136" s="49" t="s">
        <v>1842</v>
      </c>
      <c r="K136" s="54" t="s">
        <v>1797</v>
      </c>
      <c r="L136" s="49" t="s">
        <v>1843</v>
      </c>
      <c r="M136" s="54" t="s">
        <v>1797</v>
      </c>
      <c r="N136" s="49" t="s">
        <v>1844</v>
      </c>
      <c r="O136" s="49" t="s">
        <v>1845</v>
      </c>
      <c r="P136" s="54" t="s">
        <v>1797</v>
      </c>
    </row>
    <row r="137" spans="1:16" s="208" customFormat="1" ht="16.5" hidden="1" customHeight="1" outlineLevel="2">
      <c r="A137" s="231" t="s">
        <v>511</v>
      </c>
      <c r="B137" s="232" t="s">
        <v>2201</v>
      </c>
      <c r="C137" s="50" t="s">
        <v>2202</v>
      </c>
      <c r="D137" s="50" t="s">
        <v>2203</v>
      </c>
      <c r="E137" s="50" t="s">
        <v>1803</v>
      </c>
      <c r="F137" s="50" t="s">
        <v>2204</v>
      </c>
      <c r="G137" s="50" t="s">
        <v>1803</v>
      </c>
      <c r="H137" s="50" t="s">
        <v>1803</v>
      </c>
      <c r="I137" s="50" t="s">
        <v>1803</v>
      </c>
      <c r="J137" s="50" t="s">
        <v>1789</v>
      </c>
      <c r="K137" s="56" t="s">
        <v>1797</v>
      </c>
      <c r="L137" s="50" t="s">
        <v>2205</v>
      </c>
      <c r="M137" s="56" t="s">
        <v>1797</v>
      </c>
      <c r="N137" s="50" t="s">
        <v>2206</v>
      </c>
      <c r="O137" s="50" t="s">
        <v>2207</v>
      </c>
      <c r="P137" s="56" t="s">
        <v>1797</v>
      </c>
    </row>
    <row r="138" spans="1:16" s="208" customFormat="1" ht="16.5" hidden="1" customHeight="1" outlineLevel="2">
      <c r="A138" s="231" t="s">
        <v>513</v>
      </c>
      <c r="B138" s="232" t="s">
        <v>2208</v>
      </c>
      <c r="C138" s="50" t="s">
        <v>2209</v>
      </c>
      <c r="D138" s="50" t="s">
        <v>2210</v>
      </c>
      <c r="E138" s="50" t="s">
        <v>1803</v>
      </c>
      <c r="F138" s="50" t="s">
        <v>2211</v>
      </c>
      <c r="G138" s="50" t="s">
        <v>1803</v>
      </c>
      <c r="H138" s="50" t="s">
        <v>1803</v>
      </c>
      <c r="I138" s="50" t="s">
        <v>1803</v>
      </c>
      <c r="J138" s="50" t="s">
        <v>1810</v>
      </c>
      <c r="K138" s="56" t="s">
        <v>1797</v>
      </c>
      <c r="L138" s="50" t="s">
        <v>2212</v>
      </c>
      <c r="M138" s="56" t="s">
        <v>1797</v>
      </c>
      <c r="N138" s="50" t="s">
        <v>2213</v>
      </c>
      <c r="O138" s="50" t="s">
        <v>2214</v>
      </c>
      <c r="P138" s="56" t="s">
        <v>1797</v>
      </c>
    </row>
    <row r="139" spans="1:16" s="208" customFormat="1" ht="16.5" hidden="1" customHeight="1" outlineLevel="2">
      <c r="A139" s="231" t="s">
        <v>514</v>
      </c>
      <c r="B139" s="232" t="s">
        <v>2215</v>
      </c>
      <c r="C139" s="50" t="s">
        <v>1810</v>
      </c>
      <c r="D139" s="50" t="s">
        <v>2216</v>
      </c>
      <c r="E139" s="50" t="s">
        <v>1803</v>
      </c>
      <c r="F139" s="50" t="s">
        <v>2217</v>
      </c>
      <c r="G139" s="50" t="s">
        <v>1803</v>
      </c>
      <c r="H139" s="50" t="s">
        <v>1803</v>
      </c>
      <c r="I139" s="50" t="s">
        <v>1803</v>
      </c>
      <c r="J139" s="50" t="s">
        <v>1810</v>
      </c>
      <c r="K139" s="56" t="s">
        <v>1797</v>
      </c>
      <c r="L139" s="50" t="s">
        <v>1803</v>
      </c>
      <c r="M139" s="56" t="s">
        <v>1797</v>
      </c>
      <c r="N139" s="50" t="s">
        <v>1810</v>
      </c>
      <c r="O139" s="50" t="s">
        <v>1810</v>
      </c>
      <c r="P139" s="56" t="s">
        <v>1797</v>
      </c>
    </row>
    <row r="140" spans="1:16" s="208" customFormat="1" ht="16.5" hidden="1" customHeight="1" outlineLevel="2">
      <c r="A140" s="231" t="s">
        <v>516</v>
      </c>
      <c r="B140" s="232" t="s">
        <v>2218</v>
      </c>
      <c r="C140" s="50" t="s">
        <v>1810</v>
      </c>
      <c r="D140" s="50" t="s">
        <v>2219</v>
      </c>
      <c r="E140" s="50" t="s">
        <v>1803</v>
      </c>
      <c r="F140" s="50" t="s">
        <v>2220</v>
      </c>
      <c r="G140" s="50" t="s">
        <v>1803</v>
      </c>
      <c r="H140" s="50" t="s">
        <v>1803</v>
      </c>
      <c r="I140" s="50" t="s">
        <v>1803</v>
      </c>
      <c r="J140" s="50" t="s">
        <v>1810</v>
      </c>
      <c r="K140" s="56" t="s">
        <v>1797</v>
      </c>
      <c r="L140" s="50" t="s">
        <v>2221</v>
      </c>
      <c r="M140" s="56" t="s">
        <v>1797</v>
      </c>
      <c r="N140" s="50" t="s">
        <v>1810</v>
      </c>
      <c r="O140" s="50" t="s">
        <v>1810</v>
      </c>
      <c r="P140" s="56" t="s">
        <v>1797</v>
      </c>
    </row>
    <row r="141" spans="1:16" s="208" customFormat="1" ht="16.5" hidden="1" customHeight="1" outlineLevel="2">
      <c r="A141" s="231" t="s">
        <v>518</v>
      </c>
      <c r="B141" s="232" t="s">
        <v>2222</v>
      </c>
      <c r="C141" s="50" t="s">
        <v>1810</v>
      </c>
      <c r="D141" s="50" t="s">
        <v>2223</v>
      </c>
      <c r="E141" s="50" t="s">
        <v>1803</v>
      </c>
      <c r="F141" s="50" t="s">
        <v>2224</v>
      </c>
      <c r="G141" s="50" t="s">
        <v>1803</v>
      </c>
      <c r="H141" s="50" t="s">
        <v>1803</v>
      </c>
      <c r="I141" s="50" t="s">
        <v>1803</v>
      </c>
      <c r="J141" s="50" t="s">
        <v>1810</v>
      </c>
      <c r="K141" s="56" t="s">
        <v>1797</v>
      </c>
      <c r="L141" s="50" t="s">
        <v>2225</v>
      </c>
      <c r="M141" s="56" t="s">
        <v>1797</v>
      </c>
      <c r="N141" s="50" t="s">
        <v>1810</v>
      </c>
      <c r="O141" s="50" t="s">
        <v>1810</v>
      </c>
      <c r="P141" s="56" t="s">
        <v>1797</v>
      </c>
    </row>
    <row r="142" spans="1:16" s="208" customFormat="1" ht="16.5" hidden="1" customHeight="1" outlineLevel="2">
      <c r="A142" s="231" t="s">
        <v>520</v>
      </c>
      <c r="B142" s="232" t="s">
        <v>2226</v>
      </c>
      <c r="C142" s="50" t="s">
        <v>1810</v>
      </c>
      <c r="D142" s="50" t="s">
        <v>2227</v>
      </c>
      <c r="E142" s="50" t="s">
        <v>1803</v>
      </c>
      <c r="F142" s="50" t="s">
        <v>2228</v>
      </c>
      <c r="G142" s="50" t="s">
        <v>1803</v>
      </c>
      <c r="H142" s="50" t="s">
        <v>1803</v>
      </c>
      <c r="I142" s="50" t="s">
        <v>1803</v>
      </c>
      <c r="J142" s="50" t="s">
        <v>1810</v>
      </c>
      <c r="K142" s="56" t="s">
        <v>1797</v>
      </c>
      <c r="L142" s="50" t="s">
        <v>2229</v>
      </c>
      <c r="M142" s="56" t="s">
        <v>1797</v>
      </c>
      <c r="N142" s="50" t="s">
        <v>1810</v>
      </c>
      <c r="O142" s="50" t="s">
        <v>1810</v>
      </c>
      <c r="P142" s="56" t="s">
        <v>1797</v>
      </c>
    </row>
    <row r="143" spans="1:16" s="208" customFormat="1" ht="16.5" customHeight="1" outlineLevel="1" collapsed="1">
      <c r="A143" s="228">
        <v>4.7</v>
      </c>
      <c r="B143" s="229" t="s">
        <v>227</v>
      </c>
      <c r="C143" s="49" t="s">
        <v>1837</v>
      </c>
      <c r="D143" s="49" t="s">
        <v>1838</v>
      </c>
      <c r="E143" s="49" t="s">
        <v>1839</v>
      </c>
      <c r="F143" s="49" t="s">
        <v>1840</v>
      </c>
      <c r="G143" s="49" t="s">
        <v>1841</v>
      </c>
      <c r="H143" s="49" t="s">
        <v>1840</v>
      </c>
      <c r="I143" s="49" t="s">
        <v>1841</v>
      </c>
      <c r="J143" s="49" t="s">
        <v>1842</v>
      </c>
      <c r="K143" s="54" t="s">
        <v>1797</v>
      </c>
      <c r="L143" s="49" t="s">
        <v>1843</v>
      </c>
      <c r="M143" s="54" t="s">
        <v>1797</v>
      </c>
      <c r="N143" s="49" t="s">
        <v>1844</v>
      </c>
      <c r="O143" s="49" t="s">
        <v>1845</v>
      </c>
      <c r="P143" s="54" t="s">
        <v>1797</v>
      </c>
    </row>
    <row r="144" spans="1:16" s="208" customFormat="1" ht="16.5" hidden="1" customHeight="1" outlineLevel="2">
      <c r="A144" s="231" t="s">
        <v>521</v>
      </c>
      <c r="B144" s="232" t="s">
        <v>2230</v>
      </c>
      <c r="C144" s="50" t="s">
        <v>2231</v>
      </c>
      <c r="D144" s="50" t="s">
        <v>2232</v>
      </c>
      <c r="E144" s="50" t="s">
        <v>1803</v>
      </c>
      <c r="F144" s="50" t="s">
        <v>2233</v>
      </c>
      <c r="G144" s="50" t="s">
        <v>1803</v>
      </c>
      <c r="H144" s="50" t="s">
        <v>1803</v>
      </c>
      <c r="I144" s="50" t="s">
        <v>1803</v>
      </c>
      <c r="J144" s="50" t="s">
        <v>1789</v>
      </c>
      <c r="K144" s="56" t="s">
        <v>1797</v>
      </c>
      <c r="L144" s="50" t="s">
        <v>1803</v>
      </c>
      <c r="M144" s="56" t="s">
        <v>1797</v>
      </c>
      <c r="N144" s="50" t="s">
        <v>2234</v>
      </c>
      <c r="O144" s="50" t="s">
        <v>2235</v>
      </c>
      <c r="P144" s="56" t="s">
        <v>1797</v>
      </c>
    </row>
    <row r="145" spans="1:16" s="208" customFormat="1" ht="16.5" hidden="1" customHeight="1" outlineLevel="2">
      <c r="A145" s="231" t="s">
        <v>522</v>
      </c>
      <c r="B145" s="232" t="s">
        <v>2236</v>
      </c>
      <c r="C145" s="50" t="s">
        <v>2237</v>
      </c>
      <c r="D145" s="50" t="s">
        <v>2238</v>
      </c>
      <c r="E145" s="50" t="s">
        <v>1803</v>
      </c>
      <c r="F145" s="50" t="s">
        <v>2239</v>
      </c>
      <c r="G145" s="50" t="s">
        <v>1803</v>
      </c>
      <c r="H145" s="50" t="s">
        <v>1803</v>
      </c>
      <c r="I145" s="50" t="s">
        <v>1803</v>
      </c>
      <c r="J145" s="50" t="s">
        <v>1810</v>
      </c>
      <c r="K145" s="56" t="s">
        <v>1797</v>
      </c>
      <c r="L145" s="50" t="s">
        <v>1803</v>
      </c>
      <c r="M145" s="56" t="s">
        <v>1797</v>
      </c>
      <c r="N145" s="50" t="s">
        <v>2240</v>
      </c>
      <c r="O145" s="50" t="s">
        <v>2241</v>
      </c>
      <c r="P145" s="56" t="s">
        <v>1797</v>
      </c>
    </row>
    <row r="146" spans="1:16" s="208" customFormat="1" ht="16.5" hidden="1" customHeight="1" outlineLevel="2">
      <c r="A146" s="231" t="s">
        <v>523</v>
      </c>
      <c r="B146" s="232" t="s">
        <v>2242</v>
      </c>
      <c r="C146" s="50" t="s">
        <v>1810</v>
      </c>
      <c r="D146" s="50" t="s">
        <v>2243</v>
      </c>
      <c r="E146" s="50" t="s">
        <v>1803</v>
      </c>
      <c r="F146" s="50" t="s">
        <v>2244</v>
      </c>
      <c r="G146" s="50" t="s">
        <v>1803</v>
      </c>
      <c r="H146" s="50" t="s">
        <v>1803</v>
      </c>
      <c r="I146" s="50" t="s">
        <v>1803</v>
      </c>
      <c r="J146" s="50" t="s">
        <v>1810</v>
      </c>
      <c r="K146" s="56" t="s">
        <v>1797</v>
      </c>
      <c r="L146" s="50" t="s">
        <v>1803</v>
      </c>
      <c r="M146" s="56" t="s">
        <v>1797</v>
      </c>
      <c r="N146" s="50" t="s">
        <v>1810</v>
      </c>
      <c r="O146" s="50" t="s">
        <v>1810</v>
      </c>
      <c r="P146" s="56" t="s">
        <v>1797</v>
      </c>
    </row>
    <row r="147" spans="1:16" s="208" customFormat="1" ht="16.5" customHeight="1" outlineLevel="1" collapsed="1">
      <c r="A147" s="228">
        <v>4.8</v>
      </c>
      <c r="B147" s="229" t="s">
        <v>524</v>
      </c>
      <c r="C147" s="49" t="s">
        <v>1837</v>
      </c>
      <c r="D147" s="49" t="s">
        <v>1838</v>
      </c>
      <c r="E147" s="49" t="s">
        <v>1839</v>
      </c>
      <c r="F147" s="49" t="s">
        <v>1840</v>
      </c>
      <c r="G147" s="49" t="s">
        <v>1841</v>
      </c>
      <c r="H147" s="49" t="s">
        <v>1840</v>
      </c>
      <c r="I147" s="49" t="s">
        <v>1841</v>
      </c>
      <c r="J147" s="49" t="s">
        <v>1842</v>
      </c>
      <c r="K147" s="54" t="s">
        <v>1797</v>
      </c>
      <c r="L147" s="49" t="s">
        <v>1843</v>
      </c>
      <c r="M147" s="54" t="s">
        <v>1797</v>
      </c>
      <c r="N147" s="49" t="s">
        <v>1844</v>
      </c>
      <c r="O147" s="49" t="s">
        <v>1845</v>
      </c>
      <c r="P147" s="54" t="s">
        <v>1797</v>
      </c>
    </row>
    <row r="148" spans="1:16" s="208" customFormat="1" ht="16.5" hidden="1" customHeight="1" outlineLevel="2">
      <c r="A148" s="231" t="s">
        <v>525</v>
      </c>
      <c r="B148" s="232" t="s">
        <v>2245</v>
      </c>
      <c r="C148" s="50" t="s">
        <v>2246</v>
      </c>
      <c r="D148" s="50" t="s">
        <v>2247</v>
      </c>
      <c r="E148" s="50" t="s">
        <v>1803</v>
      </c>
      <c r="F148" s="50" t="s">
        <v>2248</v>
      </c>
      <c r="G148" s="50" t="s">
        <v>1803</v>
      </c>
      <c r="H148" s="50" t="s">
        <v>1803</v>
      </c>
      <c r="I148" s="50" t="s">
        <v>1803</v>
      </c>
      <c r="J148" s="50" t="s">
        <v>1789</v>
      </c>
      <c r="K148" s="56" t="s">
        <v>1797</v>
      </c>
      <c r="L148" s="50" t="s">
        <v>2249</v>
      </c>
      <c r="M148" s="56" t="s">
        <v>1797</v>
      </c>
      <c r="N148" s="50" t="s">
        <v>2250</v>
      </c>
      <c r="O148" s="50" t="s">
        <v>2251</v>
      </c>
      <c r="P148" s="56" t="s">
        <v>1797</v>
      </c>
    </row>
    <row r="149" spans="1:16" s="208" customFormat="1" ht="16.5" hidden="1" customHeight="1" outlineLevel="2">
      <c r="A149" s="231" t="s">
        <v>527</v>
      </c>
      <c r="B149" s="232" t="s">
        <v>2252</v>
      </c>
      <c r="C149" s="50" t="s">
        <v>2253</v>
      </c>
      <c r="D149" s="50" t="s">
        <v>2254</v>
      </c>
      <c r="E149" s="50" t="s">
        <v>1803</v>
      </c>
      <c r="F149" s="50" t="s">
        <v>2255</v>
      </c>
      <c r="G149" s="50" t="s">
        <v>1803</v>
      </c>
      <c r="H149" s="50" t="s">
        <v>1803</v>
      </c>
      <c r="I149" s="50" t="s">
        <v>1803</v>
      </c>
      <c r="J149" s="50" t="s">
        <v>1810</v>
      </c>
      <c r="K149" s="56" t="s">
        <v>1797</v>
      </c>
      <c r="L149" s="50" t="s">
        <v>2256</v>
      </c>
      <c r="M149" s="56" t="s">
        <v>1797</v>
      </c>
      <c r="N149" s="50" t="s">
        <v>2257</v>
      </c>
      <c r="O149" s="50" t="s">
        <v>2258</v>
      </c>
      <c r="P149" s="56" t="s">
        <v>1797</v>
      </c>
    </row>
    <row r="150" spans="1:16" s="208" customFormat="1" ht="16.5" hidden="1" customHeight="1" outlineLevel="2">
      <c r="A150" s="231" t="s">
        <v>529</v>
      </c>
      <c r="B150" s="232" t="s">
        <v>2259</v>
      </c>
      <c r="C150" s="50" t="s">
        <v>1810</v>
      </c>
      <c r="D150" s="50" t="s">
        <v>2260</v>
      </c>
      <c r="E150" s="50" t="s">
        <v>1803</v>
      </c>
      <c r="F150" s="50" t="s">
        <v>2261</v>
      </c>
      <c r="G150" s="50" t="s">
        <v>1803</v>
      </c>
      <c r="H150" s="50" t="s">
        <v>1803</v>
      </c>
      <c r="I150" s="50" t="s">
        <v>1803</v>
      </c>
      <c r="J150" s="50" t="s">
        <v>1810</v>
      </c>
      <c r="K150" s="56" t="s">
        <v>1797</v>
      </c>
      <c r="L150" s="50" t="s">
        <v>1810</v>
      </c>
      <c r="M150" s="56" t="s">
        <v>1797</v>
      </c>
      <c r="N150" s="50" t="s">
        <v>1810</v>
      </c>
      <c r="O150" s="50" t="s">
        <v>1810</v>
      </c>
      <c r="P150" s="56" t="s">
        <v>1797</v>
      </c>
    </row>
    <row r="151" spans="1:16" s="208" customFormat="1" ht="16.5" customHeight="1" outlineLevel="1" collapsed="1">
      <c r="A151" s="228">
        <v>4.9000000000000004</v>
      </c>
      <c r="B151" s="229" t="s">
        <v>231</v>
      </c>
      <c r="C151" s="49" t="s">
        <v>1837</v>
      </c>
      <c r="D151" s="49" t="s">
        <v>2262</v>
      </c>
      <c r="E151" s="49" t="s">
        <v>1839</v>
      </c>
      <c r="F151" s="49" t="s">
        <v>1840</v>
      </c>
      <c r="G151" s="49" t="s">
        <v>1841</v>
      </c>
      <c r="H151" s="49" t="s">
        <v>1840</v>
      </c>
      <c r="I151" s="49" t="s">
        <v>1841</v>
      </c>
      <c r="J151" s="49" t="s">
        <v>1842</v>
      </c>
      <c r="K151" s="54" t="s">
        <v>1797</v>
      </c>
      <c r="L151" s="49" t="s">
        <v>1843</v>
      </c>
      <c r="M151" s="54" t="s">
        <v>1797</v>
      </c>
      <c r="N151" s="49" t="s">
        <v>1844</v>
      </c>
      <c r="O151" s="49" t="s">
        <v>1845</v>
      </c>
      <c r="P151" s="54" t="s">
        <v>1797</v>
      </c>
    </row>
    <row r="152" spans="1:16" s="208" customFormat="1" ht="16.5" customHeight="1" outlineLevel="2">
      <c r="A152" s="231" t="s">
        <v>531</v>
      </c>
      <c r="B152" s="232" t="s">
        <v>2263</v>
      </c>
      <c r="C152" s="50" t="s">
        <v>2264</v>
      </c>
      <c r="D152" s="50" t="s">
        <v>2265</v>
      </c>
      <c r="E152" s="50" t="s">
        <v>1803</v>
      </c>
      <c r="F152" s="50" t="s">
        <v>2266</v>
      </c>
      <c r="G152" s="50" t="s">
        <v>1803</v>
      </c>
      <c r="H152" s="50" t="s">
        <v>1803</v>
      </c>
      <c r="I152" s="50" t="s">
        <v>1803</v>
      </c>
      <c r="J152" s="50" t="s">
        <v>1789</v>
      </c>
      <c r="K152" s="56" t="s">
        <v>1797</v>
      </c>
      <c r="L152" s="50" t="s">
        <v>2267</v>
      </c>
      <c r="M152" s="56" t="s">
        <v>1797</v>
      </c>
      <c r="N152" s="50" t="s">
        <v>2268</v>
      </c>
      <c r="O152" s="50" t="s">
        <v>2269</v>
      </c>
      <c r="P152" s="56" t="s">
        <v>1797</v>
      </c>
    </row>
    <row r="153" spans="1:16" s="208" customFormat="1" ht="16.5" customHeight="1" outlineLevel="2">
      <c r="A153" s="231" t="s">
        <v>532</v>
      </c>
      <c r="B153" s="232" t="s">
        <v>2270</v>
      </c>
      <c r="C153" s="50" t="s">
        <v>2271</v>
      </c>
      <c r="D153" s="50" t="s">
        <v>2272</v>
      </c>
      <c r="E153" s="50" t="s">
        <v>1803</v>
      </c>
      <c r="F153" s="50" t="s">
        <v>2273</v>
      </c>
      <c r="G153" s="50" t="s">
        <v>1803</v>
      </c>
      <c r="H153" s="50" t="s">
        <v>1803</v>
      </c>
      <c r="I153" s="50" t="s">
        <v>1803</v>
      </c>
      <c r="J153" s="50" t="s">
        <v>1810</v>
      </c>
      <c r="K153" s="56" t="s">
        <v>1797</v>
      </c>
      <c r="L153" s="50" t="s">
        <v>2274</v>
      </c>
      <c r="M153" s="56" t="s">
        <v>1797</v>
      </c>
      <c r="N153" s="50" t="s">
        <v>2275</v>
      </c>
      <c r="O153" s="50" t="s">
        <v>2276</v>
      </c>
      <c r="P153" s="56" t="s">
        <v>1797</v>
      </c>
    </row>
    <row r="154" spans="1:16" s="208" customFormat="1" ht="16.5" customHeight="1" outlineLevel="2">
      <c r="A154" s="231" t="s">
        <v>534</v>
      </c>
      <c r="B154" s="232" t="s">
        <v>2277</v>
      </c>
      <c r="C154" s="50" t="s">
        <v>1810</v>
      </c>
      <c r="D154" s="50" t="s">
        <v>2278</v>
      </c>
      <c r="E154" s="50" t="s">
        <v>1803</v>
      </c>
      <c r="F154" s="50" t="s">
        <v>2279</v>
      </c>
      <c r="G154" s="50" t="s">
        <v>1803</v>
      </c>
      <c r="H154" s="50" t="s">
        <v>1803</v>
      </c>
      <c r="I154" s="50" t="s">
        <v>1803</v>
      </c>
      <c r="J154" s="50" t="s">
        <v>1810</v>
      </c>
      <c r="K154" s="56" t="s">
        <v>1797</v>
      </c>
      <c r="L154" s="50" t="s">
        <v>1810</v>
      </c>
      <c r="M154" s="56" t="s">
        <v>1797</v>
      </c>
      <c r="N154" s="50" t="s">
        <v>1810</v>
      </c>
      <c r="O154" s="50" t="s">
        <v>1810</v>
      </c>
      <c r="P154" s="56" t="s">
        <v>1797</v>
      </c>
    </row>
    <row r="155" spans="1:16" s="208" customFormat="1" ht="16.5" customHeight="1">
      <c r="A155" s="234" t="s">
        <v>233</v>
      </c>
      <c r="B155" s="235" t="s">
        <v>234</v>
      </c>
      <c r="C155" s="49" t="s">
        <v>2280</v>
      </c>
      <c r="D155" s="49" t="s">
        <v>2281</v>
      </c>
      <c r="E155" s="49" t="s">
        <v>2282</v>
      </c>
      <c r="F155" s="49" t="s">
        <v>2283</v>
      </c>
      <c r="G155" s="49" t="s">
        <v>2284</v>
      </c>
      <c r="H155" s="49" t="s">
        <v>2283</v>
      </c>
      <c r="I155" s="49" t="s">
        <v>2284</v>
      </c>
      <c r="J155" s="49" t="s">
        <v>2285</v>
      </c>
      <c r="K155" s="54" t="s">
        <v>1797</v>
      </c>
      <c r="L155" s="49" t="s">
        <v>2286</v>
      </c>
      <c r="M155" s="54" t="s">
        <v>1797</v>
      </c>
      <c r="N155" s="49" t="s">
        <v>2287</v>
      </c>
      <c r="O155" s="49" t="s">
        <v>2288</v>
      </c>
      <c r="P155" s="54" t="s">
        <v>1797</v>
      </c>
    </row>
    <row r="156" spans="1:16" s="208" customFormat="1" ht="16.5" customHeight="1" outlineLevel="1">
      <c r="A156" s="228">
        <v>5.0999999999999996</v>
      </c>
      <c r="B156" s="229" t="s">
        <v>2289</v>
      </c>
      <c r="C156" s="51" t="s">
        <v>2290</v>
      </c>
      <c r="D156" s="51" t="s">
        <v>2291</v>
      </c>
      <c r="E156" s="51" t="s">
        <v>1803</v>
      </c>
      <c r="F156" s="51" t="s">
        <v>2292</v>
      </c>
      <c r="G156" s="51" t="s">
        <v>1803</v>
      </c>
      <c r="H156" s="51" t="s">
        <v>1803</v>
      </c>
      <c r="I156" s="51" t="s">
        <v>1803</v>
      </c>
      <c r="J156" s="51" t="s">
        <v>1789</v>
      </c>
      <c r="K156" s="51" t="s">
        <v>1797</v>
      </c>
      <c r="L156" s="51" t="s">
        <v>2293</v>
      </c>
      <c r="M156" s="51" t="s">
        <v>1797</v>
      </c>
      <c r="N156" s="51" t="s">
        <v>2294</v>
      </c>
      <c r="O156" s="51" t="s">
        <v>2295</v>
      </c>
      <c r="P156" s="58" t="s">
        <v>1797</v>
      </c>
    </row>
    <row r="157" spans="1:16" s="208" customFormat="1" ht="16.5" customHeight="1" outlineLevel="1">
      <c r="A157" s="228">
        <v>5.2</v>
      </c>
      <c r="B157" s="229" t="s">
        <v>235</v>
      </c>
      <c r="C157" s="49" t="s">
        <v>1837</v>
      </c>
      <c r="D157" s="49" t="s">
        <v>2262</v>
      </c>
      <c r="E157" s="49" t="s">
        <v>1839</v>
      </c>
      <c r="F157" s="49" t="s">
        <v>1840</v>
      </c>
      <c r="G157" s="49" t="s">
        <v>1841</v>
      </c>
      <c r="H157" s="49" t="s">
        <v>1840</v>
      </c>
      <c r="I157" s="49" t="s">
        <v>1841</v>
      </c>
      <c r="J157" s="49" t="s">
        <v>1842</v>
      </c>
      <c r="K157" s="54" t="s">
        <v>1797</v>
      </c>
      <c r="L157" s="49" t="s">
        <v>1843</v>
      </c>
      <c r="M157" s="54" t="s">
        <v>1797</v>
      </c>
      <c r="N157" s="49" t="s">
        <v>1844</v>
      </c>
      <c r="O157" s="49" t="s">
        <v>1845</v>
      </c>
      <c r="P157" s="54" t="s">
        <v>1797</v>
      </c>
    </row>
    <row r="158" spans="1:16" s="208" customFormat="1" ht="16.5" customHeight="1" outlineLevel="2">
      <c r="A158" s="231" t="s">
        <v>537</v>
      </c>
      <c r="B158" s="232" t="s">
        <v>2296</v>
      </c>
      <c r="C158" s="50" t="s">
        <v>2297</v>
      </c>
      <c r="D158" s="50" t="s">
        <v>2298</v>
      </c>
      <c r="E158" s="50" t="s">
        <v>1803</v>
      </c>
      <c r="F158" s="50" t="s">
        <v>2299</v>
      </c>
      <c r="G158" s="50" t="s">
        <v>1803</v>
      </c>
      <c r="H158" s="50" t="s">
        <v>1803</v>
      </c>
      <c r="I158" s="50" t="s">
        <v>1803</v>
      </c>
      <c r="J158" s="50" t="s">
        <v>1789</v>
      </c>
      <c r="K158" s="56" t="s">
        <v>1797</v>
      </c>
      <c r="L158" s="50" t="s">
        <v>2300</v>
      </c>
      <c r="M158" s="56" t="s">
        <v>1797</v>
      </c>
      <c r="N158" s="50" t="s">
        <v>2301</v>
      </c>
      <c r="O158" s="50" t="s">
        <v>2302</v>
      </c>
      <c r="P158" s="56" t="s">
        <v>1797</v>
      </c>
    </row>
    <row r="159" spans="1:16" s="208" customFormat="1" ht="16.5" customHeight="1" outlineLevel="2">
      <c r="A159" s="231" t="s">
        <v>538</v>
      </c>
      <c r="B159" s="232" t="s">
        <v>2303</v>
      </c>
      <c r="C159" s="50" t="s">
        <v>2304</v>
      </c>
      <c r="D159" s="50" t="s">
        <v>2305</v>
      </c>
      <c r="E159" s="50" t="s">
        <v>1803</v>
      </c>
      <c r="F159" s="50" t="s">
        <v>2306</v>
      </c>
      <c r="G159" s="50" t="s">
        <v>1803</v>
      </c>
      <c r="H159" s="50" t="s">
        <v>1803</v>
      </c>
      <c r="I159" s="50" t="s">
        <v>1803</v>
      </c>
      <c r="J159" s="50" t="s">
        <v>1810</v>
      </c>
      <c r="K159" s="56" t="s">
        <v>1797</v>
      </c>
      <c r="L159" s="50" t="s">
        <v>2307</v>
      </c>
      <c r="M159" s="56" t="s">
        <v>1797</v>
      </c>
      <c r="N159" s="50" t="s">
        <v>2308</v>
      </c>
      <c r="O159" s="50" t="s">
        <v>2309</v>
      </c>
      <c r="P159" s="56" t="s">
        <v>1797</v>
      </c>
    </row>
    <row r="160" spans="1:16" s="208" customFormat="1" ht="16.5" customHeight="1" outlineLevel="2">
      <c r="A160" s="231" t="s">
        <v>539</v>
      </c>
      <c r="B160" s="232" t="s">
        <v>2310</v>
      </c>
      <c r="C160" s="50" t="s">
        <v>1810</v>
      </c>
      <c r="D160" s="50" t="s">
        <v>2311</v>
      </c>
      <c r="E160" s="50" t="s">
        <v>1803</v>
      </c>
      <c r="F160" s="50" t="s">
        <v>2312</v>
      </c>
      <c r="G160" s="50" t="s">
        <v>1803</v>
      </c>
      <c r="H160" s="50" t="s">
        <v>1803</v>
      </c>
      <c r="I160" s="50" t="s">
        <v>1803</v>
      </c>
      <c r="J160" s="50" t="s">
        <v>1810</v>
      </c>
      <c r="K160" s="56" t="s">
        <v>1797</v>
      </c>
      <c r="L160" s="50" t="s">
        <v>1810</v>
      </c>
      <c r="M160" s="56" t="s">
        <v>1797</v>
      </c>
      <c r="N160" s="50" t="s">
        <v>1810</v>
      </c>
      <c r="O160" s="50" t="s">
        <v>1810</v>
      </c>
      <c r="P160" s="56" t="s">
        <v>1797</v>
      </c>
    </row>
    <row r="161" spans="1:17" s="208" customFormat="1" ht="16.5" customHeight="1" outlineLevel="2">
      <c r="A161" s="231" t="s">
        <v>540</v>
      </c>
      <c r="B161" s="232" t="s">
        <v>2313</v>
      </c>
      <c r="C161" s="50" t="s">
        <v>1810</v>
      </c>
      <c r="D161" s="50" t="s">
        <v>2314</v>
      </c>
      <c r="E161" s="50" t="s">
        <v>1803</v>
      </c>
      <c r="F161" s="50" t="s">
        <v>2315</v>
      </c>
      <c r="G161" s="50" t="s">
        <v>1803</v>
      </c>
      <c r="H161" s="50" t="s">
        <v>1803</v>
      </c>
      <c r="I161" s="50" t="s">
        <v>1803</v>
      </c>
      <c r="J161" s="50" t="s">
        <v>1810</v>
      </c>
      <c r="K161" s="56" t="s">
        <v>1797</v>
      </c>
      <c r="L161" s="50" t="s">
        <v>1810</v>
      </c>
      <c r="M161" s="56" t="s">
        <v>1797</v>
      </c>
      <c r="N161" s="50" t="s">
        <v>1810</v>
      </c>
      <c r="O161" s="50" t="s">
        <v>1810</v>
      </c>
      <c r="P161" s="56" t="s">
        <v>1797</v>
      </c>
    </row>
    <row r="162" spans="1:17" s="208" customFormat="1" ht="16.5" customHeight="1" outlineLevel="1">
      <c r="A162" s="228">
        <v>5.3</v>
      </c>
      <c r="B162" s="229" t="s">
        <v>2316</v>
      </c>
      <c r="C162" s="51" t="s">
        <v>2317</v>
      </c>
      <c r="D162" s="51" t="s">
        <v>2318</v>
      </c>
      <c r="E162" s="51" t="s">
        <v>1803</v>
      </c>
      <c r="F162" s="51" t="s">
        <v>2319</v>
      </c>
      <c r="G162" s="51" t="s">
        <v>1803</v>
      </c>
      <c r="H162" s="51" t="s">
        <v>1803</v>
      </c>
      <c r="I162" s="51" t="s">
        <v>1803</v>
      </c>
      <c r="J162" s="51" t="s">
        <v>1789</v>
      </c>
      <c r="K162" s="51" t="s">
        <v>1797</v>
      </c>
      <c r="L162" s="51" t="s">
        <v>1803</v>
      </c>
      <c r="M162" s="51" t="s">
        <v>1797</v>
      </c>
      <c r="N162" s="51" t="s">
        <v>1803</v>
      </c>
      <c r="O162" s="51" t="s">
        <v>2320</v>
      </c>
      <c r="P162" s="58" t="s">
        <v>1797</v>
      </c>
    </row>
    <row r="163" spans="1:17" s="208" customFormat="1" ht="16.5" customHeight="1">
      <c r="A163" s="224" t="s">
        <v>241</v>
      </c>
      <c r="B163" s="225" t="s">
        <v>2321</v>
      </c>
      <c r="C163" s="49" t="s">
        <v>2322</v>
      </c>
      <c r="D163" s="49" t="s">
        <v>2323</v>
      </c>
      <c r="E163" s="49" t="s">
        <v>1803</v>
      </c>
      <c r="F163" s="49" t="s">
        <v>2324</v>
      </c>
      <c r="G163" s="49" t="s">
        <v>1803</v>
      </c>
      <c r="H163" s="49" t="s">
        <v>1803</v>
      </c>
      <c r="I163" s="49" t="s">
        <v>1803</v>
      </c>
      <c r="J163" s="49" t="s">
        <v>2325</v>
      </c>
      <c r="K163" s="54" t="s">
        <v>1797</v>
      </c>
      <c r="L163" s="49" t="s">
        <v>2326</v>
      </c>
      <c r="M163" s="54" t="s">
        <v>1797</v>
      </c>
      <c r="N163" s="49" t="s">
        <v>2327</v>
      </c>
      <c r="O163" s="49" t="s">
        <v>2328</v>
      </c>
      <c r="P163" s="54" t="s">
        <v>1797</v>
      </c>
    </row>
    <row r="164" spans="1:17" s="208" customFormat="1" ht="16.5" customHeight="1">
      <c r="A164" s="236" t="s">
        <v>242</v>
      </c>
      <c r="B164" s="237" t="s">
        <v>243</v>
      </c>
      <c r="C164" s="60" t="s">
        <v>2329</v>
      </c>
      <c r="D164" s="60" t="s">
        <v>2330</v>
      </c>
      <c r="E164" s="60" t="s">
        <v>1803</v>
      </c>
      <c r="F164" s="60" t="s">
        <v>2331</v>
      </c>
      <c r="G164" s="60" t="s">
        <v>2332</v>
      </c>
      <c r="H164" s="60" t="s">
        <v>2333</v>
      </c>
      <c r="I164" s="60" t="s">
        <v>2334</v>
      </c>
      <c r="J164" s="60" t="s">
        <v>2335</v>
      </c>
      <c r="K164" s="60" t="s">
        <v>1797</v>
      </c>
      <c r="L164" s="60" t="s">
        <v>2336</v>
      </c>
      <c r="M164" s="60" t="s">
        <v>2337</v>
      </c>
      <c r="N164" s="60" t="s">
        <v>2338</v>
      </c>
      <c r="O164" s="60" t="s">
        <v>2339</v>
      </c>
      <c r="P164" s="79" t="s">
        <v>1797</v>
      </c>
    </row>
    <row r="165" spans="1:17" s="208" customFormat="1">
      <c r="A165" s="61" t="s">
        <v>244</v>
      </c>
      <c r="B165" s="62" t="s">
        <v>247</v>
      </c>
      <c r="C165" s="63"/>
      <c r="D165" s="63"/>
      <c r="E165" s="63"/>
      <c r="F165" s="63"/>
      <c r="G165" s="63"/>
      <c r="H165" s="63"/>
      <c r="I165" s="63"/>
      <c r="J165" s="80" t="s">
        <v>2340</v>
      </c>
      <c r="K165" s="81" t="s">
        <v>1797</v>
      </c>
      <c r="L165" s="80" t="s">
        <v>2341</v>
      </c>
      <c r="M165" s="81"/>
      <c r="N165" s="80" t="s">
        <v>2342</v>
      </c>
      <c r="O165" s="81"/>
      <c r="P165" s="81"/>
      <c r="Q165" s="682"/>
    </row>
    <row r="166" spans="1:17" s="208" customFormat="1">
      <c r="A166" s="64" t="s">
        <v>246</v>
      </c>
      <c r="B166" s="65" t="s">
        <v>542</v>
      </c>
      <c r="C166" s="66"/>
      <c r="D166" s="66"/>
      <c r="E166" s="66"/>
      <c r="F166" s="66"/>
      <c r="G166" s="66"/>
      <c r="H166" s="66"/>
      <c r="I166" s="66"/>
      <c r="J166" s="82"/>
      <c r="K166" s="82" t="s">
        <v>1797</v>
      </c>
      <c r="L166" s="82"/>
      <c r="M166" s="82"/>
      <c r="N166" s="82"/>
      <c r="O166" s="82"/>
      <c r="P166" s="82"/>
      <c r="Q166" s="682"/>
    </row>
    <row r="167" spans="1:17" s="208" customFormat="1">
      <c r="A167" s="67" t="s">
        <v>248</v>
      </c>
      <c r="B167" s="68" t="s">
        <v>165</v>
      </c>
      <c r="C167" s="69"/>
      <c r="D167" s="69"/>
      <c r="E167" s="69"/>
      <c r="F167" s="69"/>
      <c r="G167" s="69"/>
      <c r="H167" s="69"/>
      <c r="I167" s="69"/>
      <c r="J167" s="83" t="s">
        <v>2340</v>
      </c>
      <c r="K167" s="60" t="s">
        <v>1797</v>
      </c>
      <c r="L167" s="83" t="s">
        <v>2340</v>
      </c>
      <c r="M167" s="84"/>
      <c r="N167" s="83" t="s">
        <v>2343</v>
      </c>
      <c r="O167" s="85" t="s">
        <v>2344</v>
      </c>
      <c r="P167" s="84"/>
      <c r="Q167" s="682"/>
    </row>
    <row r="168" spans="1:17" s="208" customFormat="1">
      <c r="A168" s="67" t="s">
        <v>249</v>
      </c>
      <c r="B168" s="68" t="s">
        <v>250</v>
      </c>
      <c r="C168" s="69"/>
      <c r="D168" s="69"/>
      <c r="E168" s="69"/>
      <c r="F168" s="69"/>
      <c r="G168" s="69"/>
      <c r="H168" s="69"/>
      <c r="I168" s="69"/>
      <c r="J168" s="83" t="s">
        <v>2340</v>
      </c>
      <c r="K168" s="60" t="s">
        <v>1797</v>
      </c>
      <c r="L168" s="86" t="s">
        <v>2345</v>
      </c>
      <c r="M168" s="84"/>
      <c r="N168" s="83" t="s">
        <v>2346</v>
      </c>
      <c r="O168" s="85" t="s">
        <v>2347</v>
      </c>
      <c r="P168" s="84"/>
      <c r="Q168" s="682"/>
    </row>
    <row r="169" spans="1:17" s="208" customFormat="1">
      <c r="A169" s="67" t="s">
        <v>251</v>
      </c>
      <c r="B169" s="70" t="s">
        <v>245</v>
      </c>
      <c r="C169" s="69"/>
      <c r="D169" s="69"/>
      <c r="E169" s="69"/>
      <c r="F169" s="69"/>
      <c r="G169" s="69"/>
      <c r="H169" s="69"/>
      <c r="I169" s="69"/>
      <c r="J169" s="83" t="s">
        <v>2348</v>
      </c>
      <c r="K169" s="60" t="s">
        <v>1797</v>
      </c>
      <c r="L169" s="83" t="s">
        <v>2340</v>
      </c>
      <c r="M169" s="84"/>
      <c r="N169" s="83" t="s">
        <v>2349</v>
      </c>
      <c r="O169" s="84"/>
      <c r="P169" s="84"/>
      <c r="Q169" s="682"/>
    </row>
    <row r="170" spans="1:17" s="208" customFormat="1" ht="14.25" customHeight="1">
      <c r="A170" s="67" t="s">
        <v>252</v>
      </c>
      <c r="B170" s="68" t="s">
        <v>543</v>
      </c>
      <c r="C170" s="69"/>
      <c r="D170" s="69"/>
      <c r="E170" s="69"/>
      <c r="F170" s="69"/>
      <c r="G170" s="69"/>
      <c r="H170" s="69"/>
      <c r="I170" s="69"/>
      <c r="J170" s="83" t="s">
        <v>2340</v>
      </c>
      <c r="K170" s="60" t="s">
        <v>1797</v>
      </c>
      <c r="L170" s="86" t="s">
        <v>2350</v>
      </c>
      <c r="M170" s="84"/>
      <c r="N170" s="83" t="s">
        <v>2351</v>
      </c>
      <c r="O170" s="84"/>
      <c r="P170" s="84"/>
      <c r="Q170" s="682"/>
    </row>
    <row r="171" spans="1:17" s="208" customFormat="1">
      <c r="A171" s="67" t="s">
        <v>253</v>
      </c>
      <c r="B171" s="68" t="s">
        <v>544</v>
      </c>
      <c r="C171" s="69"/>
      <c r="D171" s="69"/>
      <c r="E171" s="69"/>
      <c r="F171" s="69"/>
      <c r="G171" s="69"/>
      <c r="H171" s="69"/>
      <c r="I171" s="69"/>
      <c r="J171" s="83" t="s">
        <v>2340</v>
      </c>
      <c r="K171" s="60" t="s">
        <v>1797</v>
      </c>
      <c r="L171" s="83" t="s">
        <v>2340</v>
      </c>
      <c r="M171" s="84"/>
      <c r="N171" s="83" t="s">
        <v>2352</v>
      </c>
      <c r="O171" s="84"/>
      <c r="P171" s="84"/>
      <c r="Q171" s="682"/>
    </row>
    <row r="172" spans="1:17" s="208" customFormat="1">
      <c r="A172" s="67" t="s">
        <v>255</v>
      </c>
      <c r="B172" s="68" t="s">
        <v>254</v>
      </c>
      <c r="C172" s="71"/>
      <c r="D172" s="71"/>
      <c r="E172" s="71"/>
      <c r="F172" s="71"/>
      <c r="G172" s="71"/>
      <c r="H172" s="71"/>
      <c r="I172" s="71"/>
      <c r="J172" s="87" t="s">
        <v>2353</v>
      </c>
      <c r="K172" s="60" t="s">
        <v>1797</v>
      </c>
      <c r="L172" s="88" t="s">
        <v>2354</v>
      </c>
      <c r="M172" s="85"/>
      <c r="N172" s="88" t="s">
        <v>2355</v>
      </c>
      <c r="O172" s="85"/>
      <c r="P172" s="85"/>
      <c r="Q172" s="682"/>
    </row>
    <row r="173" spans="1:17" s="208" customFormat="1">
      <c r="A173" s="67" t="s">
        <v>257</v>
      </c>
      <c r="B173" s="68" t="s">
        <v>256</v>
      </c>
      <c r="C173" s="71"/>
      <c r="D173" s="71"/>
      <c r="E173" s="71"/>
      <c r="F173" s="71"/>
      <c r="G173" s="71"/>
      <c r="H173" s="71"/>
      <c r="I173" s="71"/>
      <c r="J173" s="85"/>
      <c r="K173" s="60" t="s">
        <v>1797</v>
      </c>
      <c r="L173" s="85"/>
      <c r="M173" s="85"/>
      <c r="N173" s="88" t="s">
        <v>2356</v>
      </c>
      <c r="O173" s="85"/>
      <c r="P173" s="85"/>
      <c r="Q173" s="682"/>
    </row>
    <row r="174" spans="1:17" s="208" customFormat="1">
      <c r="A174" s="72" t="s">
        <v>258</v>
      </c>
      <c r="B174" s="73" t="s">
        <v>261</v>
      </c>
      <c r="C174" s="74"/>
      <c r="D174" s="74"/>
      <c r="E174" s="74"/>
      <c r="F174" s="74"/>
      <c r="G174" s="74"/>
      <c r="H174" s="74"/>
      <c r="I174" s="74"/>
      <c r="J174" s="89"/>
      <c r="K174" s="89"/>
      <c r="L174" s="89"/>
      <c r="M174" s="89"/>
      <c r="N174" s="683" t="s">
        <v>2357</v>
      </c>
      <c r="O174" s="89"/>
      <c r="P174" s="89"/>
      <c r="Q174" s="682"/>
    </row>
    <row r="175" spans="1:17" s="208" customFormat="1">
      <c r="A175" s="67" t="s">
        <v>260</v>
      </c>
      <c r="B175" s="68" t="s">
        <v>545</v>
      </c>
      <c r="C175" s="75"/>
      <c r="D175" s="75"/>
      <c r="E175" s="75"/>
      <c r="F175" s="75"/>
      <c r="G175" s="75"/>
      <c r="H175" s="75"/>
      <c r="I175" s="75"/>
      <c r="J175" s="90"/>
      <c r="K175" s="90"/>
      <c r="L175" s="90"/>
      <c r="M175" s="90"/>
      <c r="N175" s="90" t="s">
        <v>2358</v>
      </c>
      <c r="O175" s="90"/>
      <c r="P175" s="90"/>
      <c r="Q175" s="682"/>
    </row>
    <row r="176" spans="1:17" s="208" customFormat="1">
      <c r="A176" s="64" t="s">
        <v>262</v>
      </c>
      <c r="B176" s="65" t="s">
        <v>546</v>
      </c>
      <c r="C176" s="76"/>
      <c r="D176" s="76"/>
      <c r="E176" s="76"/>
      <c r="F176" s="76"/>
      <c r="G176" s="76"/>
      <c r="H176" s="76"/>
      <c r="I176" s="76"/>
      <c r="J176" s="91"/>
      <c r="K176" s="91"/>
      <c r="L176" s="91"/>
      <c r="M176" s="91"/>
      <c r="N176" s="92" t="s">
        <v>2359</v>
      </c>
      <c r="O176" s="91"/>
      <c r="P176" s="91"/>
      <c r="Q176" s="682"/>
    </row>
    <row r="177" spans="1:17" s="208" customFormat="1">
      <c r="A177" s="67" t="s">
        <v>264</v>
      </c>
      <c r="B177" s="68" t="s">
        <v>259</v>
      </c>
      <c r="C177" s="71"/>
      <c r="D177" s="71"/>
      <c r="E177" s="71"/>
      <c r="F177" s="71"/>
      <c r="G177" s="71"/>
      <c r="H177" s="71"/>
      <c r="I177" s="71"/>
      <c r="J177" s="85"/>
      <c r="K177" s="85"/>
      <c r="L177" s="85"/>
      <c r="M177" s="85"/>
      <c r="N177" s="88" t="s">
        <v>2360</v>
      </c>
      <c r="O177" s="85"/>
      <c r="P177" s="85"/>
      <c r="Q177" s="682"/>
    </row>
    <row r="178" spans="1:17" s="208" customFormat="1" ht="24">
      <c r="A178" s="72" t="s">
        <v>547</v>
      </c>
      <c r="B178" s="73" t="s">
        <v>548</v>
      </c>
      <c r="C178" s="74"/>
      <c r="D178" s="74"/>
      <c r="E178" s="74"/>
      <c r="F178" s="74"/>
      <c r="G178" s="74"/>
      <c r="H178" s="74"/>
      <c r="I178" s="74"/>
      <c r="J178" s="89"/>
      <c r="K178" s="89"/>
      <c r="L178" s="89"/>
      <c r="M178" s="89"/>
      <c r="N178" s="89" t="s">
        <v>2361</v>
      </c>
      <c r="O178" s="89"/>
      <c r="P178" s="89"/>
      <c r="Q178" s="682"/>
    </row>
    <row r="179" spans="1:17" s="208" customFormat="1" ht="24">
      <c r="A179" s="67" t="s">
        <v>549</v>
      </c>
      <c r="B179" s="68" t="s">
        <v>263</v>
      </c>
      <c r="C179" s="77"/>
      <c r="D179" s="77"/>
      <c r="E179" s="77"/>
      <c r="F179" s="77"/>
      <c r="G179" s="77"/>
      <c r="H179" s="77"/>
      <c r="I179" s="77"/>
      <c r="J179" s="90"/>
      <c r="K179" s="90"/>
      <c r="L179" s="90"/>
      <c r="M179" s="90"/>
      <c r="N179" s="90" t="s">
        <v>2362</v>
      </c>
      <c r="O179" s="90"/>
      <c r="P179" s="90"/>
      <c r="Q179" s="682"/>
    </row>
    <row r="180" spans="1:17" s="208" customFormat="1" ht="24">
      <c r="A180" s="64" t="s">
        <v>550</v>
      </c>
      <c r="B180" s="65" t="s">
        <v>265</v>
      </c>
      <c r="C180" s="78"/>
      <c r="D180" s="78"/>
      <c r="E180" s="78"/>
      <c r="F180" s="78"/>
      <c r="G180" s="78"/>
      <c r="H180" s="78"/>
      <c r="I180" s="78"/>
      <c r="J180" s="91"/>
      <c r="K180" s="91"/>
      <c r="L180" s="91"/>
      <c r="M180" s="91"/>
      <c r="N180" s="93" t="s">
        <v>2363</v>
      </c>
      <c r="O180" s="91"/>
      <c r="P180" s="91"/>
      <c r="Q180" s="682"/>
    </row>
  </sheetData>
  <mergeCells count="14">
    <mergeCell ref="J4:J5"/>
    <mergeCell ref="K4:K5"/>
    <mergeCell ref="L4:L5"/>
    <mergeCell ref="M4:M5"/>
    <mergeCell ref="A1:Q1"/>
    <mergeCell ref="A3:B5"/>
    <mergeCell ref="C3:D3"/>
    <mergeCell ref="F3:K3"/>
    <mergeCell ref="L3:M3"/>
    <mergeCell ref="N3:N5"/>
    <mergeCell ref="O3:O5"/>
    <mergeCell ref="P3:P5"/>
    <mergeCell ref="F4:G4"/>
    <mergeCell ref="H4:I4"/>
  </mergeCells>
  <phoneticPr fontId="4" type="noConversion"/>
  <pageMargins left="0.75" right="0.75" top="1" bottom="1" header="0.51180555555555551" footer="0.51180555555555551"/>
  <pageSetup paperSize="9" firstPageNumber="4294963191" orientation="portrait" horizontalDpi="0" verticalDpi="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opLeftCell="A13" workbookViewId="0">
      <selection sqref="A1:N17"/>
    </sheetView>
  </sheetViews>
  <sheetFormatPr defaultRowHeight="14.25"/>
  <cols>
    <col min="10" max="10" width="12.25" bestFit="1" customWidth="1"/>
    <col min="12" max="12" width="14.125" bestFit="1" customWidth="1"/>
    <col min="13" max="13" width="12.25" bestFit="1" customWidth="1"/>
  </cols>
  <sheetData>
    <row r="1" spans="1:14" ht="48">
      <c r="A1" s="230" t="s">
        <v>894</v>
      </c>
      <c r="B1" s="230" t="s">
        <v>2375</v>
      </c>
      <c r="C1" s="230" t="s">
        <v>895</v>
      </c>
      <c r="D1" s="230" t="s">
        <v>896</v>
      </c>
      <c r="E1" s="230" t="s">
        <v>897</v>
      </c>
      <c r="F1" s="230" t="s">
        <v>896</v>
      </c>
      <c r="G1" s="230" t="s">
        <v>897</v>
      </c>
      <c r="H1" s="230" t="s">
        <v>2376</v>
      </c>
      <c r="I1" s="230" t="s">
        <v>890</v>
      </c>
      <c r="J1" s="230" t="s">
        <v>2377</v>
      </c>
      <c r="K1" s="230" t="s">
        <v>890</v>
      </c>
      <c r="L1" s="230" t="s">
        <v>2378</v>
      </c>
      <c r="M1" s="230" t="s">
        <v>898</v>
      </c>
      <c r="N1" s="230" t="s">
        <v>890</v>
      </c>
    </row>
    <row r="2" spans="1:14" ht="72">
      <c r="A2" s="233" t="s">
        <v>2370</v>
      </c>
      <c r="B2" s="233" t="s">
        <v>2371</v>
      </c>
      <c r="C2" s="233" t="s">
        <v>901</v>
      </c>
      <c r="D2" s="233" t="s">
        <v>2369</v>
      </c>
      <c r="E2" s="233" t="s">
        <v>901</v>
      </c>
      <c r="F2" s="233" t="s">
        <v>901</v>
      </c>
      <c r="G2" s="233" t="s">
        <v>901</v>
      </c>
      <c r="H2" s="233" t="s">
        <v>882</v>
      </c>
      <c r="I2" s="233" t="s">
        <v>890</v>
      </c>
      <c r="J2" s="233" t="s">
        <v>2372</v>
      </c>
      <c r="K2" s="233" t="s">
        <v>890</v>
      </c>
      <c r="L2" s="233" t="s">
        <v>2373</v>
      </c>
      <c r="M2" s="233" t="s">
        <v>2374</v>
      </c>
      <c r="N2" s="233" t="s">
        <v>890</v>
      </c>
    </row>
    <row r="3" spans="1:14" ht="48">
      <c r="A3" s="226" t="s">
        <v>903</v>
      </c>
      <c r="B3" s="226" t="s">
        <v>904</v>
      </c>
      <c r="C3" s="226" t="s">
        <v>905</v>
      </c>
      <c r="D3" s="226" t="s">
        <v>906</v>
      </c>
      <c r="E3" s="226" t="s">
        <v>907</v>
      </c>
      <c r="F3" s="226" t="s">
        <v>906</v>
      </c>
      <c r="G3" s="226" t="s">
        <v>907</v>
      </c>
      <c r="H3" s="226" t="s">
        <v>908</v>
      </c>
      <c r="I3" s="226" t="s">
        <v>890</v>
      </c>
      <c r="J3" s="226" t="s">
        <v>909</v>
      </c>
      <c r="K3" s="226" t="s">
        <v>890</v>
      </c>
      <c r="L3" s="226" t="s">
        <v>910</v>
      </c>
      <c r="M3" s="226" t="s">
        <v>911</v>
      </c>
      <c r="N3" s="226" t="s">
        <v>890</v>
      </c>
    </row>
    <row r="4" spans="1:14" ht="48">
      <c r="A4" s="230" t="s">
        <v>894</v>
      </c>
      <c r="B4" s="230" t="s">
        <v>2375</v>
      </c>
      <c r="C4" s="230" t="s">
        <v>895</v>
      </c>
      <c r="D4" s="230" t="s">
        <v>896</v>
      </c>
      <c r="E4" s="230" t="s">
        <v>897</v>
      </c>
      <c r="F4" s="230" t="s">
        <v>896</v>
      </c>
      <c r="G4" s="230" t="s">
        <v>897</v>
      </c>
      <c r="H4" s="230" t="s">
        <v>2376</v>
      </c>
      <c r="I4" s="230" t="s">
        <v>890</v>
      </c>
      <c r="J4" s="230" t="s">
        <v>2377</v>
      </c>
      <c r="K4" s="230" t="s">
        <v>890</v>
      </c>
      <c r="L4" s="230" t="s">
        <v>2378</v>
      </c>
      <c r="M4" s="230" t="s">
        <v>898</v>
      </c>
      <c r="N4" s="230" t="s">
        <v>890</v>
      </c>
    </row>
    <row r="5" spans="1:14" ht="108">
      <c r="A5" s="233" t="s">
        <v>2370</v>
      </c>
      <c r="B5" s="233" t="s">
        <v>2371</v>
      </c>
      <c r="C5" s="233" t="s">
        <v>901</v>
      </c>
      <c r="D5" s="233" t="s">
        <v>2369</v>
      </c>
      <c r="E5" s="233" t="s">
        <v>901</v>
      </c>
      <c r="F5" s="233" t="s">
        <v>901</v>
      </c>
      <c r="G5" s="233" t="s">
        <v>901</v>
      </c>
      <c r="H5" s="233" t="s">
        <v>882</v>
      </c>
      <c r="I5" s="233" t="s">
        <v>890</v>
      </c>
      <c r="J5" s="233" t="s">
        <v>2372</v>
      </c>
      <c r="K5" s="233" t="s">
        <v>890</v>
      </c>
      <c r="L5" s="233" t="s">
        <v>2373</v>
      </c>
      <c r="M5" s="233" t="s">
        <v>2374</v>
      </c>
      <c r="N5" s="233" t="s">
        <v>890</v>
      </c>
    </row>
    <row r="6" spans="1:14" ht="60">
      <c r="A6" s="226" t="s">
        <v>914</v>
      </c>
      <c r="B6" s="226" t="s">
        <v>915</v>
      </c>
      <c r="C6" s="226" t="s">
        <v>916</v>
      </c>
      <c r="D6" s="226" t="s">
        <v>917</v>
      </c>
      <c r="E6" s="226" t="s">
        <v>918</v>
      </c>
      <c r="F6" s="226" t="s">
        <v>919</v>
      </c>
      <c r="G6" s="226" t="s">
        <v>918</v>
      </c>
      <c r="H6" s="226" t="s">
        <v>920</v>
      </c>
      <c r="I6" s="226" t="s">
        <v>890</v>
      </c>
      <c r="J6" s="226" t="s">
        <v>921</v>
      </c>
      <c r="K6" s="226" t="s">
        <v>890</v>
      </c>
      <c r="L6" s="226" t="s">
        <v>922</v>
      </c>
      <c r="M6" s="226" t="s">
        <v>923</v>
      </c>
      <c r="N6" s="226" t="s">
        <v>890</v>
      </c>
    </row>
    <row r="7" spans="1:14" ht="48">
      <c r="A7" s="230" t="s">
        <v>894</v>
      </c>
      <c r="B7" s="230" t="s">
        <v>2375</v>
      </c>
      <c r="C7" s="230" t="s">
        <v>895</v>
      </c>
      <c r="D7" s="230" t="s">
        <v>896</v>
      </c>
      <c r="E7" s="230" t="s">
        <v>897</v>
      </c>
      <c r="F7" s="230" t="s">
        <v>896</v>
      </c>
      <c r="G7" s="230" t="s">
        <v>897</v>
      </c>
      <c r="H7" s="230" t="s">
        <v>2376</v>
      </c>
      <c r="I7" s="230" t="s">
        <v>890</v>
      </c>
      <c r="J7" s="230" t="s">
        <v>2377</v>
      </c>
      <c r="K7" s="230" t="s">
        <v>890</v>
      </c>
      <c r="L7" s="230" t="s">
        <v>2378</v>
      </c>
      <c r="M7" s="230" t="s">
        <v>898</v>
      </c>
      <c r="N7" s="230" t="s">
        <v>890</v>
      </c>
    </row>
    <row r="8" spans="1:14" ht="96">
      <c r="A8" s="233" t="s">
        <v>2370</v>
      </c>
      <c r="B8" s="233" t="s">
        <v>2371</v>
      </c>
      <c r="C8" s="233" t="s">
        <v>901</v>
      </c>
      <c r="D8" s="233" t="s">
        <v>2369</v>
      </c>
      <c r="E8" s="233" t="s">
        <v>901</v>
      </c>
      <c r="F8" s="233" t="s">
        <v>901</v>
      </c>
      <c r="G8" s="233" t="s">
        <v>901</v>
      </c>
      <c r="H8" s="233" t="s">
        <v>882</v>
      </c>
      <c r="I8" s="233" t="s">
        <v>890</v>
      </c>
      <c r="J8" s="233" t="s">
        <v>2372</v>
      </c>
      <c r="K8" s="233" t="s">
        <v>890</v>
      </c>
      <c r="L8" s="233" t="s">
        <v>2373</v>
      </c>
      <c r="M8" s="233" t="s">
        <v>2374</v>
      </c>
      <c r="N8" s="233" t="s">
        <v>890</v>
      </c>
    </row>
    <row r="9" spans="1:14" ht="60">
      <c r="A9" s="226" t="s">
        <v>926</v>
      </c>
      <c r="B9" s="226" t="s">
        <v>927</v>
      </c>
      <c r="C9" s="226" t="s">
        <v>928</v>
      </c>
      <c r="D9" s="226" t="s">
        <v>929</v>
      </c>
      <c r="E9" s="226" t="s">
        <v>930</v>
      </c>
      <c r="F9" s="226" t="s">
        <v>929</v>
      </c>
      <c r="G9" s="226" t="s">
        <v>930</v>
      </c>
      <c r="H9" s="226" t="s">
        <v>931</v>
      </c>
      <c r="I9" s="226" t="s">
        <v>890</v>
      </c>
      <c r="J9" s="226" t="s">
        <v>932</v>
      </c>
      <c r="K9" s="226" t="s">
        <v>890</v>
      </c>
      <c r="L9" s="226" t="s">
        <v>933</v>
      </c>
      <c r="M9" s="226" t="s">
        <v>934</v>
      </c>
      <c r="N9" s="226" t="s">
        <v>890</v>
      </c>
    </row>
    <row r="10" spans="1:14" ht="48">
      <c r="A10" s="230" t="s">
        <v>894</v>
      </c>
      <c r="B10" s="230" t="s">
        <v>2375</v>
      </c>
      <c r="C10" s="230" t="s">
        <v>895</v>
      </c>
      <c r="D10" s="230" t="s">
        <v>896</v>
      </c>
      <c r="E10" s="230" t="s">
        <v>897</v>
      </c>
      <c r="F10" s="230" t="s">
        <v>896</v>
      </c>
      <c r="G10" s="230" t="s">
        <v>897</v>
      </c>
      <c r="H10" s="230" t="s">
        <v>2376</v>
      </c>
      <c r="I10" s="230" t="s">
        <v>890</v>
      </c>
      <c r="J10" s="230" t="s">
        <v>2377</v>
      </c>
      <c r="K10" s="230" t="s">
        <v>890</v>
      </c>
      <c r="L10" s="230" t="s">
        <v>2378</v>
      </c>
      <c r="M10" s="230" t="s">
        <v>898</v>
      </c>
      <c r="N10" s="230" t="s">
        <v>890</v>
      </c>
    </row>
    <row r="11" spans="1:14" ht="72">
      <c r="A11" s="233" t="s">
        <v>2370</v>
      </c>
      <c r="B11" s="233" t="s">
        <v>2371</v>
      </c>
      <c r="C11" s="233" t="s">
        <v>901</v>
      </c>
      <c r="D11" s="233" t="s">
        <v>2369</v>
      </c>
      <c r="E11" s="233" t="s">
        <v>901</v>
      </c>
      <c r="F11" s="233" t="s">
        <v>901</v>
      </c>
      <c r="G11" s="233" t="s">
        <v>901</v>
      </c>
      <c r="H11" s="233" t="s">
        <v>882</v>
      </c>
      <c r="I11" s="233" t="s">
        <v>890</v>
      </c>
      <c r="J11" s="233" t="s">
        <v>2372</v>
      </c>
      <c r="K11" s="233" t="s">
        <v>890</v>
      </c>
      <c r="L11" s="233" t="s">
        <v>2373</v>
      </c>
      <c r="M11" s="233" t="s">
        <v>2374</v>
      </c>
      <c r="N11" s="233" t="s">
        <v>890</v>
      </c>
    </row>
    <row r="12" spans="1:14" ht="60">
      <c r="A12" s="226" t="s">
        <v>937</v>
      </c>
      <c r="B12" s="226" t="s">
        <v>938</v>
      </c>
      <c r="C12" s="226" t="s">
        <v>939</v>
      </c>
      <c r="D12" s="226" t="s">
        <v>940</v>
      </c>
      <c r="E12" s="226" t="s">
        <v>941</v>
      </c>
      <c r="F12" s="226" t="s">
        <v>940</v>
      </c>
      <c r="G12" s="226" t="s">
        <v>941</v>
      </c>
      <c r="H12" s="226" t="s">
        <v>942</v>
      </c>
      <c r="I12" s="226" t="s">
        <v>890</v>
      </c>
      <c r="J12" s="226" t="s">
        <v>943</v>
      </c>
      <c r="K12" s="226" t="s">
        <v>890</v>
      </c>
      <c r="L12" s="226" t="s">
        <v>944</v>
      </c>
      <c r="M12" s="226" t="s">
        <v>945</v>
      </c>
      <c r="N12" s="226" t="s">
        <v>890</v>
      </c>
    </row>
    <row r="13" spans="1:14" ht="48">
      <c r="A13" s="230" t="s">
        <v>894</v>
      </c>
      <c r="B13" s="230" t="s">
        <v>2375</v>
      </c>
      <c r="C13" s="230" t="s">
        <v>895</v>
      </c>
      <c r="D13" s="230" t="s">
        <v>896</v>
      </c>
      <c r="E13" s="230" t="s">
        <v>897</v>
      </c>
      <c r="F13" s="230" t="s">
        <v>896</v>
      </c>
      <c r="G13" s="230" t="s">
        <v>897</v>
      </c>
      <c r="H13" s="230" t="s">
        <v>2376</v>
      </c>
      <c r="I13" s="230" t="s">
        <v>890</v>
      </c>
      <c r="J13" s="230" t="s">
        <v>2377</v>
      </c>
      <c r="K13" s="230" t="s">
        <v>890</v>
      </c>
      <c r="L13" s="230" t="s">
        <v>2378</v>
      </c>
      <c r="M13" s="230" t="s">
        <v>898</v>
      </c>
      <c r="N13" s="230" t="s">
        <v>890</v>
      </c>
    </row>
    <row r="14" spans="1:14" ht="72">
      <c r="A14" s="233" t="s">
        <v>2370</v>
      </c>
      <c r="B14" s="233" t="s">
        <v>2371</v>
      </c>
      <c r="C14" s="233" t="s">
        <v>901</v>
      </c>
      <c r="D14" s="233" t="s">
        <v>2369</v>
      </c>
      <c r="E14" s="233" t="s">
        <v>901</v>
      </c>
      <c r="F14" s="233" t="s">
        <v>901</v>
      </c>
      <c r="G14" s="233" t="s">
        <v>901</v>
      </c>
      <c r="H14" s="233" t="s">
        <v>882</v>
      </c>
      <c r="I14" s="233" t="s">
        <v>890</v>
      </c>
      <c r="J14" s="233" t="s">
        <v>2372</v>
      </c>
      <c r="K14" s="233" t="s">
        <v>890</v>
      </c>
      <c r="L14" s="233" t="s">
        <v>2373</v>
      </c>
      <c r="M14" s="233" t="s">
        <v>2374</v>
      </c>
      <c r="N14" s="233" t="s">
        <v>890</v>
      </c>
    </row>
    <row r="15" spans="1:14" ht="60">
      <c r="A15" s="226" t="s">
        <v>948</v>
      </c>
      <c r="B15" s="226" t="s">
        <v>949</v>
      </c>
      <c r="C15" s="226" t="s">
        <v>950</v>
      </c>
      <c r="D15" s="226" t="s">
        <v>951</v>
      </c>
      <c r="E15" s="226" t="s">
        <v>952</v>
      </c>
      <c r="F15" s="226" t="s">
        <v>951</v>
      </c>
      <c r="G15" s="226" t="s">
        <v>952</v>
      </c>
      <c r="H15" s="226" t="s">
        <v>953</v>
      </c>
      <c r="I15" s="226" t="s">
        <v>890</v>
      </c>
      <c r="J15" s="226" t="s">
        <v>954</v>
      </c>
      <c r="K15" s="226" t="s">
        <v>890</v>
      </c>
      <c r="L15" s="226" t="s">
        <v>955</v>
      </c>
      <c r="M15" s="226" t="s">
        <v>956</v>
      </c>
      <c r="N15" s="226" t="s">
        <v>890</v>
      </c>
    </row>
    <row r="16" spans="1:14" ht="48">
      <c r="A16" s="230" t="s">
        <v>894</v>
      </c>
      <c r="B16" s="230" t="s">
        <v>2375</v>
      </c>
      <c r="C16" s="230" t="s">
        <v>895</v>
      </c>
      <c r="D16" s="230" t="s">
        <v>896</v>
      </c>
      <c r="E16" s="230" t="s">
        <v>897</v>
      </c>
      <c r="F16" s="230" t="s">
        <v>896</v>
      </c>
      <c r="G16" s="230" t="s">
        <v>897</v>
      </c>
      <c r="H16" s="230" t="s">
        <v>2376</v>
      </c>
      <c r="I16" s="230" t="s">
        <v>890</v>
      </c>
      <c r="J16" s="230" t="s">
        <v>2377</v>
      </c>
      <c r="K16" s="230" t="s">
        <v>890</v>
      </c>
      <c r="L16" s="230" t="s">
        <v>2378</v>
      </c>
      <c r="M16" s="230" t="s">
        <v>898</v>
      </c>
      <c r="N16" s="230" t="s">
        <v>890</v>
      </c>
    </row>
    <row r="17" spans="1:14" ht="96">
      <c r="A17" s="233" t="s">
        <v>2370</v>
      </c>
      <c r="B17" s="233" t="s">
        <v>2371</v>
      </c>
      <c r="C17" s="233" t="s">
        <v>901</v>
      </c>
      <c r="D17" s="233" t="s">
        <v>2369</v>
      </c>
      <c r="E17" s="233" t="s">
        <v>901</v>
      </c>
      <c r="F17" s="233" t="s">
        <v>901</v>
      </c>
      <c r="G17" s="233" t="s">
        <v>901</v>
      </c>
      <c r="H17" s="233" t="s">
        <v>882</v>
      </c>
      <c r="I17" s="233" t="s">
        <v>890</v>
      </c>
      <c r="J17" s="233" t="s">
        <v>2372</v>
      </c>
      <c r="K17" s="233" t="s">
        <v>901</v>
      </c>
      <c r="L17" s="233" t="s">
        <v>2373</v>
      </c>
      <c r="M17" s="233" t="s">
        <v>2374</v>
      </c>
      <c r="N17" s="233" t="s">
        <v>890</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3" sqref="E13"/>
    </sheetView>
  </sheetViews>
  <sheetFormatPr defaultColWidth="9" defaultRowHeight="14.25"/>
  <sheetData>
    <row r="1" spans="1:13" ht="69" customHeight="1">
      <c r="A1" s="689" t="s">
        <v>4</v>
      </c>
      <c r="B1" s="690"/>
      <c r="C1" s="690"/>
      <c r="D1" s="690"/>
      <c r="E1" s="690"/>
      <c r="F1" s="690"/>
      <c r="G1" s="690"/>
      <c r="H1" s="690"/>
      <c r="I1" s="690"/>
      <c r="J1" s="690"/>
      <c r="K1" s="690"/>
      <c r="L1" s="690"/>
      <c r="M1" s="690"/>
    </row>
    <row r="2" spans="1:13" s="1" customFormat="1" ht="64.5" customHeight="1">
      <c r="A2" s="688" t="s">
        <v>5</v>
      </c>
      <c r="B2" s="688"/>
      <c r="C2" s="688"/>
      <c r="D2" s="688"/>
      <c r="E2" s="688"/>
      <c r="F2" s="688"/>
      <c r="G2" s="688"/>
      <c r="H2" s="688"/>
      <c r="I2" s="688"/>
      <c r="J2" s="688"/>
      <c r="K2" s="688"/>
      <c r="L2" s="688"/>
      <c r="M2" s="688"/>
    </row>
    <row r="3" spans="1:13" s="1" customFormat="1" ht="32.25" customHeight="1">
      <c r="A3" s="688" t="s">
        <v>6</v>
      </c>
      <c r="B3" s="688"/>
      <c r="C3" s="688"/>
      <c r="D3" s="688"/>
      <c r="E3" s="688"/>
      <c r="F3" s="688"/>
      <c r="G3" s="688"/>
      <c r="H3" s="688"/>
      <c r="I3" s="688"/>
      <c r="J3" s="688"/>
      <c r="K3" s="688"/>
      <c r="L3" s="688"/>
      <c r="M3" s="688"/>
    </row>
    <row r="4" spans="1:13" s="1" customFormat="1" ht="19.5" customHeight="1">
      <c r="A4" s="688" t="s">
        <v>7</v>
      </c>
      <c r="B4" s="688"/>
      <c r="C4" s="688"/>
      <c r="D4" s="688"/>
      <c r="E4" s="688"/>
      <c r="F4" s="688"/>
      <c r="G4" s="688"/>
      <c r="H4" s="688"/>
      <c r="I4" s="688"/>
      <c r="J4" s="688"/>
      <c r="K4" s="688"/>
      <c r="L4" s="688"/>
      <c r="M4" s="688"/>
    </row>
    <row r="5" spans="1:13" s="1" customFormat="1" ht="33" customHeight="1">
      <c r="A5" s="691" t="s">
        <v>8</v>
      </c>
      <c r="B5" s="691"/>
      <c r="C5" s="691"/>
      <c r="D5" s="691"/>
      <c r="E5" s="691"/>
      <c r="F5" s="691"/>
      <c r="G5" s="691"/>
      <c r="H5" s="691"/>
      <c r="I5" s="691"/>
      <c r="J5" s="691"/>
      <c r="K5" s="691"/>
      <c r="L5" s="691"/>
      <c r="M5" s="691"/>
    </row>
    <row r="6" spans="1:13" ht="32.25" customHeight="1">
      <c r="A6" s="688" t="s">
        <v>9</v>
      </c>
      <c r="B6" s="688"/>
      <c r="C6" s="688"/>
      <c r="D6" s="688"/>
      <c r="E6" s="688"/>
      <c r="F6" s="688"/>
      <c r="G6" s="688"/>
      <c r="H6" s="688"/>
      <c r="I6" s="688"/>
      <c r="J6" s="688"/>
      <c r="K6" s="688"/>
      <c r="L6" s="688"/>
      <c r="M6" s="688"/>
    </row>
    <row r="7" spans="1:13" s="1" customFormat="1" ht="33.75" customHeight="1">
      <c r="A7" s="688" t="s">
        <v>10</v>
      </c>
      <c r="B7" s="688"/>
      <c r="C7" s="688"/>
      <c r="D7" s="688"/>
      <c r="E7" s="688"/>
      <c r="F7" s="688"/>
      <c r="G7" s="688"/>
      <c r="H7" s="688"/>
      <c r="I7" s="688"/>
      <c r="J7" s="688"/>
      <c r="K7" s="688"/>
      <c r="L7" s="688"/>
      <c r="M7" s="688"/>
    </row>
    <row r="15" spans="1:13">
      <c r="L15" t="s">
        <v>11</v>
      </c>
    </row>
    <row r="16" spans="1:13">
      <c r="L16">
        <v>2009.09</v>
      </c>
    </row>
  </sheetData>
  <mergeCells count="7">
    <mergeCell ref="A6:M6"/>
    <mergeCell ref="A7:M7"/>
    <mergeCell ref="A1:M1"/>
    <mergeCell ref="A2:M2"/>
    <mergeCell ref="A3:M3"/>
    <mergeCell ref="A4:M4"/>
    <mergeCell ref="A5:M5"/>
  </mergeCells>
  <phoneticPr fontId="34" type="noConversion"/>
  <pageMargins left="0.75" right="0.75" top="1" bottom="1" header="0.5" footer="0.5"/>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A1:I268"/>
  <sheetViews>
    <sheetView zoomScale="87" zoomScaleNormal="87" workbookViewId="0">
      <pane xSplit="9" ySplit="1" topLeftCell="J2" activePane="bottomRight" state="frozen"/>
      <selection pane="topRight"/>
      <selection pane="bottomLeft"/>
      <selection pane="bottomRight" activeCell="B129" sqref="B129"/>
    </sheetView>
  </sheetViews>
  <sheetFormatPr defaultColWidth="9" defaultRowHeight="14.25"/>
  <cols>
    <col min="1" max="1" width="11.625" style="636" customWidth="1"/>
    <col min="2" max="2" width="11.625" style="571" customWidth="1"/>
    <col min="3" max="3" width="17.125" style="643" customWidth="1"/>
    <col min="4" max="4" width="19.125" style="640" customWidth="1"/>
    <col min="5" max="5" width="19.625" style="640" customWidth="1"/>
    <col min="6" max="6" width="40.625" style="641" customWidth="1"/>
    <col min="7" max="7" width="31.125" style="641" customWidth="1"/>
    <col min="8" max="8" width="9.625" style="642" customWidth="1"/>
    <col min="9" max="9" width="18.125" style="571" bestFit="1" customWidth="1"/>
    <col min="10" max="16384" width="9" style="571"/>
  </cols>
  <sheetData>
    <row r="1" spans="1:9" ht="15.75">
      <c r="A1" s="564" t="s">
        <v>1614</v>
      </c>
      <c r="B1" s="565" t="s">
        <v>1615</v>
      </c>
      <c r="C1" s="566" t="s">
        <v>1616</v>
      </c>
      <c r="D1" s="567" t="s">
        <v>1617</v>
      </c>
      <c r="E1" s="567" t="s">
        <v>1618</v>
      </c>
      <c r="F1" s="565" t="s">
        <v>1619</v>
      </c>
      <c r="G1" s="568" t="s">
        <v>986</v>
      </c>
      <c r="H1" s="569" t="s">
        <v>1620</v>
      </c>
      <c r="I1" s="570" t="s">
        <v>998</v>
      </c>
    </row>
    <row r="2" spans="1:9" s="578" customFormat="1" ht="15.75" customHeight="1">
      <c r="A2" s="378" t="s">
        <v>12</v>
      </c>
      <c r="B2" s="572" t="s">
        <v>1621</v>
      </c>
      <c r="C2" s="573">
        <v>12055.17</v>
      </c>
      <c r="D2" s="574">
        <f>SUMIF(A$2:A2,A2,C$2:C2)</f>
        <v>12055.17</v>
      </c>
      <c r="E2" s="575">
        <f>IF(VLOOKUP(A2,合同台帐!$A$4:$K$195,7,1)&gt;0,VLOOKUP(A2,合同台帐!$A$4:$K$195,7,1)-D2,VLOOKUP(A2,合同台帐!$A$4:$F$195,6,1)-D2)</f>
        <v>0</v>
      </c>
      <c r="F2" s="576" t="str">
        <f>VLOOKUP(A2,合同台帐!$A$4:$D$195,4,1)</f>
        <v>南郡蓝山核定用地图合同</v>
      </c>
      <c r="G2" s="576" t="str">
        <f>VLOOKUP(A2,合同台帐!$A$4:$E$195,5,1)</f>
        <v>天津市蓟县测绘队</v>
      </c>
      <c r="H2" s="577" t="s">
        <v>1622</v>
      </c>
      <c r="I2" s="292" t="str">
        <f>IF(A2&lt;&gt;0,VLOOKUP(A2,合同台帐!$A$4:$C$893,3,0),"")</f>
        <v>前核地</v>
      </c>
    </row>
    <row r="3" spans="1:9" s="578" customFormat="1" ht="15.75" customHeight="1">
      <c r="A3" s="378" t="s">
        <v>13</v>
      </c>
      <c r="B3" s="572" t="s">
        <v>1623</v>
      </c>
      <c r="C3" s="573">
        <v>44110</v>
      </c>
      <c r="D3" s="574">
        <f>SUMIF(A$2:A3,A3,C$2:C3)</f>
        <v>44110</v>
      </c>
      <c r="E3" s="575">
        <f>IF(VLOOKUP(A3,合同台帐!$A$4:$K$195,7,1)&gt;0,VLOOKUP(A3,合同台帐!$A$4:$K$195,7,1)-D3,VLOOKUP(A3,合同台帐!$A$4:$F$195,6,1)-D3)</f>
        <v>0</v>
      </c>
      <c r="F3" s="576" t="str">
        <f>VLOOKUP(A3,合同台帐!$A$4:$D$195,4,1)</f>
        <v>天津蓟县项目地形图测绘合同</v>
      </c>
      <c r="G3" s="576" t="str">
        <f>VLOOKUP(A3,合同台帐!$A$4:$E$195,5,1)</f>
        <v>天津市蓟县测绘队</v>
      </c>
      <c r="H3" s="577" t="s">
        <v>1622</v>
      </c>
      <c r="I3" s="292" t="str">
        <f>IF(A3&lt;&gt;0,VLOOKUP(A3,合同台帐!$A$4:$C$893,3,0),"")</f>
        <v>前勘绘</v>
      </c>
    </row>
    <row r="4" spans="1:9" s="578" customFormat="1" ht="15.75" customHeight="1">
      <c r="A4" s="378" t="s">
        <v>14</v>
      </c>
      <c r="B4" s="579" t="s">
        <v>1064</v>
      </c>
      <c r="C4" s="573">
        <v>102375</v>
      </c>
      <c r="D4" s="574">
        <f>SUMIF(A$2:A4,A4,C$2:C4)</f>
        <v>102375</v>
      </c>
      <c r="E4" s="575">
        <f>IF(VLOOKUP(A4,合同台帐!$A$4:$K$195,7,1)&gt;0,VLOOKUP(A4,合同台帐!$A$4:$K$195,7,1)-D4,VLOOKUP(A4,合同台帐!$A$4:$F$195,6,1)-D4)</f>
        <v>0</v>
      </c>
      <c r="F4" s="576" t="str">
        <f>VLOOKUP(A4,合同台帐!$A$4:$D$195,4,1)</f>
        <v>初勘合同</v>
      </c>
      <c r="G4" s="576" t="str">
        <f>VLOOKUP(A4,合同台帐!$A$4:$E$195,5,1)</f>
        <v>天津市勘察院</v>
      </c>
      <c r="H4" s="577" t="s">
        <v>1622</v>
      </c>
      <c r="I4" s="292" t="str">
        <f>IF(A4&lt;&gt;0,VLOOKUP(A4,合同台帐!$A$4:$C$893,3,0),"")</f>
        <v>前勘勘</v>
      </c>
    </row>
    <row r="5" spans="1:9" s="578" customFormat="1" ht="15.75" customHeight="1">
      <c r="A5" s="378" t="s">
        <v>15</v>
      </c>
      <c r="B5" s="572" t="s">
        <v>1624</v>
      </c>
      <c r="C5" s="573">
        <v>1408668</v>
      </c>
      <c r="D5" s="574">
        <f>SUMIF(A$2:A5,A5,C$2:C5)</f>
        <v>1408668</v>
      </c>
      <c r="E5" s="575">
        <f>IF(VLOOKUP(A5,合同台帐!$A$4:$K$195,7,1)&gt;0,VLOOKUP(A5,合同台帐!$A$4:$K$195,7,1)-D5,VLOOKUP(A5,合同台帐!$A$4:$F$195,6,1)-D5)</f>
        <v>6391332</v>
      </c>
      <c r="F5" s="576" t="str">
        <f>VLOOKUP(A5,合同台帐!$A$4:$D$195,4,1)</f>
        <v>建筑方案及施工图设计合同</v>
      </c>
      <c r="G5" s="576" t="str">
        <f>VLOOKUP(A5,合同台帐!$A$4:$E$195,5,1)</f>
        <v>北京新纪元建筑工程设计有限公司</v>
      </c>
      <c r="H5" s="577" t="s">
        <v>1622</v>
      </c>
      <c r="I5" s="292" t="str">
        <f>IF(A5&lt;&gt;0,VLOOKUP(A5,合同台帐!$A$4:$C$893,3,0),"")</f>
        <v>前设设</v>
      </c>
    </row>
    <row r="6" spans="1:9" s="578" customFormat="1" ht="15.75" customHeight="1">
      <c r="A6" s="378" t="s">
        <v>15</v>
      </c>
      <c r="B6" s="579" t="s">
        <v>1625</v>
      </c>
      <c r="C6" s="573">
        <v>640912</v>
      </c>
      <c r="D6" s="574">
        <f>SUMIF(A$2:A6,A6,C$2:C6)</f>
        <v>2049580</v>
      </c>
      <c r="E6" s="575">
        <f>IF(VLOOKUP(A6,合同台帐!$A$4:$K$195,7,1)&gt;0,VLOOKUP(A6,合同台帐!$A$4:$K$195,7,1)-D6,VLOOKUP(A6,合同台帐!$A$4:$F$195,6,1)-D6)</f>
        <v>5750420</v>
      </c>
      <c r="F6" s="576" t="str">
        <f>VLOOKUP(A6,合同台帐!$A$4:$D$195,4,1)</f>
        <v>建筑方案及施工图设计合同</v>
      </c>
      <c r="G6" s="576" t="str">
        <f>VLOOKUP(A6,合同台帐!$A$4:$E$195,5,1)</f>
        <v>北京新纪元建筑工程设计有限公司</v>
      </c>
      <c r="H6" s="577" t="s">
        <v>1626</v>
      </c>
      <c r="I6" s="292" t="str">
        <f>IF(A6&lt;&gt;0,VLOOKUP(A6,合同台帐!$A$4:$C$893,3,0),"")</f>
        <v>前设设</v>
      </c>
    </row>
    <row r="7" spans="1:9" s="578" customFormat="1" ht="15.75" customHeight="1">
      <c r="A7" s="378" t="s">
        <v>15</v>
      </c>
      <c r="B7" s="580" t="s">
        <v>1627</v>
      </c>
      <c r="C7" s="573">
        <v>680420</v>
      </c>
      <c r="D7" s="574">
        <f>SUMIF(A$2:A7,A7,C$2:C7)</f>
        <v>2730000</v>
      </c>
      <c r="E7" s="581">
        <f>IF(VLOOKUP(A7,合同台帐!$A$4:$K$195,7,1)&gt;0,VLOOKUP(A7,合同台帐!$A$4:$K$195,7,1)-D7,VLOOKUP(A7,合同台帐!$A$4:$F$195,6,1)-D7)</f>
        <v>5070000</v>
      </c>
      <c r="F7" s="582" t="str">
        <f>VLOOKUP(A7,合同台帐!$A$4:$D$195,4,1)</f>
        <v>建筑方案及施工图设计合同</v>
      </c>
      <c r="G7" s="576" t="str">
        <f>VLOOKUP(A7,合同台帐!$A$4:$E$195,5,1)</f>
        <v>北京新纪元建筑工程设计有限公司</v>
      </c>
      <c r="H7" s="577" t="s">
        <v>1628</v>
      </c>
      <c r="I7" s="292" t="str">
        <f>IF(A7&lt;&gt;0,VLOOKUP(A7,合同台帐!$A$4:$C$893,3,0),"")</f>
        <v>前设设</v>
      </c>
    </row>
    <row r="8" spans="1:9" s="578" customFormat="1" ht="15.75" customHeight="1">
      <c r="A8" s="378" t="s">
        <v>16</v>
      </c>
      <c r="B8" s="572" t="s">
        <v>1031</v>
      </c>
      <c r="C8" s="573">
        <v>82803400</v>
      </c>
      <c r="D8" s="574">
        <f>SUMIF(A$2:A8,A8,C$2:C8)</f>
        <v>82803400</v>
      </c>
      <c r="E8" s="575">
        <f>IF(VLOOKUP(A8,合同台帐!$A$4:$K$195,7,1)&gt;0,VLOOKUP(A8,合同台帐!$A$4:$K$195,7,1)-D8,VLOOKUP(A8,合同台帐!$A$4:$F$195,6,1)-D8)</f>
        <v>283296600</v>
      </c>
      <c r="F8" s="576" t="str">
        <f>VLOOKUP(A8,合同台帐!$A$4:$D$195,4,1)</f>
        <v>天津市国有建设用地使用权出让合同</v>
      </c>
      <c r="G8" s="576" t="str">
        <f>VLOOKUP(A8,合同台帐!$A$4:$E$195,5,1)</f>
        <v>天津市国土资源和房屋管理局蓟县国土资源分局</v>
      </c>
      <c r="H8" s="577" t="s">
        <v>1622</v>
      </c>
      <c r="I8" s="292" t="str">
        <f>IF(A8&lt;&gt;0,VLOOKUP(A8,合同台帐!$A$4:$C$893,3,0),"")</f>
        <v>土土</v>
      </c>
    </row>
    <row r="9" spans="1:9" s="578" customFormat="1" ht="15.75" customHeight="1">
      <c r="A9" s="378" t="s">
        <v>16</v>
      </c>
      <c r="B9" s="572" t="s">
        <v>1629</v>
      </c>
      <c r="C9" s="573">
        <v>100246890</v>
      </c>
      <c r="D9" s="574">
        <f>SUMIF(A$2:A9,A9,C$2:C9)</f>
        <v>183050290</v>
      </c>
      <c r="E9" s="575">
        <f>IF(VLOOKUP(A9,合同台帐!$A$4:$K$195,7,1)&gt;0,VLOOKUP(A9,合同台帐!$A$4:$K$195,7,1)-D9,VLOOKUP(A9,合同台帐!$A$4:$F$195,6,1)-D9)</f>
        <v>183049710</v>
      </c>
      <c r="F9" s="576" t="str">
        <f>VLOOKUP(A9,合同台帐!$A$4:$D$195,4,1)</f>
        <v>天津市国有建设用地使用权出让合同</v>
      </c>
      <c r="G9" s="576" t="str">
        <f>VLOOKUP(A9,合同台帐!$A$4:$E$195,5,1)</f>
        <v>天津市国土资源和房屋管理局蓟县国土资源分局</v>
      </c>
      <c r="H9" s="577" t="s">
        <v>1626</v>
      </c>
      <c r="I9" s="292" t="str">
        <f>IF(A9&lt;&gt;0,VLOOKUP(A9,合同台帐!$A$4:$C$893,3,0),"")</f>
        <v>土土</v>
      </c>
    </row>
    <row r="10" spans="1:9" s="578" customFormat="1" ht="15.75" customHeight="1">
      <c r="A10" s="378" t="s">
        <v>16</v>
      </c>
      <c r="B10" s="572" t="s">
        <v>1630</v>
      </c>
      <c r="C10" s="573">
        <v>183049710</v>
      </c>
      <c r="D10" s="574">
        <f>SUMIF(A$2:A10,A10,C$2:C10)</f>
        <v>366100000</v>
      </c>
      <c r="E10" s="575">
        <f>IF(VLOOKUP(A10,合同台帐!$A$4:$K$195,7,1)&gt;0,VLOOKUP(A10,合同台帐!$A$4:$K$195,7,1)-D10,VLOOKUP(A10,合同台帐!$A$4:$F$195,6,1)-D10)</f>
        <v>0</v>
      </c>
      <c r="F10" s="576" t="str">
        <f>VLOOKUP(A10,合同台帐!$A$4:$D$195,4,1)</f>
        <v>天津市国有建设用地使用权出让合同</v>
      </c>
      <c r="G10" s="576" t="str">
        <f>VLOOKUP(A10,合同台帐!$A$4:$E$195,5,1)</f>
        <v>天津市国土资源和房屋管理局蓟县国土资源分局</v>
      </c>
      <c r="H10" s="577" t="s">
        <v>1628</v>
      </c>
      <c r="I10" s="292" t="str">
        <f>IF(A10&lt;&gt;0,VLOOKUP(A10,合同台帐!$A$4:$C$893,3,0),"")</f>
        <v>土土</v>
      </c>
    </row>
    <row r="11" spans="1:9" s="578" customFormat="1" ht="15.75" customHeight="1">
      <c r="A11" s="378" t="s">
        <v>17</v>
      </c>
      <c r="B11" s="572" t="s">
        <v>1631</v>
      </c>
      <c r="C11" s="573">
        <v>366100</v>
      </c>
      <c r="D11" s="574">
        <f>SUMIF(A$2:A11,A11,C$2:C11)</f>
        <v>366100</v>
      </c>
      <c r="E11" s="575">
        <f>IF(VLOOKUP(A11,合同台帐!$A$4:$K$195,7,1)&gt;0,VLOOKUP(A11,合同台帐!$A$4:$K$195,7,1)-D11,VLOOKUP(A11,合同台帐!$A$4:$F$195,6,1)-D11)</f>
        <v>0</v>
      </c>
      <c r="F11" s="576" t="str">
        <f>VLOOKUP(A11,合同台帐!$A$4:$D$195,4,1)</f>
        <v>代理代办费（蓟县国土收取）</v>
      </c>
      <c r="G11" s="576" t="str">
        <f>VLOOKUP(A11,合同台帐!$A$4:$E$195,5,1)</f>
        <v>天津市国土资源和房屋管理局蓟县国土资源分局</v>
      </c>
      <c r="H11" s="577" t="s">
        <v>1622</v>
      </c>
      <c r="I11" s="292" t="str">
        <f>IF(A11&lt;&gt;0,VLOOKUP(A11,合同台帐!$A$4:$C$893,3,0),"")</f>
        <v>土交</v>
      </c>
    </row>
    <row r="12" spans="1:9" s="578" customFormat="1" ht="15.75" customHeight="1">
      <c r="A12" s="378" t="s">
        <v>18</v>
      </c>
      <c r="B12" s="572" t="s">
        <v>1027</v>
      </c>
      <c r="C12" s="573">
        <v>10000</v>
      </c>
      <c r="D12" s="574">
        <f>SUMIF(A$2:A12,A12,C$2:C12)</f>
        <v>10000</v>
      </c>
      <c r="E12" s="575">
        <f>IF(VLOOKUP(A12,合同台帐!$A$4:$K$195,7,1)&gt;0,VLOOKUP(A12,合同台帐!$A$4:$K$195,7,1)-D12,VLOOKUP(A12,合同台帐!$A$4:$F$195,6,1)-D12)</f>
        <v>0</v>
      </c>
      <c r="F12" s="576" t="str">
        <f>VLOOKUP(A12,合同台帐!$A$4:$D$195,4,1)</f>
        <v>国有土地使用权登记费</v>
      </c>
      <c r="G12" s="576" t="str">
        <f>VLOOKUP(A12,合同台帐!$A$4:$E$195,5,1)</f>
        <v>天津市蓟县地籍管理中心</v>
      </c>
      <c r="H12" s="577" t="s">
        <v>1622</v>
      </c>
      <c r="I12" s="292" t="str">
        <f>IF(A12&lt;&gt;0,VLOOKUP(A12,合同台帐!$A$4:$C$893,3,0),"")</f>
        <v>土其</v>
      </c>
    </row>
    <row r="13" spans="1:9" s="578" customFormat="1" ht="15.75" customHeight="1">
      <c r="A13" s="378" t="s">
        <v>19</v>
      </c>
      <c r="B13" s="572" t="s">
        <v>1031</v>
      </c>
      <c r="C13" s="573">
        <v>1464400</v>
      </c>
      <c r="D13" s="574">
        <f>SUMIF(A$2:A13,A13,C$2:C13)</f>
        <v>1464400</v>
      </c>
      <c r="E13" s="575">
        <f>IF(VLOOKUP(A13,合同台帐!$A$4:$K$195,7,1)&gt;0,VLOOKUP(A13,合同台帐!$A$4:$K$195,7,1)-D13,VLOOKUP(A13,合同台帐!$A$4:$F$195,6,1)-D13)</f>
        <v>0</v>
      </c>
      <c r="F13" s="576" t="str">
        <f>VLOOKUP(A13,合同台帐!$A$4:$D$195,4,1)</f>
        <v>土地交易代理代办费</v>
      </c>
      <c r="G13" s="576" t="str">
        <f>VLOOKUP(A13,合同台帐!$A$4:$E$195,5,1)</f>
        <v>天津市土地交易中心</v>
      </c>
      <c r="H13" s="577" t="s">
        <v>1622</v>
      </c>
      <c r="I13" s="292" t="str">
        <f>IF(A13&lt;&gt;0,VLOOKUP(A13,合同台帐!$A$4:$C$893,3,0),"")</f>
        <v>土交</v>
      </c>
    </row>
    <row r="14" spans="1:9" s="578" customFormat="1" ht="15.75" customHeight="1">
      <c r="A14" s="378" t="s">
        <v>20</v>
      </c>
      <c r="B14" s="572" t="s">
        <v>1031</v>
      </c>
      <c r="C14" s="573">
        <v>732200</v>
      </c>
      <c r="D14" s="574">
        <f>SUMIF(A$2:A14,A14,C$2:C14)</f>
        <v>732200</v>
      </c>
      <c r="E14" s="575">
        <f>IF(VLOOKUP(A14,合同台帐!$A$4:$K$195,7,1)&gt;0,VLOOKUP(A14,合同台帐!$A$4:$K$195,7,1)-D14,VLOOKUP(A14,合同台帐!$A$4:$F$195,6,1)-D14)</f>
        <v>0</v>
      </c>
      <c r="F14" s="576" t="str">
        <f>VLOOKUP(A14,合同台帐!$A$4:$D$195,4,1)</f>
        <v>土地交易手续费</v>
      </c>
      <c r="G14" s="576" t="str">
        <f>VLOOKUP(A14,合同台帐!$A$4:$E$195,5,1)</f>
        <v>天津市土地交易中心</v>
      </c>
      <c r="H14" s="577" t="s">
        <v>1622</v>
      </c>
      <c r="I14" s="292" t="str">
        <f>IF(A14&lt;&gt;0,VLOOKUP(A14,合同台帐!$A$4:$C$893,3,0),"")</f>
        <v>土交</v>
      </c>
    </row>
    <row r="15" spans="1:9" s="578" customFormat="1" ht="15.75" customHeight="1">
      <c r="A15" s="378" t="s">
        <v>21</v>
      </c>
      <c r="B15" s="579" t="s">
        <v>1035</v>
      </c>
      <c r="C15" s="573">
        <v>14644000</v>
      </c>
      <c r="D15" s="574">
        <f>SUMIF(A$2:A15,A15,C$2:C15)</f>
        <v>14644000</v>
      </c>
      <c r="E15" s="575">
        <f>IF(VLOOKUP(A15,合同台帐!$A$4:$K$195,7,1)&gt;0,VLOOKUP(A15,合同台帐!$A$4:$K$195,7,1)-D15,VLOOKUP(A15,合同台帐!$A$4:$F$195,6,1)-D15)</f>
        <v>0</v>
      </c>
      <c r="F15" s="576" t="str">
        <f>VLOOKUP(A15,合同台帐!$A$4:$D$195,4,1)</f>
        <v>土地拍卖佣金（蓟县063号）</v>
      </c>
      <c r="G15" s="576" t="str">
        <f>VLOOKUP(A15,合同台帐!$A$4:$E$195,5,1)</f>
        <v>宁波富地企业管理咨询服务有限公司</v>
      </c>
      <c r="H15" s="577" t="s">
        <v>1622</v>
      </c>
      <c r="I15" s="292" t="str">
        <f>IF(A15&lt;&gt;0,VLOOKUP(A15,合同台帐!$A$4:$C$893,3,0),"")</f>
        <v>土拍</v>
      </c>
    </row>
    <row r="16" spans="1:9" s="578" customFormat="1" ht="21.75" customHeight="1">
      <c r="A16" s="378" t="s">
        <v>22</v>
      </c>
      <c r="B16" s="579" t="s">
        <v>1632</v>
      </c>
      <c r="C16" s="573">
        <v>12600</v>
      </c>
      <c r="D16" s="574">
        <f>SUMIF(A$2:A16,A16,C$2:C16)</f>
        <v>12600</v>
      </c>
      <c r="E16" s="575">
        <f>IF(VLOOKUP(A16,合同台帐!$A$4:$K$195,7,1)&gt;0,VLOOKUP(A16,合同台帐!$A$4:$K$195,7,1)-D16,VLOOKUP(A16,合同台帐!$A$4:$F$195,6,1)-D16)</f>
        <v>0</v>
      </c>
      <c r="F16" s="576" t="str">
        <f>VLOOKUP(A16,合同台帐!$A$4:$D$195,4,1)</f>
        <v>管线实测费（买图）</v>
      </c>
      <c r="G16" s="576" t="str">
        <f>VLOOKUP(A16,合同台帐!$A$4:$E$195,5,1)</f>
        <v>天津市蓟县地下空间规划信息中心</v>
      </c>
      <c r="H16" s="577" t="s">
        <v>1622</v>
      </c>
      <c r="I16" s="292" t="str">
        <f>IF(A16&lt;&gt;0,VLOOKUP(A16,合同台帐!$A$4:$C$893,3,0),"")</f>
        <v>前勘绘</v>
      </c>
    </row>
    <row r="17" spans="1:9" s="578" customFormat="1" ht="15.75" customHeight="1">
      <c r="A17" s="378" t="s">
        <v>23</v>
      </c>
      <c r="B17" s="579" t="s">
        <v>1632</v>
      </c>
      <c r="C17" s="573">
        <v>61713</v>
      </c>
      <c r="D17" s="574">
        <f>SUMIF(A$2:A17,A17,C$2:C17)</f>
        <v>61713</v>
      </c>
      <c r="E17" s="575">
        <f>IF(VLOOKUP(A17,合同台帐!$A$4:$K$195,7,1)&gt;0,VLOOKUP(A17,合同台帐!$A$4:$K$195,7,1)-D17,VLOOKUP(A17,合同台帐!$A$4:$F$195,6,1)-D17)</f>
        <v>0</v>
      </c>
      <c r="F17" s="576" t="str">
        <f>VLOOKUP(A17,合同台帐!$A$4:$D$195,4,1)</f>
        <v>管线实测费</v>
      </c>
      <c r="G17" s="576" t="str">
        <f>VLOOKUP(A17,合同台帐!$A$4:$E$195,5,1)</f>
        <v>天津市蓟县测绘队</v>
      </c>
      <c r="H17" s="577" t="s">
        <v>1622</v>
      </c>
      <c r="I17" s="292" t="str">
        <f>IF(A17&lt;&gt;0,VLOOKUP(A17,合同台帐!$A$4:$C$893,3,0),"")</f>
        <v>前勘绘</v>
      </c>
    </row>
    <row r="18" spans="1:9" s="578" customFormat="1" ht="15.75" customHeight="1">
      <c r="A18" s="378" t="s">
        <v>24</v>
      </c>
      <c r="B18" s="579" t="s">
        <v>1633</v>
      </c>
      <c r="C18" s="573">
        <v>1656038.3999999999</v>
      </c>
      <c r="D18" s="574">
        <f>SUMIF(A$2:A18,A18,C$2:C18)</f>
        <v>1656038.3999999999</v>
      </c>
      <c r="E18" s="575">
        <f>IF(VLOOKUP(A18,合同台帐!$A$4:$K$195,7,1)&gt;0,VLOOKUP(A18,合同台帐!$A$4:$K$195,7,1)-D18,VLOOKUP(A18,合同台帐!$A$4:$F$195,6,1)-D18)</f>
        <v>6624153.5999999996</v>
      </c>
      <c r="F18" s="576" t="str">
        <f>VLOOKUP(A18,合同台帐!$A$4:$D$195,4,1)</f>
        <v>蓟县苗木采购与种植养护工程施工合同</v>
      </c>
      <c r="G18" s="576" t="str">
        <f>VLOOKUP(A18,合同台帐!$A$4:$E$195,5,1)</f>
        <v>天津市静海县泽森苗圃</v>
      </c>
      <c r="H18" s="577" t="s">
        <v>1622</v>
      </c>
      <c r="I18" s="292" t="str">
        <f>IF(A18&lt;&gt;0,VLOOKUP(A18,合同台帐!$A$4:$C$893,3,0),"")</f>
        <v>建环内</v>
      </c>
    </row>
    <row r="19" spans="1:9" s="578" customFormat="1" ht="15.75" customHeight="1">
      <c r="A19" s="378" t="s">
        <v>24</v>
      </c>
      <c r="B19" s="580" t="s">
        <v>1634</v>
      </c>
      <c r="C19" s="573">
        <v>1656038.3999999999</v>
      </c>
      <c r="D19" s="574">
        <f>SUMIF(A$2:A19,A19,C$2:C19)</f>
        <v>3312076.7999999998</v>
      </c>
      <c r="E19" s="581">
        <f>IF(VLOOKUP(A19,合同台帐!$A$4:$K$195,7,1)&gt;0,VLOOKUP(A19,合同台帐!$A$4:$K$195,7,1)-D19,VLOOKUP(A19,合同台帐!$A$4:$F$195,6,1)-D19)</f>
        <v>4968115.2</v>
      </c>
      <c r="F19" s="582" t="str">
        <f>VLOOKUP(A19,合同台帐!$A$4:$D$195,4,1)</f>
        <v>蓟县苗木采购与种植养护工程施工合同</v>
      </c>
      <c r="G19" s="576" t="str">
        <f>VLOOKUP(A19,合同台帐!$A$4:$E$195,5,1)</f>
        <v>天津市静海县泽森苗圃</v>
      </c>
      <c r="H19" s="577" t="s">
        <v>1626</v>
      </c>
      <c r="I19" s="292" t="str">
        <f>IF(A19&lt;&gt;0,VLOOKUP(A19,合同台帐!$A$4:$C$893,3,0),"")</f>
        <v>建环内</v>
      </c>
    </row>
    <row r="20" spans="1:9" s="276" customFormat="1" ht="15.75" customHeight="1">
      <c r="A20" s="378" t="s">
        <v>25</v>
      </c>
      <c r="B20" s="579" t="s">
        <v>1635</v>
      </c>
      <c r="C20" s="573">
        <v>1000</v>
      </c>
      <c r="D20" s="574">
        <f>SUMIF(A$2:A20,A20,C$2:C20)</f>
        <v>1000</v>
      </c>
      <c r="E20" s="575">
        <f>IF(VLOOKUP(A20,合同台帐!$A$4:$K$195,7,1)&gt;0,VLOOKUP(A20,合同台帐!$A$4:$K$195,7,1)-D20,VLOOKUP(A20,合同台帐!$A$4:$F$195,6,1)-D20)</f>
        <v>0</v>
      </c>
      <c r="F20" s="576" t="str">
        <f>VLOOKUP(A20,合同台帐!$A$4:$D$195,4,1)</f>
        <v>图纸打印</v>
      </c>
      <c r="G20" s="576" t="str">
        <f>VLOOKUP(A20,合同台帐!$A$4:$E$195,5,1)</f>
        <v>王为</v>
      </c>
      <c r="H20" s="577" t="s">
        <v>1622</v>
      </c>
      <c r="I20" s="292" t="str">
        <f>IF(A20&lt;&gt;0,VLOOKUP(A20,合同台帐!$A$4:$C$893,3,0),"")</f>
        <v>前设图</v>
      </c>
    </row>
    <row r="21" spans="1:9" s="276" customFormat="1" ht="15.75" customHeight="1">
      <c r="A21" s="378" t="s">
        <v>26</v>
      </c>
      <c r="B21" s="580" t="s">
        <v>1636</v>
      </c>
      <c r="C21" s="573">
        <v>1500000</v>
      </c>
      <c r="D21" s="574">
        <f>SUMIF(A$2:A21,A21,C$2:C21)</f>
        <v>1500000</v>
      </c>
      <c r="E21" s="581">
        <f>IF(VLOOKUP(A21,合同台帐!$A$4:$K$195,7,1)&gt;0,VLOOKUP(A21,合同台帐!$A$4:$K$195,7,1)-D21,VLOOKUP(A21,合同台帐!$A$4:$F$195,6,1)-D21)</f>
        <v>5250000</v>
      </c>
      <c r="F21" s="582" t="str">
        <f>VLOOKUP(A21,合同台帐!$A$4:$D$195,4,1)</f>
        <v>场地平整</v>
      </c>
      <c r="G21" s="576" t="str">
        <f>VLOOKUP(A21,合同台帐!$A$4:$E$195,5,1)</f>
        <v>天津市蓟县振东建筑有限责任公司</v>
      </c>
      <c r="H21" s="577" t="s">
        <v>1622</v>
      </c>
      <c r="I21" s="292" t="str">
        <f>IF(A21&lt;&gt;0,VLOOKUP(A21,合同台帐!$A$4:$C$893,3,0),"")</f>
        <v>前临土</v>
      </c>
    </row>
    <row r="22" spans="1:9" s="276" customFormat="1" ht="15.75" customHeight="1">
      <c r="A22" s="378" t="s">
        <v>27</v>
      </c>
      <c r="B22" s="579" t="s">
        <v>1064</v>
      </c>
      <c r="C22" s="573">
        <v>11967564.17</v>
      </c>
      <c r="D22" s="574">
        <f>SUMIF(A$2:A22,A22,C$2:C22)</f>
        <v>11967564.17</v>
      </c>
      <c r="E22" s="575">
        <f>IF(VLOOKUP(A22,合同台帐!$A$4:$K$195,7,1)&gt;0,VLOOKUP(A22,合同台帐!$A$4:$K$195,7,1)-D22,VLOOKUP(A22,合同台帐!$A$4:$F$195,6,1)-D22)</f>
        <v>0</v>
      </c>
      <c r="F22" s="576" t="str">
        <f>VLOOKUP(A22,合同台帐!$A$4:$D$195,4,1)</f>
        <v>土地契税</v>
      </c>
      <c r="G22" s="576" t="str">
        <f>VLOOKUP(A22,合同台帐!$A$4:$E$195,5,1)</f>
        <v>蓟县国土资源分局</v>
      </c>
      <c r="H22" s="577" t="s">
        <v>1622</v>
      </c>
      <c r="I22" s="292" t="str">
        <f>IF(A22&lt;&gt;0,VLOOKUP(A22,合同台帐!$A$4:$C$893,3,0),"")</f>
        <v>土契</v>
      </c>
    </row>
    <row r="23" spans="1:9" s="276" customFormat="1" ht="15.75" customHeight="1">
      <c r="A23" s="378" t="s">
        <v>28</v>
      </c>
      <c r="B23" s="580" t="s">
        <v>1637</v>
      </c>
      <c r="C23" s="573">
        <v>320</v>
      </c>
      <c r="D23" s="574">
        <f>SUMIF(A$2:A23,A23,C$2:C23)</f>
        <v>320</v>
      </c>
      <c r="E23" s="581">
        <f>IF(VLOOKUP(A23,合同台帐!$A$4:$K$195,7,1)&gt;0,VLOOKUP(A23,合同台帐!$A$4:$K$195,7,1)-D23,VLOOKUP(A23,合同台帐!$A$4:$F$195,6,1)-D23)</f>
        <v>0</v>
      </c>
      <c r="F23" s="582" t="str">
        <f>VLOOKUP(A23,合同台帐!$A$4:$D$195,4,1)</f>
        <v>技术服务费《2014年造价信息参考》</v>
      </c>
      <c r="G23" s="576" t="str">
        <f>VLOOKUP(A23,合同台帐!$A$4:$E$195,5,1)</f>
        <v>天津市建设工程造价信息中心</v>
      </c>
      <c r="H23" s="577" t="s">
        <v>1622</v>
      </c>
      <c r="I23" s="292" t="str">
        <f>IF(A23&lt;&gt;0,VLOOKUP(A23,合同台帐!$A$4:$C$893,3,0),"")</f>
        <v>前其他</v>
      </c>
    </row>
    <row r="24" spans="1:9" s="276" customFormat="1" ht="15.75" customHeight="1">
      <c r="A24" s="378" t="s">
        <v>29</v>
      </c>
      <c r="B24" s="580" t="s">
        <v>1637</v>
      </c>
      <c r="C24" s="573">
        <v>840</v>
      </c>
      <c r="D24" s="574">
        <f>SUMIF(A$2:A24,A24,C$2:C24)</f>
        <v>840</v>
      </c>
      <c r="E24" s="581">
        <f>IF(VLOOKUP(A24,合同台帐!$A$4:$K$195,7,1)&gt;0,VLOOKUP(A24,合同台帐!$A$4:$K$195,7,1)-D24,VLOOKUP(A24,合同台帐!$A$4:$F$195,6,1)-D24)</f>
        <v>0</v>
      </c>
      <c r="F24" s="582" t="str">
        <f>VLOOKUP(A24,合同台帐!$A$4:$D$195,4,1)</f>
        <v>技术咨询费《2014年工程造价信息》</v>
      </c>
      <c r="G24" s="576" t="str">
        <f>VLOOKUP(A24,合同台帐!$A$4:$E$195,5,1)</f>
        <v>天津市建设工程造价和招标管理协会</v>
      </c>
      <c r="H24" s="577" t="s">
        <v>1622</v>
      </c>
      <c r="I24" s="292" t="str">
        <f>IF(A24&lt;&gt;0,VLOOKUP(A24,合同台帐!$A$4:$C$893,3,0),"")</f>
        <v>前其他</v>
      </c>
    </row>
    <row r="25" spans="1:9" s="276" customFormat="1" ht="15.75" customHeight="1">
      <c r="A25" s="378" t="s">
        <v>30</v>
      </c>
      <c r="B25" s="580" t="s">
        <v>1637</v>
      </c>
      <c r="C25" s="573">
        <v>390</v>
      </c>
      <c r="D25" s="574">
        <f>SUMIF(A$2:A25,A25,C$2:C25)</f>
        <v>390</v>
      </c>
      <c r="E25" s="581">
        <f>IF(VLOOKUP(A25,合同台帐!$A$4:$K$195,7,1)&gt;0,VLOOKUP(A25,合同台帐!$A$4:$K$195,7,1)-D25,VLOOKUP(A25,合同台帐!$A$4:$F$195,6,1)-D25)</f>
        <v>0</v>
      </c>
      <c r="F25" s="582" t="str">
        <f>VLOOKUP(A25,合同台帐!$A$4:$D$195,4,1)</f>
        <v>彩色打印效果图39张</v>
      </c>
      <c r="G25" s="576" t="str">
        <f>VLOOKUP(A25,合同台帐!$A$4:$E$195,5,1)</f>
        <v>天津市蓟县东方打印室</v>
      </c>
      <c r="H25" s="577" t="s">
        <v>1622</v>
      </c>
      <c r="I25" s="292" t="str">
        <f>IF(A25&lt;&gt;0,VLOOKUP(A25,合同台帐!$A$4:$C$893,3,0),"")</f>
        <v>前设图</v>
      </c>
    </row>
    <row r="26" spans="1:9" s="276" customFormat="1" ht="15.75" customHeight="1">
      <c r="A26" s="378" t="s">
        <v>31</v>
      </c>
      <c r="B26" s="580" t="s">
        <v>1637</v>
      </c>
      <c r="C26" s="573">
        <v>1000</v>
      </c>
      <c r="D26" s="574">
        <f>SUMIF(A$2:A26,A26,C$2:C26)</f>
        <v>1000</v>
      </c>
      <c r="E26" s="581">
        <f>IF(VLOOKUP(A26,合同台帐!$A$4:$K$195,7,1)&gt;0,VLOOKUP(A26,合同台帐!$A$4:$K$195,7,1)-D26,VLOOKUP(A26,合同台帐!$A$4:$F$195,6,1)-D26)</f>
        <v>0</v>
      </c>
      <c r="F26" s="582" t="str">
        <f>VLOOKUP(A26,合同台帐!$A$4:$D$195,4,1)</f>
        <v>图纸打印</v>
      </c>
      <c r="G26" s="576" t="str">
        <f>VLOOKUP(A26,合同台帐!$A$4:$E$195,5,1)</f>
        <v>天津富多彩数码快印有限公司</v>
      </c>
      <c r="H26" s="577" t="s">
        <v>1622</v>
      </c>
      <c r="I26" s="292" t="str">
        <f>IF(A26&lt;&gt;0,VLOOKUP(A26,合同台帐!$A$4:$C$893,3,0),"")</f>
        <v>前设图</v>
      </c>
    </row>
    <row r="27" spans="1:9" ht="15.75" customHeight="1">
      <c r="A27" s="583" t="s">
        <v>26</v>
      </c>
      <c r="B27" s="580" t="s">
        <v>1638</v>
      </c>
      <c r="C27" s="584">
        <v>1000000</v>
      </c>
      <c r="D27" s="574">
        <f>SUMIF(A$2:A27,A27,C$2:C27)</f>
        <v>2500000</v>
      </c>
      <c r="E27" s="581">
        <f>IF(VLOOKUP(A27,合同台帐!$A$4:$K$195,7,1)&gt;0,VLOOKUP(A27,合同台帐!$A$4:$K$195,7,1)-D27,VLOOKUP(A27,合同台帐!$A$4:$F$195,6,1)-D27)</f>
        <v>4250000</v>
      </c>
      <c r="F27" s="582" t="str">
        <f>VLOOKUP(A27,合同台帐!$A$4:$D$195,4,1)</f>
        <v>场地平整</v>
      </c>
      <c r="G27" s="582" t="str">
        <f>VLOOKUP(A27,合同台帐!$A$4:$E$195,5,1)</f>
        <v>天津市蓟县振东建筑有限责任公司</v>
      </c>
      <c r="H27" s="577" t="s">
        <v>1626</v>
      </c>
      <c r="I27" s="292" t="str">
        <f>IF(A27&lt;&gt;0,VLOOKUP(A27,合同台帐!$A$4:$C$893,3,0),"")</f>
        <v>前临土</v>
      </c>
    </row>
    <row r="28" spans="1:9" ht="15.75" customHeight="1">
      <c r="A28" s="583" t="s">
        <v>1068</v>
      </c>
      <c r="B28" s="580" t="s">
        <v>1639</v>
      </c>
      <c r="C28" s="584">
        <v>0</v>
      </c>
      <c r="D28" s="574">
        <f>SUMIF(A$2:A28,A28,C$2:C28)</f>
        <v>0</v>
      </c>
      <c r="E28" s="581">
        <f>IF(VLOOKUP(A28,合同台帐!$A$4:$K$195,7,1)&gt;0,VLOOKUP(A28,合同台帐!$A$4:$K$195,7,1)-D28,VLOOKUP(A28,合同台帐!$A$4:$F$195,6,1)-D28)</f>
        <v>0</v>
      </c>
      <c r="F28" s="582" t="str">
        <f>VLOOKUP(A28,合同台帐!$A$4:$D$195,4,1)</f>
        <v>模型制作合同</v>
      </c>
      <c r="G28" s="582" t="str">
        <f>VLOOKUP(A28,合同台帐!$A$4:$E$195,5,1)</f>
        <v>北京恩思轩宇模型科技有限公司</v>
      </c>
      <c r="H28" s="577" t="s">
        <v>1622</v>
      </c>
      <c r="I28" s="292" t="str">
        <f>IF(A28&lt;&gt;0,VLOOKUP(A28,合同台帐!$A$4:$C$893,3,0),"")</f>
        <v>前其他</v>
      </c>
    </row>
    <row r="29" spans="1:9" ht="15.75" customHeight="1">
      <c r="A29" s="583" t="s">
        <v>32</v>
      </c>
      <c r="B29" s="580" t="s">
        <v>1123</v>
      </c>
      <c r="C29" s="584">
        <v>420</v>
      </c>
      <c r="D29" s="574">
        <f>SUMIF(A$2:A29,A29,C$2:C29)</f>
        <v>420</v>
      </c>
      <c r="E29" s="581">
        <f>IF(VLOOKUP(A29,合同台帐!$A$4:$K$195,7,1)&gt;0,VLOOKUP(A29,合同台帐!$A$4:$K$195,7,1)-D29,VLOOKUP(A29,合同台帐!$A$4:$F$195,6,1)-D29)</f>
        <v>3265</v>
      </c>
      <c r="F29" s="582" t="str">
        <f>VLOOKUP(A29,合同台帐!$A$4:$D$195,4,1)</f>
        <v>图纸打印</v>
      </c>
      <c r="G29" s="582">
        <f>VLOOKUP(A29,合同台帐!$A$4:$E$195,5,1)</f>
        <v>0</v>
      </c>
      <c r="H29" s="577"/>
      <c r="I29" s="292" t="str">
        <f>IF(A29&lt;&gt;0,VLOOKUP(A29,合同台帐!$A$4:$C$893,3,0),"")</f>
        <v>前设图</v>
      </c>
    </row>
    <row r="30" spans="1:9" ht="15.75" customHeight="1">
      <c r="A30" s="583" t="s">
        <v>26</v>
      </c>
      <c r="B30" s="580" t="s">
        <v>1640</v>
      </c>
      <c r="C30" s="584">
        <v>900000</v>
      </c>
      <c r="D30" s="574">
        <f>SUMIF(A$2:A30,A30,C$2:C30)</f>
        <v>3400000</v>
      </c>
      <c r="E30" s="581">
        <f>IF(VLOOKUP(A30,合同台帐!$A$4:$K$195,7,1)&gt;0,VLOOKUP(A30,合同台帐!$A$4:$K$195,7,1)-D30,VLOOKUP(A30,合同台帐!$A$4:$F$195,6,1)-D30)</f>
        <v>3350000</v>
      </c>
      <c r="F30" s="582" t="str">
        <f>VLOOKUP(A30,合同台帐!$A$4:$D$195,4,1)</f>
        <v>场地平整</v>
      </c>
      <c r="G30" s="582" t="str">
        <f>VLOOKUP(A30,合同台帐!$A$4:$E$195,5,1)</f>
        <v>天津市蓟县振东建筑有限责任公司</v>
      </c>
      <c r="H30" s="577" t="s">
        <v>1628</v>
      </c>
      <c r="I30" s="292" t="str">
        <f>IF(A30&lt;&gt;0,VLOOKUP(A30,合同台帐!$A$4:$C$893,3,0),"")</f>
        <v>前临土</v>
      </c>
    </row>
    <row r="31" spans="1:9" s="591" customFormat="1" ht="15.75" customHeight="1">
      <c r="A31" s="585" t="s">
        <v>33</v>
      </c>
      <c r="B31" s="586" t="s">
        <v>1641</v>
      </c>
      <c r="C31" s="364">
        <v>309000</v>
      </c>
      <c r="D31" s="587">
        <f>SUMIF(A$2:A31,A31,C$2:C31)</f>
        <v>309000</v>
      </c>
      <c r="E31" s="588">
        <f>IF(VLOOKUP(A31,合同台帐!$A$4:$K$195,7,1)&gt;0,VLOOKUP(A31,合同台帐!$A$4:$K$195,7,1)-D31,VLOOKUP(A31,合同台帐!$A$4:$F$195,6,1)-D31)</f>
        <v>721000</v>
      </c>
      <c r="F31" s="589" t="str">
        <f>VLOOKUP(A31,合同台帐!$A$4:$D$195,4,1)</f>
        <v>建设工程勘察合同(详勘）</v>
      </c>
      <c r="G31" s="589" t="str">
        <f>VLOOKUP(A31,合同台帐!$A$4:$E$195,5,1)</f>
        <v>天津华北工程勘察设计有限公司</v>
      </c>
      <c r="H31" s="590" t="s">
        <v>1622</v>
      </c>
      <c r="I31" s="318" t="str">
        <f>IF(A31&lt;&gt;0,VLOOKUP(A31,合同台帐!$A$4:$C$893,3,0),"")</f>
        <v>前勘勘</v>
      </c>
    </row>
    <row r="32" spans="1:9" s="591" customFormat="1" ht="15.75" customHeight="1">
      <c r="A32" s="585" t="s">
        <v>34</v>
      </c>
      <c r="B32" s="586" t="s">
        <v>1642</v>
      </c>
      <c r="C32" s="364">
        <v>601303.5</v>
      </c>
      <c r="D32" s="587">
        <f>SUMIF(A$2:A32,A32,C$2:C32)</f>
        <v>601303.5</v>
      </c>
      <c r="E32" s="588">
        <f>IF(VLOOKUP(A32,合同台帐!$A$4:$K$195,7,1)&gt;0,VLOOKUP(A32,合同台帐!$A$4:$K$195,7,1)-D32,VLOOKUP(A32,合同台帐!$A$4:$F$195,6,1)-D32)</f>
        <v>5411731.5</v>
      </c>
      <c r="F32" s="589" t="str">
        <f>VLOOKUP(A32,合同台帐!$A$4:$D$195,4,1)</f>
        <v>一期电力配套费</v>
      </c>
      <c r="G32" s="589" t="str">
        <f>VLOOKUP(A32,合同台帐!$A$4:$E$195,5,1)</f>
        <v>天津市电力公司蓟县分公司</v>
      </c>
      <c r="H32" s="590" t="s">
        <v>1622</v>
      </c>
      <c r="I32" s="318" t="str">
        <f>IF(A32&lt;&gt;0,VLOOKUP(A32,合同台帐!$A$4:$C$893,3,0),"")</f>
        <v>基电工</v>
      </c>
    </row>
    <row r="33" spans="1:9" s="591" customFormat="1" ht="15.75" customHeight="1">
      <c r="A33" s="585" t="s">
        <v>34</v>
      </c>
      <c r="B33" s="586" t="s">
        <v>1643</v>
      </c>
      <c r="C33" s="364">
        <v>2405214</v>
      </c>
      <c r="D33" s="587">
        <f>SUMIF(A$2:A33,A33,C$2:C33)</f>
        <v>3006517.5</v>
      </c>
      <c r="E33" s="588">
        <f>IF(VLOOKUP(A33,合同台帐!$A$4:$K$195,7,1)&gt;0,VLOOKUP(A33,合同台帐!$A$4:$K$195,7,1)-D33,VLOOKUP(A33,合同台帐!$A$4:$F$195,6,1)-D33)</f>
        <v>3006517.5</v>
      </c>
      <c r="F33" s="589" t="str">
        <f>VLOOKUP(A33,合同台帐!$A$4:$D$195,4,1)</f>
        <v>一期电力配套费</v>
      </c>
      <c r="G33" s="589" t="str">
        <f>VLOOKUP(A33,合同台帐!$A$4:$E$195,5,1)</f>
        <v>天津市电力公司蓟县分公司</v>
      </c>
      <c r="H33" s="590" t="s">
        <v>1626</v>
      </c>
      <c r="I33" s="318" t="str">
        <f>IF(A33&lt;&gt;0,VLOOKUP(A33,合同台帐!$A$4:$C$893,3,0),"")</f>
        <v>基电工</v>
      </c>
    </row>
    <row r="34" spans="1:9" s="591" customFormat="1" ht="15.75" customHeight="1">
      <c r="A34" s="585" t="s">
        <v>35</v>
      </c>
      <c r="B34" s="586" t="s">
        <v>1644</v>
      </c>
      <c r="C34" s="364">
        <v>536715</v>
      </c>
      <c r="D34" s="587">
        <f>SUMIF(A$2:A34,A34,C$2:C34)</f>
        <v>536715</v>
      </c>
      <c r="E34" s="588">
        <f>IF(VLOOKUP(A34,合同台帐!$A$4:$K$195,7,1)&gt;0,VLOOKUP(A34,合同台帐!$A$4:$K$195,7,1)-D34,VLOOKUP(A34,合同台帐!$A$4:$F$195,6,1)-D34)</f>
        <v>2146860</v>
      </c>
      <c r="F34" s="589" t="str">
        <f>VLOOKUP(A34,合同台帐!$A$4:$D$195,4,1)</f>
        <v>景观设计合同</v>
      </c>
      <c r="G34" s="589" t="str">
        <f>VLOOKUP(A34,合同台帐!$A$4:$E$195,5,1)</f>
        <v>天津宏石筑景景观设计有限公司（更名为：砂樘（天津）城市设计有限公司）</v>
      </c>
      <c r="H34" s="590" t="s">
        <v>1622</v>
      </c>
      <c r="I34" s="318" t="str">
        <f>IF(A34&lt;&gt;0,VLOOKUP(A34,合同台帐!$A$4:$C$893,3,0),"")</f>
        <v>前设景</v>
      </c>
    </row>
    <row r="35" spans="1:9" s="591" customFormat="1" ht="15.75" customHeight="1">
      <c r="A35" s="585" t="s">
        <v>32</v>
      </c>
      <c r="B35" s="586" t="s">
        <v>1643</v>
      </c>
      <c r="C35" s="364">
        <v>2035</v>
      </c>
      <c r="D35" s="587">
        <v>2455</v>
      </c>
      <c r="E35" s="588">
        <f>IF(VLOOKUP(A35,合同台帐!$A$4:$K$195,7,1)&gt;0,VLOOKUP(A35,合同台帐!$A$4:$K$195,7,1)-D35,VLOOKUP(A35,合同台帐!$A$4:$F$195,6,1)-D35)</f>
        <v>1230</v>
      </c>
      <c r="F35" s="589" t="str">
        <f>VLOOKUP(A35,合同台帐!$A$4:$D$195,4,1)</f>
        <v>图纸打印</v>
      </c>
      <c r="G35" s="589">
        <f>VLOOKUP(A35,合同台帐!$A$4:$E$195,5,1)</f>
        <v>0</v>
      </c>
      <c r="H35" s="590" t="s">
        <v>1626</v>
      </c>
      <c r="I35" s="318" t="str">
        <f>IF(A35&lt;&gt;0,VLOOKUP(A35,合同台帐!$A$4:$C$893,3,0),"")</f>
        <v>前设图</v>
      </c>
    </row>
    <row r="36" spans="1:9" s="591" customFormat="1" ht="15.75" customHeight="1">
      <c r="A36" s="585" t="s">
        <v>15</v>
      </c>
      <c r="B36" s="586" t="s">
        <v>1645</v>
      </c>
      <c r="C36" s="364">
        <v>390000</v>
      </c>
      <c r="D36" s="587">
        <f>SUMIF(A$2:A36,A36,C$2:C36)</f>
        <v>3120000</v>
      </c>
      <c r="E36" s="588">
        <f>IF(VLOOKUP(A36,合同台帐!$A$4:$K$195,7,1)&gt;0,VLOOKUP(A36,合同台帐!$A$4:$K$195,7,1)-D36,VLOOKUP(A36,合同台帐!$A$4:$F$195,6,1)-D36)</f>
        <v>4680000</v>
      </c>
      <c r="F36" s="589" t="str">
        <f>VLOOKUP(A36,合同台帐!$A$4:$D$195,4,1)</f>
        <v>建筑方案及施工图设计合同</v>
      </c>
      <c r="G36" s="589" t="str">
        <f>VLOOKUP(A36,合同台帐!$A$4:$E$195,5,1)</f>
        <v>北京新纪元建筑工程设计有限公司</v>
      </c>
      <c r="H36" s="590" t="s">
        <v>1646</v>
      </c>
      <c r="I36" s="318" t="str">
        <f>IF(A36&lt;&gt;0,VLOOKUP(A36,合同台帐!$A$4:$C$893,3,0),"")</f>
        <v>前设设</v>
      </c>
    </row>
    <row r="37" spans="1:9" s="591" customFormat="1" ht="15.75" customHeight="1">
      <c r="A37" s="585" t="s">
        <v>36</v>
      </c>
      <c r="B37" s="586" t="s">
        <v>1645</v>
      </c>
      <c r="C37" s="364">
        <v>89550</v>
      </c>
      <c r="D37" s="587">
        <f>SUMIF(A$2:A37,A37,C$2:C37)</f>
        <v>89550</v>
      </c>
      <c r="E37" s="588">
        <f>IF(VLOOKUP(A37,合同台帐!$A$4:$K$195,7,1)&gt;0,VLOOKUP(A37,合同台帐!$A$4:$K$195,7,1)-D37,VLOOKUP(A37,合同台帐!$A$4:$F$195,6,1)-D37)</f>
        <v>360130</v>
      </c>
      <c r="F37" s="589" t="str">
        <f>VLOOKUP(A37,合同台帐!$A$4:$D$195,4,1)</f>
        <v>地库及人防设计合同</v>
      </c>
      <c r="G37" s="589" t="str">
        <f>VLOOKUP(A37,合同台帐!$A$4:$E$195,5,1)</f>
        <v>天津冶金规划设计院</v>
      </c>
      <c r="H37" s="590" t="s">
        <v>1622</v>
      </c>
      <c r="I37" s="318" t="str">
        <f>IF(A37&lt;&gt;0,VLOOKUP(A37,合同台帐!$A$4:$C$893,3,0),"")</f>
        <v>前设其</v>
      </c>
    </row>
    <row r="38" spans="1:9" s="591" customFormat="1" ht="15.75" customHeight="1">
      <c r="A38" s="585" t="s">
        <v>37</v>
      </c>
      <c r="B38" s="586" t="s">
        <v>1647</v>
      </c>
      <c r="C38" s="364">
        <v>20285</v>
      </c>
      <c r="D38" s="587">
        <f>SUMIF(A$2:A38,A38,C$2:C38)</f>
        <v>20285</v>
      </c>
      <c r="E38" s="588">
        <f>IF(VLOOKUP(A38,合同台帐!$A$4:$K$195,7,1)&gt;0,VLOOKUP(A38,合同台帐!$A$4:$K$195,7,1)-D38,VLOOKUP(A38,合同台帐!$A$4:$F$195,6,1)-D38)</f>
        <v>0</v>
      </c>
      <c r="F38" s="589" t="str">
        <f>VLOOKUP(A38,合同台帐!$A$4:$D$195,4,1)</f>
        <v>临时电设计费</v>
      </c>
      <c r="G38" s="589" t="str">
        <f>VLOOKUP(A38,合同台帐!$A$4:$E$195,5,1)</f>
        <v>天津市龙宇电力工程设计有限公司</v>
      </c>
      <c r="H38" s="590" t="s">
        <v>1622</v>
      </c>
      <c r="I38" s="318" t="str">
        <f>IF(A38&lt;&gt;0,VLOOKUP(A38,合同台帐!$A$4:$C$893,3,0),"")</f>
        <v>前临电</v>
      </c>
    </row>
    <row r="39" spans="1:9" s="591" customFormat="1" ht="15.75" customHeight="1">
      <c r="A39" s="585" t="s">
        <v>38</v>
      </c>
      <c r="B39" s="586" t="s">
        <v>1648</v>
      </c>
      <c r="C39" s="364">
        <v>40165</v>
      </c>
      <c r="D39" s="587">
        <f>SUMIF(A$2:A39,A39,C$2:C39)</f>
        <v>40165</v>
      </c>
      <c r="E39" s="588">
        <f>IF(VLOOKUP(A39,合同台帐!$A$4:$K$195,7,1)&gt;0,VLOOKUP(A39,合同台帐!$A$4:$K$195,7,1)-D39,VLOOKUP(A39,合同台帐!$A$4:$F$195,6,1)-D39)</f>
        <v>0</v>
      </c>
      <c r="F39" s="589" t="str">
        <f>VLOOKUP(A39,合同台帐!$A$4:$D$195,4,1)</f>
        <v>拨地定桩（红线测绘）</v>
      </c>
      <c r="G39" s="589" t="str">
        <f>VLOOKUP(A39,合同台帐!$A$4:$E$195,5,1)</f>
        <v>天津市蓟县测绘队</v>
      </c>
      <c r="H39" s="590" t="s">
        <v>1622</v>
      </c>
      <c r="I39" s="318" t="str">
        <f>IF(A39&lt;&gt;0,VLOOKUP(A39,合同台帐!$A$4:$C$893,3,0),"")</f>
        <v>前勘绘</v>
      </c>
    </row>
    <row r="40" spans="1:9" s="591" customFormat="1" ht="15.75" customHeight="1">
      <c r="A40" s="585" t="s">
        <v>39</v>
      </c>
      <c r="B40" s="586" t="s">
        <v>1181</v>
      </c>
      <c r="C40" s="364">
        <v>43800</v>
      </c>
      <c r="D40" s="587">
        <f>SUMIF(A$2:A40,A40,C$2:C40)</f>
        <v>43800</v>
      </c>
      <c r="E40" s="588">
        <f>IF(VLOOKUP(A40,合同台帐!$A$4:$K$195,7,1)&gt;0,VLOOKUP(A40,合同台帐!$A$4:$K$195,7,1)-D40,VLOOKUP(A40,合同台帐!$A$4:$F$195,6,1)-D40)</f>
        <v>0</v>
      </c>
      <c r="F40" s="589" t="str">
        <f>VLOOKUP(A40,合同台帐!$A$4:$D$195,4,1)</f>
        <v>勘察、设计交易服务费（全项目）</v>
      </c>
      <c r="G40" s="589" t="str">
        <f>VLOOKUP(A40,合同台帐!$A$4:$E$195,5,1)</f>
        <v>天津市工程建设交易服务中心</v>
      </c>
      <c r="H40" s="590" t="s">
        <v>1622</v>
      </c>
      <c r="I40" s="318" t="str">
        <f>IF(A40&lt;&gt;0,VLOOKUP(A40,合同台帐!$A$4:$C$893,3,0),"")</f>
        <v>前标服</v>
      </c>
    </row>
    <row r="41" spans="1:9" s="591" customFormat="1" ht="15.75" customHeight="1">
      <c r="A41" s="585" t="s">
        <v>40</v>
      </c>
      <c r="B41" s="586" t="s">
        <v>1649</v>
      </c>
      <c r="C41" s="364">
        <v>387000</v>
      </c>
      <c r="D41" s="587">
        <f>SUMIF(A$2:A41,A41,C$2:C41)</f>
        <v>387000</v>
      </c>
      <c r="E41" s="588">
        <f>IF(VLOOKUP(A41,合同台帐!$A$4:$K$195,7,1)&gt;0,VLOOKUP(A41,合同台帐!$A$4:$K$195,7,1)-D41,VLOOKUP(A41,合同台帐!$A$4:$F$195,6,1)-D41)</f>
        <v>43000</v>
      </c>
      <c r="F41" s="589" t="str">
        <f>VLOOKUP(A41,合同台帐!$A$4:$D$195,4,1)</f>
        <v>临电工程费</v>
      </c>
      <c r="G41" s="589" t="str">
        <f>VLOOKUP(A41,合同台帐!$A$4:$E$195,5,1)</f>
        <v>天津市信弘德电力工程有限公司蓟县分公司</v>
      </c>
      <c r="H41" s="590" t="s">
        <v>1622</v>
      </c>
      <c r="I41" s="318" t="str">
        <f>IF(A41&lt;&gt;0,VLOOKUP(A41,合同台帐!$A$4:$C$893,3,0),"")</f>
        <v>前临电</v>
      </c>
    </row>
    <row r="42" spans="1:9" s="591" customFormat="1" ht="15.75" customHeight="1">
      <c r="A42" s="585" t="s">
        <v>41</v>
      </c>
      <c r="B42" s="586" t="s">
        <v>1650</v>
      </c>
      <c r="C42" s="364">
        <v>16200</v>
      </c>
      <c r="D42" s="587">
        <f>SUMIF(A$2:A42,A42,C$2:C42)</f>
        <v>16200</v>
      </c>
      <c r="E42" s="588">
        <f>IF(VLOOKUP(A42,合同台帐!$A$4:$K$195,7,1)&gt;0,VLOOKUP(A42,合同台帐!$A$4:$K$195,7,1)-D42,VLOOKUP(A42,合同台帐!$A$4:$F$195,6,1)-D42)</f>
        <v>0</v>
      </c>
      <c r="F42" s="589" t="str">
        <f>VLOOKUP(A42,合同台帐!$A$4:$D$195,4,1)</f>
        <v>公告展示牌（报修详）</v>
      </c>
      <c r="G42" s="589" t="str">
        <f>VLOOKUP(A42,合同台帐!$A$4:$E$195,5,1)</f>
        <v>天津市蓟县地下空间规划信息中心</v>
      </c>
      <c r="H42" s="590" t="s">
        <v>1622</v>
      </c>
      <c r="I42" s="318" t="str">
        <f>IF(A42&lt;&gt;0,VLOOKUP(A42,合同台帐!$A$4:$C$893,3,0),"")</f>
        <v>不可预见</v>
      </c>
    </row>
    <row r="43" spans="1:9" s="591" customFormat="1" ht="15.75" customHeight="1">
      <c r="A43" s="585" t="s">
        <v>42</v>
      </c>
      <c r="B43" s="586" t="s">
        <v>1650</v>
      </c>
      <c r="C43" s="364">
        <v>40682</v>
      </c>
      <c r="D43" s="587">
        <f>SUMIF(A$2:A43,A43,C$2:C43)</f>
        <v>40682</v>
      </c>
      <c r="E43" s="588">
        <f>IF(VLOOKUP(A43,合同台帐!$A$4:$K$195,7,1)&gt;0,VLOOKUP(A43,合同台帐!$A$4:$K$195,7,1)-D43,VLOOKUP(A43,合同台帐!$A$4:$F$195,6,1)-D43)</f>
        <v>0</v>
      </c>
      <c r="F43" s="589" t="str">
        <f>VLOOKUP(A43,合同台帐!$A$4:$D$195,4,1)</f>
        <v>负荷管理装置费、外部供电工程费</v>
      </c>
      <c r="G43" s="589" t="str">
        <f>VLOOKUP(A43,合同台帐!$A$4:$E$195,5,1)</f>
        <v>天津市电力分公司蓟县分公司</v>
      </c>
      <c r="H43" s="590" t="s">
        <v>1622</v>
      </c>
      <c r="I43" s="318" t="str">
        <f>IF(A43&lt;&gt;0,VLOOKUP(A43,合同台帐!$A$4:$C$893,3,0),"")</f>
        <v>前临电</v>
      </c>
    </row>
    <row r="44" spans="1:9" s="591" customFormat="1" ht="15.75" customHeight="1">
      <c r="A44" s="585" t="s">
        <v>43</v>
      </c>
      <c r="B44" s="586" t="s">
        <v>1650</v>
      </c>
      <c r="C44" s="364">
        <v>15210</v>
      </c>
      <c r="D44" s="587">
        <f>SUMIF(A$2:A44,A44,C$2:C44)</f>
        <v>15210</v>
      </c>
      <c r="E44" s="588">
        <f>IF(VLOOKUP(A44,合同台帐!$A$4:$K$195,7,1)&gt;0,VLOOKUP(A44,合同台帐!$A$4:$K$195,7,1)-D44,VLOOKUP(A44,合同台帐!$A$4:$F$195,6,1)-D44)</f>
        <v>0</v>
      </c>
      <c r="F44" s="589" t="str">
        <f>VLOOKUP(A44,合同台帐!$A$4:$D$195,4,1)</f>
        <v>公路占路费</v>
      </c>
      <c r="G44" s="589" t="str">
        <f>VLOOKUP(A44,合同台帐!$A$4:$E$195,5,1)</f>
        <v>天津市蓟县路政支队</v>
      </c>
      <c r="H44" s="590" t="s">
        <v>1622</v>
      </c>
      <c r="I44" s="318" t="str">
        <f>IF(A44&lt;&gt;0,VLOOKUP(A44,合同台帐!$A$4:$C$893,3,0),"")</f>
        <v>前临电</v>
      </c>
    </row>
    <row r="45" spans="1:9" s="591" customFormat="1" ht="15.75" customHeight="1">
      <c r="A45" s="585" t="s">
        <v>44</v>
      </c>
      <c r="B45" s="586" t="s">
        <v>1651</v>
      </c>
      <c r="C45" s="364">
        <v>132000</v>
      </c>
      <c r="D45" s="587">
        <f>SUMIF(A$2:A45,A45,C$2:C45)</f>
        <v>132000</v>
      </c>
      <c r="E45" s="588">
        <f>IF(VLOOKUP(A45,合同台帐!$A$4:$K$195,7,1)&gt;0,VLOOKUP(A45,合同台帐!$A$4:$K$195,7,1)-D45,VLOOKUP(A45,合同台帐!$A$4:$F$195,6,1)-D45)</f>
        <v>33000</v>
      </c>
      <c r="F45" s="589" t="str">
        <f>VLOOKUP(A45,合同台帐!$A$4:$D$195,4,1)</f>
        <v>技术咨询合同(环评）</v>
      </c>
      <c r="G45" s="589" t="str">
        <f>VLOOKUP(A45,合同台帐!$A$4:$E$195,5,1)</f>
        <v>天津市环境保护科学研究院</v>
      </c>
      <c r="H45" s="590" t="s">
        <v>1622</v>
      </c>
      <c r="I45" s="318" t="str">
        <f>IF(A45&lt;&gt;0,VLOOKUP(A45,合同台帐!$A$4:$C$893,3,0),"")</f>
        <v>前环评</v>
      </c>
    </row>
    <row r="46" spans="1:9" s="591" customFormat="1" ht="15.75" customHeight="1">
      <c r="A46" s="585" t="s">
        <v>45</v>
      </c>
      <c r="B46" s="586" t="s">
        <v>1651</v>
      </c>
      <c r="C46" s="364">
        <v>138000</v>
      </c>
      <c r="D46" s="587">
        <f>SUMIF(A$2:A46,A46,C$2:C46)</f>
        <v>138000</v>
      </c>
      <c r="E46" s="588">
        <f>IF(VLOOKUP(A46,合同台帐!$A$4:$K$195,7,1)&gt;0,VLOOKUP(A46,合同台帐!$A$4:$K$195,7,1)-D46,VLOOKUP(A46,合同台帐!$A$4:$F$195,6,1)-D46)</f>
        <v>0</v>
      </c>
      <c r="F46" s="589" t="str">
        <f>VLOOKUP(A46,合同台帐!$A$4:$D$195,4,1)</f>
        <v>彩钢临时围挡</v>
      </c>
      <c r="G46" s="589" t="str">
        <f>VLOOKUP(A46,合同台帐!$A$4:$E$195,5,1)</f>
        <v>天津宏鑫鼎泰建筑工程有限公司</v>
      </c>
      <c r="H46" s="590" t="s">
        <v>1622</v>
      </c>
      <c r="I46" s="318" t="str">
        <f>IF(A46&lt;&gt;0,VLOOKUP(A46,合同台帐!$A$4:$C$893,3,0),"")</f>
        <v>前临围</v>
      </c>
    </row>
    <row r="47" spans="1:9" s="591" customFormat="1" ht="15.75" customHeight="1">
      <c r="A47" s="585" t="s">
        <v>46</v>
      </c>
      <c r="B47" s="586" t="s">
        <v>1651</v>
      </c>
      <c r="C47" s="364">
        <v>63000</v>
      </c>
      <c r="D47" s="587">
        <f>SUMIF(A$2:A47,A47,C$2:C47)</f>
        <v>63000</v>
      </c>
      <c r="E47" s="588">
        <f>IF(VLOOKUP(A47,合同台帐!$A$4:$K$195,7,1)&gt;0,VLOOKUP(A47,合同台帐!$A$4:$K$195,7,1)-D47,VLOOKUP(A47,合同台帐!$A$4:$F$195,6,1)-D47)</f>
        <v>42000</v>
      </c>
      <c r="F47" s="589" t="str">
        <f>VLOOKUP(A47,合同台帐!$A$4:$D$195,4,1)</f>
        <v>固定资产投资项目合理用能评估合同（能评）</v>
      </c>
      <c r="G47" s="589" t="str">
        <f>VLOOKUP(A47,合同台帐!$A$4:$E$195,5,1)</f>
        <v>天津天发源环境保护事务代理中心有限公司</v>
      </c>
      <c r="H47" s="590" t="s">
        <v>1622</v>
      </c>
      <c r="I47" s="318" t="str">
        <f>IF(A47&lt;&gt;0,VLOOKUP(A47,合同台帐!$A$4:$C$893,3,0),"")</f>
        <v>前能评</v>
      </c>
    </row>
    <row r="48" spans="1:9" s="591" customFormat="1" ht="15.75" customHeight="1">
      <c r="A48" s="585" t="s">
        <v>1211</v>
      </c>
      <c r="B48" s="586" t="s">
        <v>1212</v>
      </c>
      <c r="C48" s="364">
        <v>0</v>
      </c>
      <c r="D48" s="587">
        <f>SUMIF(A$2:A48,A48,C$2:C48)</f>
        <v>0</v>
      </c>
      <c r="E48" s="588">
        <f>IF(VLOOKUP(A48,合同台帐!$A$4:$K$195,7,1)&gt;0,VLOOKUP(A48,合同台帐!$A$4:$K$195,7,1)-D48,VLOOKUP(A48,合同台帐!$A$4:$F$195,6,1)-D48)</f>
        <v>0</v>
      </c>
      <c r="F48" s="589" t="str">
        <f>VLOOKUP(A48,合同台帐!$A$4:$D$195,4,1)</f>
        <v>蓟县土地评估费</v>
      </c>
      <c r="G48" s="589" t="str">
        <f>VLOOKUP(A48,合同台帐!$A$4:$E$195,5,1)</f>
        <v>天津杰诺德房地产价格评估咨询有限公司</v>
      </c>
      <c r="H48" s="590" t="s">
        <v>1622</v>
      </c>
      <c r="I48" s="318" t="str">
        <f>IF(A48&lt;&gt;0,VLOOKUP(A48,合同台帐!$A$4:$C$893,3,0),"")</f>
        <v>前其他</v>
      </c>
    </row>
    <row r="49" spans="1:9" s="591" customFormat="1" ht="15.75" customHeight="1">
      <c r="A49" s="585" t="s">
        <v>1219</v>
      </c>
      <c r="B49" s="586" t="s">
        <v>1220</v>
      </c>
      <c r="C49" s="364">
        <v>137711</v>
      </c>
      <c r="D49" s="587">
        <f>SUMIF(A$2:A49,A49,C$2:C49)</f>
        <v>137711</v>
      </c>
      <c r="E49" s="588">
        <f>IF(VLOOKUP(A49,合同台帐!$A$4:$K$195,7,1)&gt;0,VLOOKUP(A49,合同台帐!$A$4:$K$195,7,1)-D49,VLOOKUP(A49,合同台帐!$A$4:$F$195,6,1)-D49)</f>
        <v>0</v>
      </c>
      <c r="F49" s="589" t="str">
        <f>VLOOKUP(A49,合同台帐!$A$4:$D$195,4,1)</f>
        <v>建筑物放线（一期楼座测绘）</v>
      </c>
      <c r="G49" s="589" t="str">
        <f>VLOOKUP(A49,合同台帐!$A$4:$E$195,5,1)</f>
        <v>天津市蓟县测绘队</v>
      </c>
      <c r="H49" s="590" t="s">
        <v>1622</v>
      </c>
      <c r="I49" s="318" t="str">
        <f>IF(A49&lt;&gt;0,VLOOKUP(A49,合同台帐!$A$4:$C$893,3,0),"")</f>
        <v>建定测</v>
      </c>
    </row>
    <row r="50" spans="1:9" s="591" customFormat="1" ht="15.75" customHeight="1">
      <c r="A50" s="585" t="s">
        <v>47</v>
      </c>
      <c r="B50" s="586" t="s">
        <v>1220</v>
      </c>
      <c r="C50" s="364">
        <v>3907038.37</v>
      </c>
      <c r="D50" s="587">
        <f>SUMIF(A$2:A50,A50,C$2:C50)</f>
        <v>3907038.37</v>
      </c>
      <c r="E50" s="588">
        <f>IF(VLOOKUP(A50,合同台帐!$A$4:$K$195,7,1)&gt;0,VLOOKUP(A50,合同台帐!$A$4:$K$195,7,1)-D50,VLOOKUP(A50,合同台帐!$A$4:$F$195,6,1)-D50)</f>
        <v>0</v>
      </c>
      <c r="F50" s="589" t="str">
        <f>VLOOKUP(A50,合同台帐!$A$4:$D$195,4,1)</f>
        <v>小配套费（一期）</v>
      </c>
      <c r="G50" s="589" t="str">
        <f>VLOOKUP(A50,合同台帐!$A$4:$E$195,5,1)</f>
        <v>蓟县建设管理委员会</v>
      </c>
      <c r="H50" s="590" t="s">
        <v>1622</v>
      </c>
      <c r="I50" s="318" t="str">
        <f>IF(A50&lt;&gt;0,VLOOKUP(A50,合同台帐!$A$4:$C$893,3,0),"")</f>
        <v>公配小</v>
      </c>
    </row>
    <row r="51" spans="1:9" s="591" customFormat="1" ht="15.75" customHeight="1">
      <c r="A51" s="585" t="s">
        <v>48</v>
      </c>
      <c r="B51" s="586" t="s">
        <v>1220</v>
      </c>
      <c r="C51" s="364">
        <v>137377.49</v>
      </c>
      <c r="D51" s="587">
        <f>SUMIF(A$2:A51,A51,C$2:C51)</f>
        <v>137377.49</v>
      </c>
      <c r="E51" s="588">
        <f>IF(VLOOKUP(A51,合同台帐!$A$4:$K$195,7,1)&gt;0,VLOOKUP(A51,合同台帐!$A$4:$K$195,7,1)-D51,VLOOKUP(A51,合同台帐!$A$4:$F$195,6,1)-D51)</f>
        <v>0</v>
      </c>
      <c r="F51" s="589" t="str">
        <f>VLOOKUP(A51,合同台帐!$A$4:$D$195,4,1)</f>
        <v>墙改费（一期）</v>
      </c>
      <c r="G51" s="589" t="str">
        <f>VLOOKUP(A51,合同台帐!$A$4:$E$195,5,1)</f>
        <v>蓟县建设管理委员会</v>
      </c>
      <c r="H51" s="590" t="s">
        <v>1622</v>
      </c>
      <c r="I51" s="318" t="str">
        <f>IF(A51&lt;&gt;0,VLOOKUP(A51,合同台帐!$A$4:$C$893,3,0),"")</f>
        <v>前墙</v>
      </c>
    </row>
    <row r="52" spans="1:9" s="591" customFormat="1" ht="15.75" customHeight="1">
      <c r="A52" s="585" t="s">
        <v>49</v>
      </c>
      <c r="B52" s="586" t="s">
        <v>1235</v>
      </c>
      <c r="C52" s="364">
        <v>339000</v>
      </c>
      <c r="D52" s="587">
        <f>SUMIF(A$2:A52,A52,C$2:C52)</f>
        <v>339000</v>
      </c>
      <c r="E52" s="588">
        <f>IF(VLOOKUP(A52,合同台帐!$A$4:$K$195,7,1)&gt;0,VLOOKUP(A52,合同台帐!$A$4:$K$195,7,1)-D52,VLOOKUP(A52,合同台帐!$A$4:$F$195,6,1)-D52)</f>
        <v>0</v>
      </c>
      <c r="F52" s="589" t="str">
        <f>VLOOKUP(A52,合同台帐!$A$4:$D$195,4,1)</f>
        <v>人防易地建设费</v>
      </c>
      <c r="G52" s="589" t="str">
        <f>VLOOKUP(A52,合同台帐!$A$4:$E$195,5,1)</f>
        <v>蓟县人民政府人民防空办公室</v>
      </c>
      <c r="H52" s="590" t="s">
        <v>1622</v>
      </c>
      <c r="I52" s="318" t="str">
        <f>IF(A52&lt;&gt;0,VLOOKUP(A52,合同台帐!$A$4:$C$893,3,0),"")</f>
        <v>前人建</v>
      </c>
    </row>
    <row r="53" spans="1:9" s="591" customFormat="1" ht="15.75" customHeight="1">
      <c r="A53" s="585" t="s">
        <v>50</v>
      </c>
      <c r="B53" s="586" t="s">
        <v>1652</v>
      </c>
      <c r="C53" s="364">
        <v>670000</v>
      </c>
      <c r="D53" s="587">
        <f>SUMIF(A$2:A53,A53,C$2:C53)</f>
        <v>670000</v>
      </c>
      <c r="E53" s="588">
        <f>IF(VLOOKUP(A53,合同台帐!$A$4:$K$195,7,1)&gt;0,VLOOKUP(A53,合同台帐!$A$4:$K$195,7,1)-D53,VLOOKUP(A53,合同台帐!$A$4:$F$195,6,1)-D53)</f>
        <v>573479</v>
      </c>
      <c r="F53" s="589" t="str">
        <f>VLOOKUP(A53,合同台帐!$A$4:$D$195,4,1)</f>
        <v>挡土墙施工合同（西侧、南侧）</v>
      </c>
      <c r="G53" s="589" t="str">
        <f>VLOOKUP(A53,合同台帐!$A$4:$E$195,5,1)</f>
        <v>天津市蓟县振东建筑有限责任公司</v>
      </c>
      <c r="H53" s="590" t="s">
        <v>1622</v>
      </c>
      <c r="I53" s="318" t="str">
        <f>IF(A53&lt;&gt;0,VLOOKUP(A53,合同台帐!$A$4:$C$893,3,0),"")</f>
        <v>建环外</v>
      </c>
    </row>
    <row r="54" spans="1:9" s="591" customFormat="1" ht="15.75" customHeight="1">
      <c r="A54" s="585" t="s">
        <v>51</v>
      </c>
      <c r="B54" s="586" t="s">
        <v>1652</v>
      </c>
      <c r="C54" s="364">
        <v>120000</v>
      </c>
      <c r="D54" s="587">
        <f>SUMIF(A$2:A54,A54,C$2:C54)</f>
        <v>120000</v>
      </c>
      <c r="E54" s="588">
        <f>IF(VLOOKUP(A54,合同台帐!$A$4:$K$195,7,1)&gt;0,VLOOKUP(A54,合同台帐!$A$4:$K$195,7,1)-D54,VLOOKUP(A54,合同台帐!$A$4:$F$195,6,1)-D54)</f>
        <v>0</v>
      </c>
      <c r="F54" s="589" t="str">
        <f>VLOOKUP(A54,合同台帐!$A$4:$D$195,4,1)</f>
        <v>地下障碍物拆除</v>
      </c>
      <c r="G54" s="589" t="str">
        <f>VLOOKUP(A54,合同台帐!$A$4:$E$195,5,1)</f>
        <v>天津渔阳建工集团机械施工有限公司</v>
      </c>
      <c r="H54" s="590" t="s">
        <v>1622</v>
      </c>
      <c r="I54" s="318" t="str">
        <f>IF(A54&lt;&gt;0,VLOOKUP(A54,合同台帐!$A$4:$C$893,3,0),"")</f>
        <v>前临障</v>
      </c>
    </row>
    <row r="55" spans="1:9" s="591" customFormat="1" ht="15.75" customHeight="1">
      <c r="A55" s="585" t="s">
        <v>52</v>
      </c>
      <c r="B55" s="586" t="s">
        <v>1653</v>
      </c>
      <c r="C55" s="364">
        <v>83164.149999999994</v>
      </c>
      <c r="D55" s="587">
        <f>SUMIF(A$2:A55,A55,C$2:C55)</f>
        <v>83164.149999999994</v>
      </c>
      <c r="E55" s="588">
        <f>IF(VLOOKUP(A55,合同台帐!$A$4:$K$195,7,1)&gt;0,VLOOKUP(A55,合同台帐!$A$4:$K$195,7,1)-D55,VLOOKUP(A55,合同台帐!$A$4:$F$195,6,1)-D55)</f>
        <v>0</v>
      </c>
      <c r="F55" s="589" t="str">
        <f>VLOOKUP(A55,合同台帐!$A$4:$D$195,4,1)</f>
        <v>地名标志费及地名公告费</v>
      </c>
      <c r="G55" s="589" t="str">
        <f>VLOOKUP(A55,合同台帐!$A$4:$E$195,5,1)</f>
        <v>蓟县规划局</v>
      </c>
      <c r="H55" s="590" t="s">
        <v>1622</v>
      </c>
      <c r="I55" s="318" t="str">
        <f>IF(A55&lt;&gt;0,VLOOKUP(A55,合同台帐!$A$4:$C$893,3,0),"")</f>
        <v>前地</v>
      </c>
    </row>
    <row r="56" spans="1:9" s="591" customFormat="1" ht="15.75" customHeight="1">
      <c r="A56" s="585" t="s">
        <v>53</v>
      </c>
      <c r="B56" s="586" t="s">
        <v>1239</v>
      </c>
      <c r="C56" s="364">
        <v>19645</v>
      </c>
      <c r="D56" s="587">
        <f>SUMIF(A$2:A56,A56,C$2:C56)</f>
        <v>19645</v>
      </c>
      <c r="E56" s="588">
        <f>IF(VLOOKUP(A56,合同台帐!$A$4:$K$195,7,1)&gt;0,VLOOKUP(A56,合同台帐!$A$4:$K$195,7,1)-D56,VLOOKUP(A56,合同台帐!$A$4:$F$195,6,1)-D56)</f>
        <v>0</v>
      </c>
      <c r="F56" s="589" t="str">
        <f>VLOOKUP(A56,合同台帐!$A$4:$D$195,4,1)</f>
        <v>人防工程资料编制费</v>
      </c>
      <c r="G56" s="589" t="str">
        <f>VLOOKUP(A56,合同台帐!$A$4:$E$195,5,1)</f>
        <v>天津市人防工程建设管理站</v>
      </c>
      <c r="H56" s="590" t="s">
        <v>1622</v>
      </c>
      <c r="I56" s="318" t="str">
        <f>IF(A56&lt;&gt;0,VLOOKUP(A56,合同台帐!$A$4:$C$893,3,0),"")</f>
        <v>前人档</v>
      </c>
    </row>
    <row r="57" spans="1:9" s="591" customFormat="1" ht="15.75" customHeight="1">
      <c r="A57" s="585" t="s">
        <v>54</v>
      </c>
      <c r="B57" s="586" t="s">
        <v>1239</v>
      </c>
      <c r="C57" s="364">
        <v>65619</v>
      </c>
      <c r="D57" s="587">
        <f>SUMIF(A$2:A57,A57,C$2:C57)</f>
        <v>65619</v>
      </c>
      <c r="E57" s="588">
        <f>IF(VLOOKUP(A57,合同台帐!$A$4:$K$195,7,1)&gt;0,VLOOKUP(A57,合同台帐!$A$4:$K$195,7,1)-D57,VLOOKUP(A57,合同台帐!$A$4:$F$195,6,1)-D57)</f>
        <v>0</v>
      </c>
      <c r="F57" s="589" t="str">
        <f>VLOOKUP(A57,合同台帐!$A$4:$D$195,4,1)</f>
        <v>博御园施工图审查（一期）</v>
      </c>
      <c r="G57" s="589" t="str">
        <f>VLOOKUP(A57,合同台帐!$A$4:$E$195,5,1)</f>
        <v>天津华苑建筑工程咨询有限公司</v>
      </c>
      <c r="H57" s="590" t="s">
        <v>1622</v>
      </c>
      <c r="I57" s="318" t="str">
        <f>IF(A57&lt;&gt;0,VLOOKUP(A57,合同台帐!$A$4:$C$893,3,0),"")</f>
        <v>前设审</v>
      </c>
    </row>
    <row r="58" spans="1:9" s="591" customFormat="1" ht="15.75" customHeight="1">
      <c r="A58" s="585" t="s">
        <v>1255</v>
      </c>
      <c r="B58" s="586" t="s">
        <v>1239</v>
      </c>
      <c r="C58" s="364">
        <v>2650549</v>
      </c>
      <c r="D58" s="587">
        <f>SUMIF(A$2:A58,A58,C$2:C58)</f>
        <v>2650549</v>
      </c>
      <c r="E58" s="588">
        <f>IF(VLOOKUP(A58,合同台帐!$A$4:$K$195,7,1)&gt;0,VLOOKUP(A58,合同台帐!$A$4:$K$195,7,1)-D58,VLOOKUP(A58,合同台帐!$A$4:$F$195,6,1)-D58)</f>
        <v>10602197.24</v>
      </c>
      <c r="F58" s="589" t="str">
        <f>VLOOKUP(A58,合同台帐!$A$4:$D$195,4,1)</f>
        <v>供热配套合同（工程建设费）</v>
      </c>
      <c r="G58" s="589" t="str">
        <f>VLOOKUP(A58,合同台帐!$A$4:$E$195,5,1)</f>
        <v>天津市蓟县供热服务中心</v>
      </c>
      <c r="H58" s="590" t="s">
        <v>1622</v>
      </c>
      <c r="I58" s="318" t="str">
        <f>IF(A58&lt;&gt;0,VLOOKUP(A58,合同台帐!$A$4:$C$893,3,0),"")</f>
        <v>基热工</v>
      </c>
    </row>
    <row r="59" spans="1:9" s="591" customFormat="1" ht="15.75" customHeight="1">
      <c r="A59" s="585" t="s">
        <v>55</v>
      </c>
      <c r="B59" s="586" t="s">
        <v>1654</v>
      </c>
      <c r="C59" s="364">
        <v>380000</v>
      </c>
      <c r="D59" s="587">
        <f>SUMIF(A$2:A59,A59,C$2:C59)</f>
        <v>380000</v>
      </c>
      <c r="E59" s="588">
        <f>IF(VLOOKUP(A59,合同台帐!$A$4:$K$195,7,1)&gt;0,VLOOKUP(A59,合同台帐!$A$4:$K$195,7,1)-D59,VLOOKUP(A59,合同台帐!$A$4:$F$195,6,1)-D59)</f>
        <v>0</v>
      </c>
      <c r="F59" s="589" t="str">
        <f>VLOOKUP(A59,合同台帐!$A$4:$D$195,4,1)</f>
        <v>用水报告书技术服务合同</v>
      </c>
      <c r="G59" s="589" t="str">
        <f>VLOOKUP(A59,合同台帐!$A$4:$E$195,5,1)</f>
        <v>天津市润野水资源开发技术咨询有限公司</v>
      </c>
      <c r="H59" s="590" t="s">
        <v>1622</v>
      </c>
      <c r="I59" s="318" t="str">
        <f>IF(A59&lt;&gt;0,VLOOKUP(A59,合同台帐!$A$4:$C$893,3,0),"")</f>
        <v>基水用</v>
      </c>
    </row>
    <row r="60" spans="1:9" s="591" customFormat="1" ht="15.75" customHeight="1">
      <c r="A60" s="585" t="s">
        <v>56</v>
      </c>
      <c r="B60" s="586" t="s">
        <v>1654</v>
      </c>
      <c r="C60" s="364">
        <v>660000</v>
      </c>
      <c r="D60" s="587">
        <f>SUMIF(A$2:A60,A60,C$2:C60)</f>
        <v>660000</v>
      </c>
      <c r="E60" s="588">
        <f>IF(VLOOKUP(A60,合同台帐!$A$4:$K$195,7,1)&gt;0,VLOOKUP(A60,合同台帐!$A$4:$K$195,7,1)-D60,VLOOKUP(A60,合同台帐!$A$4:$F$195,6,1)-D60)</f>
        <v>0</v>
      </c>
      <c r="F60" s="589" t="str">
        <f>VLOOKUP(A60,合同台帐!$A$4:$D$195,4,1)</f>
        <v>水土保持方案报告书技术服务合同</v>
      </c>
      <c r="G60" s="589" t="str">
        <f>VLOOKUP(A60,合同台帐!$A$4:$E$195,5,1)</f>
        <v>天津市蓟县水土保持技术咨询服务站</v>
      </c>
      <c r="H60" s="590" t="s">
        <v>1622</v>
      </c>
      <c r="I60" s="318" t="str">
        <f>IF(A60&lt;&gt;0,VLOOKUP(A60,合同台帐!$A$4:$C$893,3,0),"")</f>
        <v>基水保</v>
      </c>
    </row>
    <row r="61" spans="1:9" s="591" customFormat="1" ht="15.75" customHeight="1">
      <c r="A61" s="585" t="s">
        <v>57</v>
      </c>
      <c r="B61" s="586" t="s">
        <v>1654</v>
      </c>
      <c r="C61" s="364">
        <v>529783</v>
      </c>
      <c r="D61" s="587">
        <f>SUMIF(A$2:A61,A61,C$2:C61)</f>
        <v>529783</v>
      </c>
      <c r="E61" s="588">
        <f>IF(VLOOKUP(A61,合同台帐!$A$4:$K$195,7,1)&gt;0,VLOOKUP(A61,合同台帐!$A$4:$K$195,7,1)-D61,VLOOKUP(A61,合同台帐!$A$4:$F$195,6,1)-D61)</f>
        <v>0</v>
      </c>
      <c r="F61" s="589" t="str">
        <f>VLOOKUP(A61,合同台帐!$A$4:$D$195,4,1)</f>
        <v>地下水资源费</v>
      </c>
      <c r="G61" s="589" t="str">
        <f>VLOOKUP(A61,合同台帐!$A$4:$E$195,5,1)</f>
        <v>天津市蓟县节约用水事务管理中心</v>
      </c>
      <c r="H61" s="590" t="s">
        <v>1622</v>
      </c>
      <c r="I61" s="318" t="str">
        <f>IF(A61&lt;&gt;0,VLOOKUP(A61,合同台帐!$A$4:$C$893,3,0),"")</f>
        <v>基水地</v>
      </c>
    </row>
    <row r="62" spans="1:9" s="591" customFormat="1" ht="15.75" customHeight="1">
      <c r="A62" s="585" t="s">
        <v>58</v>
      </c>
      <c r="B62" s="586" t="s">
        <v>1654</v>
      </c>
      <c r="C62" s="364">
        <v>271230</v>
      </c>
      <c r="D62" s="587">
        <f>SUMIF(A$2:A62,A62,C$2:C62)</f>
        <v>271230</v>
      </c>
      <c r="E62" s="588">
        <f>IF(VLOOKUP(A62,合同台帐!$A$4:$K$195,7,1)&gt;0,VLOOKUP(A62,合同台帐!$A$4:$K$195,7,1)-D62,VLOOKUP(A62,合同台帐!$A$4:$F$195,6,1)-D62)</f>
        <v>0</v>
      </c>
      <c r="F62" s="589" t="str">
        <f>VLOOKUP(A62,合同台帐!$A$4:$D$195,4,1)</f>
        <v>水土保持设施补偿费</v>
      </c>
      <c r="G62" s="589" t="str">
        <f>VLOOKUP(A62,合同台帐!$A$4:$E$195,5,1)</f>
        <v>天津市蓟县水土保持检查监督站</v>
      </c>
      <c r="H62" s="590" t="s">
        <v>1622</v>
      </c>
      <c r="I62" s="318" t="str">
        <f>IF(A62&lt;&gt;0,VLOOKUP(A62,合同台帐!$A$4:$C$893,3,0),"")</f>
        <v>基水补</v>
      </c>
    </row>
    <row r="63" spans="1:9" s="591" customFormat="1" ht="15.75" customHeight="1">
      <c r="A63" s="585" t="s">
        <v>59</v>
      </c>
      <c r="B63" s="586" t="s">
        <v>1652</v>
      </c>
      <c r="C63" s="364">
        <v>30000</v>
      </c>
      <c r="D63" s="587">
        <f>SUMIF(A$2:A63,A63,C$2:C63)</f>
        <v>30000</v>
      </c>
      <c r="E63" s="588">
        <f>IF(VLOOKUP(A63,合同台帐!$A$4:$K$195,7,1)&gt;0,VLOOKUP(A63,合同台帐!$A$4:$K$195,7,1)-D63,VLOOKUP(A63,合同台帐!$A$4:$F$195,6,1)-D63)</f>
        <v>0</v>
      </c>
      <c r="F63" s="589" t="str">
        <f>VLOOKUP(A63,合同台帐!$A$4:$D$195,4,1)</f>
        <v>柿子树补偿协议书</v>
      </c>
      <c r="G63" s="589" t="str">
        <f>VLOOKUP(A63,合同台帐!$A$4:$E$195,5,1)</f>
        <v>渔阳镇七里峰村民委员会</v>
      </c>
      <c r="H63" s="590" t="s">
        <v>1622</v>
      </c>
      <c r="I63" s="318" t="str">
        <f>IF(A63&lt;&gt;0,VLOOKUP(A63,合同台帐!$A$4:$C$893,3,0),"")</f>
        <v>前临障</v>
      </c>
    </row>
    <row r="64" spans="1:9" s="592" customFormat="1" ht="15.75" customHeight="1">
      <c r="A64" s="378" t="s">
        <v>15</v>
      </c>
      <c r="B64" s="579" t="s">
        <v>1655</v>
      </c>
      <c r="C64" s="573">
        <v>780000</v>
      </c>
      <c r="D64" s="587">
        <f>SUMIF(A$2:A64,A64,C$2:C64)</f>
        <v>3900000</v>
      </c>
      <c r="E64" s="575">
        <f>IF(VLOOKUP(A64,合同台帐!$A$4:$K$195,7,1)&gt;0,VLOOKUP(A64,合同台帐!$A$4:$K$195,7,1)-D64,VLOOKUP(A64,合同台帐!$A$4:$F$195,6,1)-D64)</f>
        <v>3900000</v>
      </c>
      <c r="F64" s="576" t="str">
        <f>VLOOKUP(A64,合同台帐!$A$4:$D$195,4,1)</f>
        <v>建筑方案及施工图设计合同</v>
      </c>
      <c r="G64" s="576" t="str">
        <f>VLOOKUP(A64,合同台帐!$A$4:$E$195,5,1)</f>
        <v>北京新纪元建筑工程设计有限公司</v>
      </c>
      <c r="H64" s="577" t="s">
        <v>1656</v>
      </c>
      <c r="I64" s="292" t="str">
        <f>IF(A64&lt;&gt;0,VLOOKUP(A64,合同台帐!$A$4:$C$893,3,0),"")</f>
        <v>前设设</v>
      </c>
    </row>
    <row r="65" spans="1:9" s="592" customFormat="1" ht="15.75" customHeight="1">
      <c r="A65" s="378" t="s">
        <v>33</v>
      </c>
      <c r="B65" s="579" t="s">
        <v>1655</v>
      </c>
      <c r="C65" s="573">
        <v>412000</v>
      </c>
      <c r="D65" s="587">
        <f>SUMIF(A$2:A65,A65,C$2:C65)</f>
        <v>721000</v>
      </c>
      <c r="E65" s="575">
        <f>IF(VLOOKUP(A65,合同台帐!$A$4:$K$195,7,1)&gt;0,VLOOKUP(A65,合同台帐!$A$4:$K$195,7,1)-D65,VLOOKUP(A65,合同台帐!$A$4:$F$195,6,1)-D65)</f>
        <v>309000</v>
      </c>
      <c r="F65" s="576" t="str">
        <f>VLOOKUP(A65,合同台帐!$A$4:$D$195,4,1)</f>
        <v>建设工程勘察合同(详勘）</v>
      </c>
      <c r="G65" s="576" t="str">
        <f>VLOOKUP(A65,合同台帐!$A$4:$E$195,5,1)</f>
        <v>天津华北工程勘察设计有限公司</v>
      </c>
      <c r="H65" s="577" t="s">
        <v>1626</v>
      </c>
      <c r="I65" s="292" t="str">
        <f>IF(A65&lt;&gt;0,VLOOKUP(A65,合同台帐!$A$4:$C$893,3,0),"")</f>
        <v>前勘勘</v>
      </c>
    </row>
    <row r="66" spans="1:9" s="592" customFormat="1" ht="15.75" customHeight="1">
      <c r="A66" s="378" t="s">
        <v>60</v>
      </c>
      <c r="B66" s="579" t="s">
        <v>1305</v>
      </c>
      <c r="C66" s="573">
        <v>40000</v>
      </c>
      <c r="D66" s="587">
        <f>SUMIF(A$2:A66,A66,C$2:C66)</f>
        <v>40000</v>
      </c>
      <c r="E66" s="575">
        <f>IF(VLOOKUP(A66,合同台帐!$A$4:$K$195,7,1)&gt;0,VLOOKUP(A66,合同台帐!$A$4:$K$195,7,1)-D66,VLOOKUP(A66,合同台帐!$A$4:$F$195,6,1)-D66)</f>
        <v>0</v>
      </c>
      <c r="F66" s="576" t="str">
        <f>VLOOKUP(A66,合同台帐!$A$4:$D$195,4,1)</f>
        <v>支付委托保证合同（一期）</v>
      </c>
      <c r="G66" s="576" t="str">
        <f>VLOOKUP(A66,合同台帐!$A$4:$E$195,5,1)</f>
        <v>天津融诚挚信投资担保有限公司</v>
      </c>
      <c r="H66" s="577" t="s">
        <v>1622</v>
      </c>
      <c r="I66" s="292" t="str">
        <f>IF(A66&lt;&gt;0,VLOOKUP(A66,合同台帐!$A$4:$C$893,3,0),"")</f>
        <v>前标担</v>
      </c>
    </row>
    <row r="67" spans="1:9" s="592" customFormat="1" ht="15.75" customHeight="1">
      <c r="A67" s="378" t="s">
        <v>32</v>
      </c>
      <c r="B67" s="579" t="s">
        <v>1288</v>
      </c>
      <c r="C67" s="573">
        <v>325</v>
      </c>
      <c r="D67" s="587">
        <f>SUMIF(A$2:A67,A67,C$2:C67)</f>
        <v>2780</v>
      </c>
      <c r="E67" s="575">
        <f>IF(VLOOKUP(A67,合同台帐!$A$4:$K$195,7,1)&gt;0,VLOOKUP(A67,合同台帐!$A$4:$K$195,7,1)-D67,VLOOKUP(A67,合同台帐!$A$4:$F$195,6,1)-D67)</f>
        <v>905</v>
      </c>
      <c r="F67" s="576" t="str">
        <f>VLOOKUP(A67,合同台帐!$A$4:$D$195,4,1)</f>
        <v>图纸打印</v>
      </c>
      <c r="G67" s="576">
        <f>VLOOKUP(A67,合同台帐!$A$4:$E$195,5,1)</f>
        <v>0</v>
      </c>
      <c r="H67" s="577" t="s">
        <v>1628</v>
      </c>
      <c r="I67" s="292" t="str">
        <f>IF(A67&lt;&gt;0,VLOOKUP(A67,合同台帐!$A$4:$C$893,3,0),"")</f>
        <v>前设图</v>
      </c>
    </row>
    <row r="68" spans="1:9" s="592" customFormat="1" ht="15.75" customHeight="1">
      <c r="A68" s="378" t="s">
        <v>46</v>
      </c>
      <c r="B68" s="579" t="s">
        <v>1288</v>
      </c>
      <c r="C68" s="573">
        <v>42000</v>
      </c>
      <c r="D68" s="587">
        <f>SUMIF(A$2:A68,A68,C$2:C68)</f>
        <v>105000</v>
      </c>
      <c r="E68" s="575">
        <f>IF(VLOOKUP(A68,合同台帐!$A$4:$K$195,7,1)&gt;0,VLOOKUP(A68,合同台帐!$A$4:$K$195,7,1)-D68,VLOOKUP(A68,合同台帐!$A$4:$F$195,6,1)-D68)</f>
        <v>0</v>
      </c>
      <c r="F68" s="576" t="str">
        <f>VLOOKUP(A68,合同台帐!$A$4:$D$195,4,1)</f>
        <v>固定资产投资项目合理用能评估合同（能评）</v>
      </c>
      <c r="G68" s="576" t="str">
        <f>VLOOKUP(A68,合同台帐!$A$4:$E$195,5,1)</f>
        <v>天津天发源环境保护事务代理中心有限公司</v>
      </c>
      <c r="H68" s="577" t="s">
        <v>1626</v>
      </c>
      <c r="I68" s="292" t="str">
        <f>IF(A68&lt;&gt;0,VLOOKUP(A68,合同台帐!$A$4:$C$893,3,0),"")</f>
        <v>前能评</v>
      </c>
    </row>
    <row r="69" spans="1:9" s="592" customFormat="1" ht="15.75" customHeight="1">
      <c r="A69" s="378" t="s">
        <v>61</v>
      </c>
      <c r="B69" s="579" t="s">
        <v>1655</v>
      </c>
      <c r="C69" s="573">
        <v>12515936.4</v>
      </c>
      <c r="D69" s="587">
        <f>SUMIF(A$2:A69,A69,C$2:C69)</f>
        <v>12515936.4</v>
      </c>
      <c r="E69" s="575">
        <f>IF(VLOOKUP(A69,合同台帐!$A$4:$K$195,7,1)&gt;0,VLOOKUP(A69,合同台帐!$A$4:$K$195,7,1)-D69,VLOOKUP(A69,合同台帐!$A$4:$F$195,6,1)-D69)</f>
        <v>0</v>
      </c>
      <c r="F69" s="576" t="str">
        <f>VLOOKUP(A69,合同台帐!$A$4:$D$195,4,1)</f>
        <v>大配套费（一期）</v>
      </c>
      <c r="G69" s="576" t="str">
        <f>VLOOKUP(A69,合同台帐!$A$4:$E$195,5,1)</f>
        <v>蓟县建设管理委员会</v>
      </c>
      <c r="H69" s="577" t="s">
        <v>1622</v>
      </c>
      <c r="I69" s="292" t="str">
        <f>IF(A69&lt;&gt;0,VLOOKUP(A69,合同台帐!$A$4:$C$893,3,0),"")</f>
        <v>土配</v>
      </c>
    </row>
    <row r="70" spans="1:9" s="592" customFormat="1" ht="15.75" customHeight="1">
      <c r="A70" s="378" t="s">
        <v>62</v>
      </c>
      <c r="B70" s="579" t="s">
        <v>1655</v>
      </c>
      <c r="C70" s="573">
        <v>51516.56</v>
      </c>
      <c r="D70" s="587">
        <f>SUMIF(A$2:A70,A70,C$2:C70)</f>
        <v>51516.56</v>
      </c>
      <c r="E70" s="575">
        <f>IF(VLOOKUP(A70,合同台帐!$A$4:$K$195,7,1)&gt;0,VLOOKUP(A70,合同台帐!$A$4:$K$195,7,1)-D70,VLOOKUP(A70,合同台帐!$A$4:$F$195,6,1)-D70)</f>
        <v>0</v>
      </c>
      <c r="F70" s="576" t="str">
        <f>VLOOKUP(A70,合同台帐!$A$4:$D$195,4,1)</f>
        <v>水泥基金（一期）</v>
      </c>
      <c r="G70" s="576" t="str">
        <f>VLOOKUP(A70,合同台帐!$A$4:$E$195,5,1)</f>
        <v>蓟县建设管理委员会</v>
      </c>
      <c r="H70" s="577" t="s">
        <v>1622</v>
      </c>
      <c r="I70" s="292" t="str">
        <f>IF(A70&lt;&gt;0,VLOOKUP(A70,合同台帐!$A$4:$C$893,3,0),"")</f>
        <v>前泥</v>
      </c>
    </row>
    <row r="71" spans="1:9" s="592" customFormat="1" ht="15.75" customHeight="1">
      <c r="A71" s="378" t="s">
        <v>63</v>
      </c>
      <c r="B71" s="579" t="s">
        <v>1655</v>
      </c>
      <c r="C71" s="573">
        <v>1127572.3999999999</v>
      </c>
      <c r="D71" s="587">
        <f>SUMIF(A$2:A71,A71,C$2:C71)</f>
        <v>1127572.3999999999</v>
      </c>
      <c r="E71" s="575">
        <f>IF(VLOOKUP(A71,合同台帐!$A$4:$K$195,7,1)&gt;0,VLOOKUP(A71,合同台帐!$A$4:$K$195,7,1)-D71,VLOOKUP(A71,合同台帐!$A$4:$F$195,6,1)-D71)</f>
        <v>0</v>
      </c>
      <c r="F71" s="576" t="str">
        <f>VLOOKUP(A71,合同台帐!$A$4:$D$195,4,1)</f>
        <v>气源发展费（一期）(蓟县另收）</v>
      </c>
      <c r="G71" s="576" t="str">
        <f>VLOOKUP(A71,合同台帐!$A$4:$E$195,5,1)</f>
        <v>蓟县建设管理委员会</v>
      </c>
      <c r="H71" s="577" t="s">
        <v>1622</v>
      </c>
      <c r="I71" s="292" t="str">
        <f>IF(A71&lt;&gt;0,VLOOKUP(A71,合同台帐!$A$4:$C$893,3,0),"")</f>
        <v>基气源</v>
      </c>
    </row>
    <row r="72" spans="1:9" s="592" customFormat="1" ht="15.75" customHeight="1">
      <c r="A72" s="378" t="s">
        <v>32</v>
      </c>
      <c r="B72" s="579" t="s">
        <v>1655</v>
      </c>
      <c r="C72" s="573">
        <v>905</v>
      </c>
      <c r="D72" s="587">
        <f>SUMIF(A$2:A72,A72,C$2:C72)</f>
        <v>3685</v>
      </c>
      <c r="E72" s="575">
        <f>IF(VLOOKUP(A72,合同台帐!$A$4:$K$195,7,1)&gt;0,VLOOKUP(A72,合同台帐!$A$4:$K$195,7,1)-D72,VLOOKUP(A72,合同台帐!$A$4:$F$195,6,1)-D72)</f>
        <v>0</v>
      </c>
      <c r="F72" s="576" t="str">
        <f>VLOOKUP(A72,合同台帐!$A$4:$D$195,4,1)</f>
        <v>图纸打印</v>
      </c>
      <c r="G72" s="576">
        <f>VLOOKUP(A72,合同台帐!$A$4:$E$195,5,1)</f>
        <v>0</v>
      </c>
      <c r="H72" s="577" t="s">
        <v>1646</v>
      </c>
      <c r="I72" s="292" t="str">
        <f>IF(A72&lt;&gt;0,VLOOKUP(A72,合同台帐!$A$4:$C$893,3,0),"")</f>
        <v>前设图</v>
      </c>
    </row>
    <row r="73" spans="1:9" s="592" customFormat="1" ht="15.75" customHeight="1">
      <c r="A73" s="378" t="s">
        <v>64</v>
      </c>
      <c r="B73" s="579" t="s">
        <v>1657</v>
      </c>
      <c r="C73" s="573">
        <v>45600</v>
      </c>
      <c r="D73" s="587">
        <f>SUMIF(A$2:A73,A73,C$2:C73)</f>
        <v>45600</v>
      </c>
      <c r="E73" s="575">
        <f>IF(VLOOKUP(A73,合同台帐!$A$4:$K$195,7,1)&gt;0,VLOOKUP(A73,合同台帐!$A$4:$K$195,7,1)-D73,VLOOKUP(A73,合同台帐!$A$4:$F$195,6,1)-D73)</f>
        <v>0</v>
      </c>
      <c r="F73" s="576" t="str">
        <f>VLOOKUP(A73,合同台帐!$A$4:$D$195,4,1)</f>
        <v>建设工程交易服务费（一期）</v>
      </c>
      <c r="G73" s="576" t="str">
        <f>VLOOKUP(A73,合同台帐!$A$4:$E$195,5,1)</f>
        <v>蓟县建设管理委员会</v>
      </c>
      <c r="H73" s="577" t="s">
        <v>1622</v>
      </c>
      <c r="I73" s="292" t="str">
        <f>IF(A73&lt;&gt;0,VLOOKUP(A73,合同台帐!$A$4:$C$893,3,0),"")</f>
        <v>前标服</v>
      </c>
    </row>
    <row r="74" spans="1:9" s="592" customFormat="1" ht="15.75" customHeight="1">
      <c r="A74" s="378" t="s">
        <v>65</v>
      </c>
      <c r="B74" s="579" t="s">
        <v>1657</v>
      </c>
      <c r="C74" s="573">
        <v>21600</v>
      </c>
      <c r="D74" s="587">
        <f>SUMIF(A$2:A74,A74,C$2:C74)</f>
        <v>21600</v>
      </c>
      <c r="E74" s="575">
        <f>IF(VLOOKUP(A74,合同台帐!$A$4:$K$195,7,1)&gt;0,VLOOKUP(A74,合同台帐!$A$4:$K$195,7,1)-D74,VLOOKUP(A74,合同台帐!$A$4:$F$195,6,1)-D74)</f>
        <v>0</v>
      </c>
      <c r="F74" s="576" t="str">
        <f>VLOOKUP(A74,合同台帐!$A$4:$D$195,4,1)</f>
        <v>工程监理交易服务费（全项目）</v>
      </c>
      <c r="G74" s="576" t="str">
        <f>VLOOKUP(A74,合同台帐!$A$4:$E$195,5,1)</f>
        <v>蓟县建设管理委员会</v>
      </c>
      <c r="H74" s="577" t="s">
        <v>1622</v>
      </c>
      <c r="I74" s="292" t="str">
        <f>IF(A74&lt;&gt;0,VLOOKUP(A74,合同台帐!$A$4:$C$893,3,0),"")</f>
        <v>前标服</v>
      </c>
    </row>
    <row r="75" spans="1:9" s="592" customFormat="1" ht="15.75" customHeight="1">
      <c r="A75" s="378" t="s">
        <v>66</v>
      </c>
      <c r="B75" s="579" t="s">
        <v>1658</v>
      </c>
      <c r="C75" s="573">
        <v>67500</v>
      </c>
      <c r="D75" s="587">
        <f>SUMIF(A$2:A75,A75,C$2:C75)</f>
        <v>67500</v>
      </c>
      <c r="E75" s="575">
        <f>IF(VLOOKUP(A75,合同台帐!$A$4:$K$195,7,1)&gt;0,VLOOKUP(A75,合同台帐!$A$4:$K$195,7,1)-D75,VLOOKUP(A75,合同台帐!$A$4:$F$195,6,1)-D75)</f>
        <v>0</v>
      </c>
      <c r="F75" s="576" t="str">
        <f>VLOOKUP(A75,合同台帐!$A$4:$D$195,4,1)</f>
        <v>环境报告评估合同</v>
      </c>
      <c r="G75" s="576" t="str">
        <f>VLOOKUP(A75,合同台帐!$A$4:$E$195,5,1)</f>
        <v>天津市环境工程评估中心</v>
      </c>
      <c r="H75" s="577" t="s">
        <v>1622</v>
      </c>
      <c r="I75" s="292" t="str">
        <f>IF(A75&lt;&gt;0,VLOOKUP(A75,合同台帐!$A$4:$C$893,3,0),"")</f>
        <v>前环</v>
      </c>
    </row>
    <row r="76" spans="1:9" s="592" customFormat="1" ht="15.75" customHeight="1">
      <c r="A76" s="378" t="s">
        <v>1309</v>
      </c>
      <c r="B76" s="579" t="s">
        <v>1659</v>
      </c>
      <c r="C76" s="573">
        <v>300000</v>
      </c>
      <c r="D76" s="587">
        <f>SUMIF(A$2:A76,A76,C$2:C76)</f>
        <v>300000</v>
      </c>
      <c r="E76" s="575">
        <f>IF(VLOOKUP(A76,合同台帐!$A$4:$K$195,7,1)&gt;0,VLOOKUP(A76,合同台帐!$A$4:$K$195,7,1)-D76,VLOOKUP(A76,合同台帐!$A$4:$F$195,6,1)-D76)</f>
        <v>0</v>
      </c>
      <c r="F76" s="576" t="str">
        <f>VLOOKUP(A76,合同台帐!$A$4:$D$195,4,1)</f>
        <v>一标段稳定保证金（一期）</v>
      </c>
      <c r="G76" s="576" t="str">
        <f>VLOOKUP(A76,合同台帐!$A$4:$E$195,5,1)</f>
        <v>蓟县建设管理委员会</v>
      </c>
      <c r="H76" s="577" t="s">
        <v>1622</v>
      </c>
      <c r="I76" s="292" t="str">
        <f>IF(A76&lt;&gt;0,VLOOKUP(A76,合同台帐!$A$4:$C$893,3,0),"")</f>
        <v>前稳</v>
      </c>
    </row>
    <row r="77" spans="1:9" s="598" customFormat="1" ht="15.75" customHeight="1">
      <c r="A77" s="370" t="s">
        <v>1316</v>
      </c>
      <c r="B77" s="593" t="s">
        <v>1659</v>
      </c>
      <c r="C77" s="594">
        <v>0</v>
      </c>
      <c r="D77" s="587">
        <f>SUMIF(A$2:A77,A77,C$2:C77)</f>
        <v>0</v>
      </c>
      <c r="E77" s="595">
        <f>IF(VLOOKUP(A77,合同台帐!$A$4:$K$195,7,1)&gt;0,VLOOKUP(A77,合同台帐!$A$4:$K$195,7,1)-D77,VLOOKUP(A77,合同台帐!$A$4:$F$195,6,1)-D77)</f>
        <v>0</v>
      </c>
      <c r="F77" s="596" t="str">
        <f>VLOOKUP(A77,合同台帐!$A$4:$D$195,4,1)</f>
        <v>文明施工措施费</v>
      </c>
      <c r="G77" s="596" t="str">
        <f>VLOOKUP(A77,合同台帐!$A$4:$E$195,5,1)</f>
        <v>蓟县建设管理委员会</v>
      </c>
      <c r="H77" s="597" t="s">
        <v>1622</v>
      </c>
      <c r="I77" s="342" t="str">
        <f>IF(A77&lt;&gt;0,VLOOKUP(A77,合同台帐!$A$4:$C$893,3,0),"")</f>
        <v>前</v>
      </c>
    </row>
    <row r="78" spans="1:9" s="592" customFormat="1" ht="15.75" customHeight="1">
      <c r="A78" s="378" t="s">
        <v>67</v>
      </c>
      <c r="B78" s="579" t="s">
        <v>1310</v>
      </c>
      <c r="C78" s="573">
        <v>12400</v>
      </c>
      <c r="D78" s="587">
        <f>SUMIF(A$2:A78,A78,C$2:C78)</f>
        <v>12400</v>
      </c>
      <c r="E78" s="575">
        <f>IF(VLOOKUP(A78,合同台帐!$A$4:$K$195,7,1)&gt;0,VLOOKUP(A78,合同台帐!$A$4:$K$195,7,1)-D78,VLOOKUP(A78,合同台帐!$A$4:$F$195,6,1)-D78)</f>
        <v>0</v>
      </c>
      <c r="F78" s="576" t="str">
        <f>VLOOKUP(A78,合同台帐!$A$4:$D$195,4,1)</f>
        <v>建安设备交易服务费（一期）蓟县收取</v>
      </c>
      <c r="G78" s="576" t="str">
        <f>VLOOKUP(A78,合同台帐!$A$4:$E$195,5,1)</f>
        <v>蓟县建设管理委员会</v>
      </c>
      <c r="H78" s="577" t="s">
        <v>1622</v>
      </c>
      <c r="I78" s="292" t="str">
        <f>IF(A78&lt;&gt;0,VLOOKUP(A78,合同台帐!$A$4:$C$893,3,0),"")</f>
        <v>前标服</v>
      </c>
    </row>
    <row r="79" spans="1:9" s="592" customFormat="1" ht="15.75" customHeight="1">
      <c r="A79" s="378" t="s">
        <v>35</v>
      </c>
      <c r="B79" s="579" t="s">
        <v>1660</v>
      </c>
      <c r="C79" s="573">
        <v>670893.75</v>
      </c>
      <c r="D79" s="587">
        <f>SUMIF(A$2:A79,A79,C$2:C79)</f>
        <v>1207608.75</v>
      </c>
      <c r="E79" s="575">
        <f>IF(VLOOKUP(A79,合同台帐!$A$4:$K$195,7,1)&gt;0,VLOOKUP(A79,合同台帐!$A$4:$K$195,7,1)-D79,VLOOKUP(A79,合同台帐!$A$4:$F$195,6,1)-D79)</f>
        <v>1475966.25</v>
      </c>
      <c r="F79" s="576" t="str">
        <f>VLOOKUP(A79,合同台帐!$A$4:$D$195,4,1)</f>
        <v>景观设计合同</v>
      </c>
      <c r="G79" s="576" t="str">
        <f>VLOOKUP(A79,合同台帐!$A$4:$E$195,5,1)</f>
        <v>天津宏石筑景景观设计有限公司（更名为：砂樘（天津）城市设计有限公司）</v>
      </c>
      <c r="H79" s="577" t="s">
        <v>1626</v>
      </c>
      <c r="I79" s="292" t="str">
        <f>IF(A79&lt;&gt;0,VLOOKUP(A79,合同台帐!$A$4:$C$893,3,0),"")</f>
        <v>前设景</v>
      </c>
    </row>
    <row r="80" spans="1:9" s="592" customFormat="1" ht="15.75" customHeight="1">
      <c r="A80" s="378" t="s">
        <v>50</v>
      </c>
      <c r="B80" s="579" t="s">
        <v>1661</v>
      </c>
      <c r="C80" s="573">
        <v>359629</v>
      </c>
      <c r="D80" s="587">
        <f>SUMIF(A$2:A80,A80,C$2:C80)</f>
        <v>1029629</v>
      </c>
      <c r="E80" s="575">
        <f>IF(VLOOKUP(A80,合同台帐!$A$4:$K$195,7,1)&gt;0,VLOOKUP(A80,合同台帐!$A$4:$K$195,7,1)-D80,VLOOKUP(A80,合同台帐!$A$4:$F$195,6,1)-D80)</f>
        <v>213850</v>
      </c>
      <c r="F80" s="576" t="str">
        <f>VLOOKUP(A80,合同台帐!$A$4:$D$195,4,1)</f>
        <v>挡土墙施工合同（西侧、南侧）</v>
      </c>
      <c r="G80" s="576" t="str">
        <f>VLOOKUP(A80,合同台帐!$A$4:$E$195,5,1)</f>
        <v>天津市蓟县振东建筑有限责任公司</v>
      </c>
      <c r="H80" s="577" t="s">
        <v>1622</v>
      </c>
      <c r="I80" s="292" t="str">
        <f>IF(A80&lt;&gt;0,VLOOKUP(A80,合同台帐!$A$4:$C$893,3,0),"")</f>
        <v>建环外</v>
      </c>
    </row>
    <row r="81" spans="1:9" s="592" customFormat="1" ht="15.75" customHeight="1">
      <c r="A81" s="378" t="s">
        <v>68</v>
      </c>
      <c r="B81" s="579" t="s">
        <v>1657</v>
      </c>
      <c r="C81" s="573">
        <v>50000</v>
      </c>
      <c r="D81" s="587">
        <f>SUMIF(A$2:A81,A81,C$2:C81)</f>
        <v>50000</v>
      </c>
      <c r="E81" s="575">
        <f>IF(VLOOKUP(A81,合同台帐!$A$4:$K$195,7,1)&gt;0,VLOOKUP(A81,合同台帐!$A$4:$K$195,7,1)-D81,VLOOKUP(A81,合同台帐!$A$4:$F$195,6,1)-D81)</f>
        <v>0</v>
      </c>
      <c r="F81" s="576" t="str">
        <f>VLOOKUP(A81,合同台帐!$A$4:$D$195,4,1)</f>
        <v>临时水施工费</v>
      </c>
      <c r="G81" s="576" t="str">
        <f>VLOOKUP(A81,合同台帐!$A$4:$E$195,5,1)</f>
        <v>蓟县自来水管理所</v>
      </c>
      <c r="H81" s="577" t="s">
        <v>1622</v>
      </c>
      <c r="I81" s="292" t="str">
        <f>IF(A81&lt;&gt;0,VLOOKUP(A81,合同台帐!$A$4:$C$893,3,0),"")</f>
        <v>前临水</v>
      </c>
    </row>
    <row r="82" spans="1:9" s="605" customFormat="1" ht="15.75" customHeight="1">
      <c r="A82" s="313" t="s">
        <v>1313</v>
      </c>
      <c r="B82" s="599" t="s">
        <v>1215</v>
      </c>
      <c r="C82" s="600">
        <v>0</v>
      </c>
      <c r="D82" s="587">
        <f>SUMIF(A$2:A82,A82,C$2:C82)</f>
        <v>0</v>
      </c>
      <c r="E82" s="601">
        <f>IF(VLOOKUP(A82,合同台帐!$A$4:$K$195,7,1)&gt;0,VLOOKUP(A82,合同台帐!$A$4:$K$195,7,1)-D82,VLOOKUP(A82,合同台帐!$A$4:$F$195,6,1)-D82)</f>
        <v>0</v>
      </c>
      <c r="F82" s="602" t="str">
        <f>VLOOKUP(A82,合同台帐!$A$4:$D$195,4,1)</f>
        <v>农民工资预储工资</v>
      </c>
      <c r="G82" s="602" t="str">
        <f>VLOOKUP(A82,合同台帐!$A$4:$E$195,5,1)</f>
        <v>蓟县建设管理委员会</v>
      </c>
      <c r="H82" s="603" t="s">
        <v>1622</v>
      </c>
      <c r="I82" s="604" t="str">
        <f>IF(A82&lt;&gt;0,VLOOKUP(A82,合同台帐!$A$4:$C$893,3,0),"")</f>
        <v>前</v>
      </c>
    </row>
    <row r="83" spans="1:9" s="598" customFormat="1" ht="15.75" customHeight="1">
      <c r="A83" s="370" t="s">
        <v>1334</v>
      </c>
      <c r="B83" s="593" t="s">
        <v>1662</v>
      </c>
      <c r="C83" s="594">
        <v>0</v>
      </c>
      <c r="D83" s="587">
        <f>SUMIF(A$2:A83,A83,C$2:C83)</f>
        <v>0</v>
      </c>
      <c r="E83" s="595">
        <f>IF(VLOOKUP(A83,合同台帐!$A$4:$K$195,7,1)&gt;0,VLOOKUP(A83,合同台帐!$A$4:$K$195,7,1)-D83,VLOOKUP(A83,合同台帐!$A$4:$F$195,6,1)-D83)</f>
        <v>0</v>
      </c>
      <c r="F83" s="596" t="str">
        <f>VLOOKUP(A83,合同台帐!$A$4:$D$195,4,1)</f>
        <v>临时用水水费（一期）</v>
      </c>
      <c r="G83" s="596" t="str">
        <f>VLOOKUP(A83,合同台帐!$A$4:$E$195,5,1)</f>
        <v>蓟县自来水管理所</v>
      </c>
      <c r="H83" s="597" t="s">
        <v>1622</v>
      </c>
      <c r="I83" s="342" t="str">
        <f>IF(A83&lt;&gt;0,VLOOKUP(A83,合同台帐!$A$4:$C$893,3,0),"")</f>
        <v>前</v>
      </c>
    </row>
    <row r="84" spans="1:9" s="591" customFormat="1" ht="15.75" customHeight="1">
      <c r="A84" s="378" t="s">
        <v>69</v>
      </c>
      <c r="B84" s="579" t="s">
        <v>1663</v>
      </c>
      <c r="C84" s="364">
        <v>9505</v>
      </c>
      <c r="D84" s="587">
        <f>SUMIF(A$2:A84,A84,C$2:C84)</f>
        <v>9505</v>
      </c>
      <c r="E84" s="588">
        <f>IF(VLOOKUP(A84,合同台帐!$A$4:$K$195,7,1)&gt;0,VLOOKUP(A84,合同台帐!$A$4:$K$195,7,1)-D84,VLOOKUP(A84,合同台帐!$A$4:$F$195,6,1)-D84)</f>
        <v>0</v>
      </c>
      <c r="F84" s="589" t="str">
        <f>VLOOKUP(A84,合同台帐!$A$4:$D$195,4,1)</f>
        <v>临水施工占路及修复费</v>
      </c>
      <c r="G84" s="589" t="str">
        <f>VLOOKUP(A84,合同台帐!$A$4:$E$195,5,1)</f>
        <v>天津市蓟县路政支队</v>
      </c>
      <c r="H84" s="590"/>
      <c r="I84" s="318" t="str">
        <f>IF(A84&lt;&gt;0,VLOOKUP(A84,合同台帐!$A$4:$C$893,3,0),"")</f>
        <v>前临水</v>
      </c>
    </row>
    <row r="85" spans="1:9" s="591" customFormat="1" ht="15.75" customHeight="1">
      <c r="A85" s="378" t="s">
        <v>70</v>
      </c>
      <c r="B85" s="579" t="s">
        <v>1664</v>
      </c>
      <c r="C85" s="364">
        <v>120586.4</v>
      </c>
      <c r="D85" s="587">
        <f>SUMIF(A$2:A85,A85,C$2:C85)</f>
        <v>120586.4</v>
      </c>
      <c r="E85" s="588">
        <f>IF(VLOOKUP(A85,合同台帐!$A$4:$K$195,7,1)&gt;0,VLOOKUP(A85,合同台帐!$A$4:$K$195,7,1)-D85,VLOOKUP(A85,合同台帐!$A$4:$F$195,6,1)-D85)</f>
        <v>30146.600000000006</v>
      </c>
      <c r="F85" s="589" t="str">
        <f>VLOOKUP(A85,合同台帐!$A$4:$D$195,4,1)</f>
        <v>招投标代理（设计、勘察、工程、监理）</v>
      </c>
      <c r="G85" s="589" t="str">
        <f>VLOOKUP(A85,合同台帐!$A$4:$E$195,5,1)</f>
        <v>天津建安建设项目管理有限公司</v>
      </c>
      <c r="H85" s="590"/>
      <c r="I85" s="318" t="str">
        <f>IF(A85&lt;&gt;0,VLOOKUP(A85,合同台帐!$A$4:$C$893,3,0),"")</f>
        <v>前标代</v>
      </c>
    </row>
    <row r="86" spans="1:9" s="591" customFormat="1" ht="15.75" customHeight="1">
      <c r="A86" s="378" t="s">
        <v>44</v>
      </c>
      <c r="B86" s="579" t="s">
        <v>1665</v>
      </c>
      <c r="C86" s="364">
        <v>33000</v>
      </c>
      <c r="D86" s="587">
        <f>SUMIF(A$2:A86,A86,C$2:C86)</f>
        <v>165000</v>
      </c>
      <c r="E86" s="588">
        <f>IF(VLOOKUP(A86,合同台帐!$A$4:$K$195,7,1)&gt;0,VLOOKUP(A86,合同台帐!$A$4:$K$195,7,1)-D86,VLOOKUP(A86,合同台帐!$A$4:$F$195,6,1)-D86)</f>
        <v>0</v>
      </c>
      <c r="F86" s="589" t="str">
        <f>VLOOKUP(A86,合同台帐!$A$4:$D$195,4,1)</f>
        <v>技术咨询合同(环评）</v>
      </c>
      <c r="G86" s="589" t="str">
        <f>VLOOKUP(A86,合同台帐!$A$4:$E$195,5,1)</f>
        <v>天津市环境保护科学研究院</v>
      </c>
      <c r="H86" s="590"/>
      <c r="I86" s="318" t="str">
        <f>IF(A86&lt;&gt;0,VLOOKUP(A86,合同台帐!$A$4:$C$893,3,0),"")</f>
        <v>前环评</v>
      </c>
    </row>
    <row r="87" spans="1:9" s="591" customFormat="1" ht="15.75" customHeight="1">
      <c r="A87" s="378" t="s">
        <v>40</v>
      </c>
      <c r="B87" s="579" t="s">
        <v>1666</v>
      </c>
      <c r="C87" s="364">
        <v>43000</v>
      </c>
      <c r="D87" s="587">
        <f>SUMIF(A$2:A87,A87,C$2:C87)</f>
        <v>430000</v>
      </c>
      <c r="E87" s="588">
        <f>IF(VLOOKUP(A87,合同台帐!$A$4:$K$195,7,1)&gt;0,VLOOKUP(A87,合同台帐!$A$4:$K$195,7,1)-D87,VLOOKUP(A87,合同台帐!$A$4:$F$195,6,1)-D87)</f>
        <v>0</v>
      </c>
      <c r="F87" s="589" t="str">
        <f>VLOOKUP(A87,合同台帐!$A$4:$D$195,4,1)</f>
        <v>临电工程费</v>
      </c>
      <c r="G87" s="589" t="str">
        <f>VLOOKUP(A87,合同台帐!$A$4:$E$195,5,1)</f>
        <v>天津市信弘德电力工程有限公司蓟县分公司</v>
      </c>
      <c r="H87" s="590"/>
      <c r="I87" s="318" t="str">
        <f>IF(A87&lt;&gt;0,VLOOKUP(A87,合同台帐!$A$4:$C$893,3,0),"")</f>
        <v>前临电</v>
      </c>
    </row>
    <row r="88" spans="1:9" s="591" customFormat="1" ht="15.75" customHeight="1">
      <c r="A88" s="378" t="s">
        <v>71</v>
      </c>
      <c r="B88" s="579" t="s">
        <v>1667</v>
      </c>
      <c r="C88" s="364">
        <v>80518.990000000005</v>
      </c>
      <c r="D88" s="587">
        <f>SUMIF(A$2:A88,A88,C$2:C88)</f>
        <v>80518.990000000005</v>
      </c>
      <c r="E88" s="588">
        <f>IF(VLOOKUP(A88,合同台帐!$A$4:$K$195,7,1)&gt;0,VLOOKUP(A88,合同台帐!$A$4:$K$195,7,1)-D88,VLOOKUP(A88,合同台帐!$A$4:$F$195,6,1)-D88)</f>
        <v>0</v>
      </c>
      <c r="F88" s="589" t="str">
        <f>VLOOKUP(A88,合同台帐!$A$4:$D$195,4,1)</f>
        <v>前置面积测量（一期）</v>
      </c>
      <c r="G88" s="589" t="str">
        <f>VLOOKUP(A88,合同台帐!$A$4:$E$195,5,1)</f>
        <v>天津市国土资源测绘和房屋测量中心</v>
      </c>
      <c r="H88" s="590"/>
      <c r="I88" s="318" t="str">
        <f>IF(A88&lt;&gt;0,VLOOKUP(A88,合同台帐!$A$4:$C$893,3,0),"")</f>
        <v>前面</v>
      </c>
    </row>
    <row r="89" spans="1:9" s="591" customFormat="1" ht="15.75" customHeight="1">
      <c r="A89" s="378" t="s">
        <v>72</v>
      </c>
      <c r="B89" s="579" t="s">
        <v>1668</v>
      </c>
      <c r="C89" s="364">
        <v>100000</v>
      </c>
      <c r="D89" s="587">
        <f>SUMIF(A$2:A89,A89,C$2:C89)</f>
        <v>100000</v>
      </c>
      <c r="E89" s="588">
        <f>IF(VLOOKUP(A89,合同台帐!$A$4:$K$195,7,1)&gt;0,VLOOKUP(A89,合同台帐!$A$4:$K$195,7,1)-D89,VLOOKUP(A89,合同台帐!$A$4:$F$195,6,1)-D89)</f>
        <v>637340</v>
      </c>
      <c r="F89" s="589" t="str">
        <f>VLOOKUP(A89,合同台帐!$A$4:$D$195,4,1)</f>
        <v>售楼处样板间精装设计合同</v>
      </c>
      <c r="G89" s="589" t="str">
        <f>VLOOKUP(A89,合同台帐!$A$4:$E$195,5,1)</f>
        <v>北京米罗那装饰设计有限公司</v>
      </c>
      <c r="H89" s="590"/>
      <c r="I89" s="318" t="str">
        <f>IF(A89&lt;&gt;0,VLOOKUP(A89,合同台帐!$A$4:$C$893,3,0),"")</f>
        <v>前设</v>
      </c>
    </row>
    <row r="90" spans="1:9" s="591" customFormat="1" ht="15.75" customHeight="1">
      <c r="A90" s="378" t="s">
        <v>1459</v>
      </c>
      <c r="B90" s="579" t="s">
        <v>1669</v>
      </c>
      <c r="C90" s="364">
        <v>250000</v>
      </c>
      <c r="D90" s="587">
        <f>SUMIF(A$2:A90,A90,C$2:C90)</f>
        <v>250000</v>
      </c>
      <c r="E90" s="588">
        <f>IF(VLOOKUP(A90,合同台帐!$A$4:$K$195,7,1)&gt;0,VLOOKUP(A90,合同台帐!$A$4:$K$195,7,1)-D90,VLOOKUP(A90,合同台帐!$A$4:$F$195,6,1)-D90)</f>
        <v>309667</v>
      </c>
      <c r="F90" s="589" t="str">
        <f>VLOOKUP(A90,合同台帐!$A$4:$D$195,4,1)</f>
        <v>大门入口外檐装饰</v>
      </c>
      <c r="G90" s="589" t="str">
        <f>VLOOKUP(A90,合同台帐!$A$4:$E$195,5,1)</f>
        <v>天津万通达建筑工程有限公司</v>
      </c>
      <c r="H90" s="590"/>
      <c r="I90" s="318" t="str">
        <f>IF(A90&lt;&gt;0,VLOOKUP(A90,合同台帐!$A$4:$C$893,3,0),"")</f>
        <v>建主</v>
      </c>
    </row>
    <row r="91" spans="1:9" s="591" customFormat="1" ht="15.75" customHeight="1">
      <c r="A91" s="378" t="s">
        <v>15</v>
      </c>
      <c r="B91" s="579" t="s">
        <v>1670</v>
      </c>
      <c r="C91" s="364">
        <v>1377629</v>
      </c>
      <c r="D91" s="587">
        <f>SUMIF(A$2:A91,A91,C$2:C91)</f>
        <v>5277629</v>
      </c>
      <c r="E91" s="588">
        <f>IF(VLOOKUP(A91,合同台帐!$A$4:$K$195,7,1)&gt;0,VLOOKUP(A91,合同台帐!$A$4:$K$195,7,1)-D91,VLOOKUP(A91,合同台帐!$A$4:$F$195,6,1)-D91)</f>
        <v>2522371</v>
      </c>
      <c r="F91" s="589" t="str">
        <f>VLOOKUP(A91,合同台帐!$A$4:$D$195,4,1)</f>
        <v>建筑方案及施工图设计合同</v>
      </c>
      <c r="G91" s="589" t="str">
        <f>VLOOKUP(A91,合同台帐!$A$4:$E$195,5,1)</f>
        <v>北京新纪元建筑工程设计有限公司</v>
      </c>
      <c r="H91" s="590"/>
      <c r="I91" s="318" t="str">
        <f>IF(A91&lt;&gt;0,VLOOKUP(A91,合同台帐!$A$4:$C$893,3,0),"")</f>
        <v>前设设</v>
      </c>
    </row>
    <row r="92" spans="1:9" s="591" customFormat="1" ht="15.75" customHeight="1">
      <c r="A92" s="378" t="s">
        <v>26</v>
      </c>
      <c r="B92" s="579" t="s">
        <v>1671</v>
      </c>
      <c r="C92" s="364">
        <v>336425</v>
      </c>
      <c r="D92" s="587">
        <f>SUMIF(A$2:A92,A92,C$2:C92)</f>
        <v>3736425</v>
      </c>
      <c r="E92" s="588">
        <f>IF(VLOOKUP(A92,合同台帐!$A$4:$K$195,7,1)&gt;0,VLOOKUP(A92,合同台帐!$A$4:$K$195,7,1)-D92,VLOOKUP(A92,合同台帐!$A$4:$F$195,6,1)-D92)</f>
        <v>3013575</v>
      </c>
      <c r="F92" s="589" t="str">
        <f>VLOOKUP(A92,合同台帐!$A$4:$D$195,4,1)</f>
        <v>场地平整</v>
      </c>
      <c r="G92" s="589" t="str">
        <f>VLOOKUP(A92,合同台帐!$A$4:$E$195,5,1)</f>
        <v>天津市蓟县振东建筑有限责任公司</v>
      </c>
      <c r="H92" s="590"/>
      <c r="I92" s="318" t="str">
        <f>IF(A92&lt;&gt;0,VLOOKUP(A92,合同台帐!$A$4:$C$893,3,0),"")</f>
        <v>前临土</v>
      </c>
    </row>
    <row r="93" spans="1:9" s="591" customFormat="1" ht="15.75" customHeight="1">
      <c r="A93" s="378" t="s">
        <v>50</v>
      </c>
      <c r="B93" s="579" t="s">
        <v>1671</v>
      </c>
      <c r="C93" s="364">
        <v>213850</v>
      </c>
      <c r="D93" s="587">
        <f>SUMIF(A$2:A93,A93,C$2:C93)</f>
        <v>1243479</v>
      </c>
      <c r="E93" s="588">
        <f>IF(VLOOKUP(A93,合同台帐!$A$4:$K$195,7,1)&gt;0,VLOOKUP(A93,合同台帐!$A$4:$K$195,7,1)-D93,VLOOKUP(A93,合同台帐!$A$4:$F$195,6,1)-D93)</f>
        <v>0</v>
      </c>
      <c r="F93" s="589" t="str">
        <f>VLOOKUP(A93,合同台帐!$A$4:$D$195,4,1)</f>
        <v>挡土墙施工合同（西侧、南侧）</v>
      </c>
      <c r="G93" s="589" t="str">
        <f>VLOOKUP(A93,合同台帐!$A$4:$E$195,5,1)</f>
        <v>天津市蓟县振东建筑有限责任公司</v>
      </c>
      <c r="H93" s="590"/>
      <c r="I93" s="318" t="str">
        <f>IF(A93&lt;&gt;0,VLOOKUP(A93,合同台帐!$A$4:$C$893,3,0),"")</f>
        <v>建环外</v>
      </c>
    </row>
    <row r="94" spans="1:9" s="591" customFormat="1" ht="15.75" customHeight="1">
      <c r="A94" s="378" t="s">
        <v>73</v>
      </c>
      <c r="B94" s="579" t="s">
        <v>1671</v>
      </c>
      <c r="C94" s="364">
        <v>120000</v>
      </c>
      <c r="D94" s="587">
        <f>SUMIF(A$2:A94,A94,C$2:C94)</f>
        <v>120000</v>
      </c>
      <c r="E94" s="588">
        <f>IF(VLOOKUP(A94,合同台帐!$A$4:$K$195,7,1)&gt;0,VLOOKUP(A94,合同台帐!$A$4:$K$195,7,1)-D94,VLOOKUP(A94,合同台帐!$A$4:$F$195,6,1)-D94)</f>
        <v>30000</v>
      </c>
      <c r="F94" s="589" t="str">
        <f>VLOOKUP(A94,合同台帐!$A$4:$D$195,4,1)</f>
        <v>蓟县项目综合管网设计合同（方案）</v>
      </c>
      <c r="G94" s="589" t="str">
        <f>VLOOKUP(A94,合同台帐!$A$4:$E$195,5,1)</f>
        <v>天津华厦建筑设计有限公司</v>
      </c>
      <c r="H94" s="590"/>
      <c r="I94" s="318" t="str">
        <f>IF(A94&lt;&gt;0,VLOOKUP(A94,合同台帐!$A$4:$C$893,3,0),"")</f>
        <v>前设网</v>
      </c>
    </row>
    <row r="95" spans="1:9" s="591" customFormat="1" ht="15.75" customHeight="1">
      <c r="A95" s="378" t="s">
        <v>36</v>
      </c>
      <c r="B95" s="579" t="s">
        <v>1671</v>
      </c>
      <c r="C95" s="364">
        <v>59700</v>
      </c>
      <c r="D95" s="587">
        <f>SUMIF(A$2:A95,A95,C$2:C95)</f>
        <v>149250</v>
      </c>
      <c r="E95" s="588">
        <f>IF(VLOOKUP(A95,合同台帐!$A$4:$K$195,7,1)&gt;0,VLOOKUP(A95,合同台帐!$A$4:$K$195,7,1)-D95,VLOOKUP(A95,合同台帐!$A$4:$F$195,6,1)-D95)</f>
        <v>300430</v>
      </c>
      <c r="F95" s="589" t="str">
        <f>VLOOKUP(A95,合同台帐!$A$4:$D$195,4,1)</f>
        <v>地库及人防设计合同</v>
      </c>
      <c r="G95" s="589" t="str">
        <f>VLOOKUP(A95,合同台帐!$A$4:$E$195,5,1)</f>
        <v>天津冶金规划设计院</v>
      </c>
      <c r="H95" s="590"/>
      <c r="I95" s="318" t="str">
        <f>IF(A95&lt;&gt;0,VLOOKUP(A95,合同台帐!$A$4:$C$893,3,0),"")</f>
        <v>前设其</v>
      </c>
    </row>
    <row r="96" spans="1:9" s="591" customFormat="1" ht="15.75" customHeight="1">
      <c r="A96" s="378" t="s">
        <v>1672</v>
      </c>
      <c r="B96" s="579" t="s">
        <v>1673</v>
      </c>
      <c r="C96" s="364">
        <v>131400</v>
      </c>
      <c r="D96" s="587">
        <f>SUMIF(A$2:A96,A96,C$2:C96)</f>
        <v>131400</v>
      </c>
      <c r="E96" s="588">
        <f>IF(VLOOKUP(A96,合同台帐!$A$4:$K$195,7,1)&gt;0,VLOOKUP(A96,合同台帐!$A$4:$K$195,7,1)-D96,VLOOKUP(A96,合同台帐!$A$4:$F$195,6,1)-D96)</f>
        <v>0</v>
      </c>
      <c r="F96" s="589" t="str">
        <f>VLOOKUP(A96,合同台帐!$A$4:$D$195,4,1)</f>
        <v>南侧道路开口</v>
      </c>
      <c r="G96" s="589" t="str">
        <f>VLOOKUP(A96,合同台帐!$A$4:$E$195,5,1)</f>
        <v>天津市蓟县公路路政支队</v>
      </c>
      <c r="H96" s="590"/>
      <c r="I96" s="318" t="str">
        <f>IF(A96&lt;&gt;0,VLOOKUP(A96,合同台帐!$A$4:$C$893,3,0),"")</f>
        <v>前道口</v>
      </c>
    </row>
    <row r="97" spans="1:9" s="591" customFormat="1" ht="15.75" customHeight="1">
      <c r="A97" s="378" t="s">
        <v>1674</v>
      </c>
      <c r="B97" s="579" t="s">
        <v>1673</v>
      </c>
      <c r="C97" s="364">
        <v>39911.519999999997</v>
      </c>
      <c r="D97" s="587">
        <f>SUMIF(A$2:A97,A97,C$2:C97)</f>
        <v>39911.519999999997</v>
      </c>
      <c r="E97" s="588">
        <f>IF(VLOOKUP(A97,合同台帐!$A$4:$K$195,7,1)&gt;0,VLOOKUP(A97,合同台帐!$A$4:$K$195,7,1)-D97,VLOOKUP(A97,合同台帐!$A$4:$F$195,6,1)-D97)</f>
        <v>0</v>
      </c>
      <c r="F97" s="589" t="str">
        <f>VLOOKUP(A97,合同台帐!$A$4:$D$195,4,1)</f>
        <v>物业招标服务费（全项目）</v>
      </c>
      <c r="G97" s="589" t="str">
        <f>VLOOKUP(A97,合同台帐!$A$4:$E$195,5,1)</f>
        <v>天津市物业管理招标服务中心</v>
      </c>
      <c r="H97" s="590"/>
      <c r="I97" s="318" t="str">
        <f>IF(A97&lt;&gt;0,VLOOKUP(A97,合同台帐!$A$4:$C$893,3,0),"")</f>
        <v>前标服</v>
      </c>
    </row>
    <row r="98" spans="1:9" s="591" customFormat="1" ht="15.75" customHeight="1">
      <c r="A98" s="378" t="s">
        <v>72</v>
      </c>
      <c r="B98" s="579" t="s">
        <v>1093</v>
      </c>
      <c r="C98" s="364">
        <v>285000</v>
      </c>
      <c r="D98" s="587">
        <f>SUMIF(A$2:A98,A98,C$2:C98)</f>
        <v>385000</v>
      </c>
      <c r="E98" s="588">
        <f>IF(VLOOKUP(A98,合同台帐!$A$4:$K$195,7,1)&gt;0,VLOOKUP(A98,合同台帐!$A$4:$K$195,7,1)-D98,VLOOKUP(A98,合同台帐!$A$4:$F$195,6,1)-D98)</f>
        <v>352340</v>
      </c>
      <c r="F98" s="589" t="str">
        <f>VLOOKUP(A98,合同台帐!$A$4:$D$195,4,1)</f>
        <v>售楼处样板间精装设计合同</v>
      </c>
      <c r="G98" s="589" t="str">
        <f>VLOOKUP(A98,合同台帐!$A$4:$E$195,5,1)</f>
        <v>北京米罗那装饰设计有限公司</v>
      </c>
      <c r="H98" s="590"/>
      <c r="I98" s="318" t="str">
        <f>IF(A98&lt;&gt;0,VLOOKUP(A98,合同台帐!$A$4:$C$893,3,0),"")</f>
        <v>前设</v>
      </c>
    </row>
    <row r="99" spans="1:9" s="591" customFormat="1" ht="15.75" customHeight="1">
      <c r="A99" s="378" t="s">
        <v>1675</v>
      </c>
      <c r="B99" s="579" t="s">
        <v>1093</v>
      </c>
      <c r="C99" s="364">
        <v>264625</v>
      </c>
      <c r="D99" s="587">
        <f>SUMIF(A$2:A99,A99,C$2:C99)</f>
        <v>264625</v>
      </c>
      <c r="E99" s="588">
        <f>IF(VLOOKUP(A99,合同台帐!$A$4:$K$195,7,1)&gt;0,VLOOKUP(A99,合同台帐!$A$4:$K$195,7,1)-D99,VLOOKUP(A99,合同台帐!$A$4:$F$195,6,1)-D99)</f>
        <v>0</v>
      </c>
      <c r="F99" s="589" t="str">
        <f>VLOOKUP(A99,合同台帐!$A$4:$D$195,4,1)</f>
        <v>西侧道路开口</v>
      </c>
      <c r="G99" s="589" t="str">
        <f>VLOOKUP(A99,合同台帐!$A$4:$E$195,5,1)</f>
        <v>天津市蓟县公路路政支队</v>
      </c>
      <c r="H99" s="590"/>
      <c r="I99" s="318" t="str">
        <f>IF(A99&lt;&gt;0,VLOOKUP(A99,合同台帐!$A$4:$C$893,3,0),"")</f>
        <v>前道口</v>
      </c>
    </row>
    <row r="100" spans="1:9" s="591" customFormat="1" ht="15.75" customHeight="1">
      <c r="A100" s="378" t="s">
        <v>74</v>
      </c>
      <c r="B100" s="579" t="s">
        <v>1093</v>
      </c>
      <c r="C100" s="364">
        <v>70000</v>
      </c>
      <c r="D100" s="587">
        <f>SUMIF(A$2:A100,A100,C$2:C100)</f>
        <v>70000</v>
      </c>
      <c r="E100" s="588">
        <f>IF(VLOOKUP(A100,合同台帐!$A$4:$K$195,7,1)&gt;0,VLOOKUP(A100,合同台帐!$A$4:$K$195,7,1)-D100,VLOOKUP(A100,合同台帐!$A$4:$F$195,6,1)-D100)</f>
        <v>230000</v>
      </c>
      <c r="F100" s="589" t="str">
        <f>VLOOKUP(A100,合同台帐!$A$4:$D$195,4,1)</f>
        <v>（一、三期）造价咨询合同</v>
      </c>
      <c r="G100" s="589" t="str">
        <f>VLOOKUP(A100,合同台帐!$A$4:$E$195,5,1)</f>
        <v>天津中天华建工程咨询有限公司</v>
      </c>
      <c r="H100" s="590"/>
      <c r="I100" s="318" t="str">
        <f>IF(A100&lt;&gt;0,VLOOKUP(A100,合同台帐!$A$4:$C$893,3,0),"")</f>
        <v>前标咨</v>
      </c>
    </row>
    <row r="101" spans="1:9" s="591" customFormat="1" ht="15.75" customHeight="1">
      <c r="A101" s="378" t="s">
        <v>35</v>
      </c>
      <c r="B101" s="579" t="s">
        <v>1093</v>
      </c>
      <c r="C101" s="364">
        <v>536715</v>
      </c>
      <c r="D101" s="587">
        <f>SUMIF(A$2:A101,A101,C$2:C101)</f>
        <v>1744323.75</v>
      </c>
      <c r="E101" s="588">
        <f>IF(VLOOKUP(A101,合同台帐!$A$4:$K$195,7,1)&gt;0,VLOOKUP(A101,合同台帐!$A$4:$K$195,7,1)-D101,VLOOKUP(A101,合同台帐!$A$4:$F$195,6,1)-D101)</f>
        <v>939251.25</v>
      </c>
      <c r="F101" s="589" t="str">
        <f>VLOOKUP(A101,合同台帐!$A$4:$D$195,4,1)</f>
        <v>景观设计合同</v>
      </c>
      <c r="G101" s="589" t="str">
        <f>VLOOKUP(A101,合同台帐!$A$4:$E$195,5,1)</f>
        <v>天津宏石筑景景观设计有限公司（更名为：砂樘（天津）城市设计有限公司）</v>
      </c>
      <c r="H101" s="590"/>
      <c r="I101" s="318" t="str">
        <f>IF(A101&lt;&gt;0,VLOOKUP(A101,合同台帐!$A$4:$C$893,3,0),"")</f>
        <v>前设景</v>
      </c>
    </row>
    <row r="102" spans="1:9" s="591" customFormat="1" ht="15.75" customHeight="1">
      <c r="A102" s="378" t="s">
        <v>75</v>
      </c>
      <c r="B102" s="579" t="s">
        <v>1093</v>
      </c>
      <c r="C102" s="364">
        <v>70000</v>
      </c>
      <c r="D102" s="587">
        <f>SUMIF(A$2:A102,A102,C$2:C102)</f>
        <v>70000</v>
      </c>
      <c r="E102" s="588">
        <f>IF(VLOOKUP(A102,合同台帐!$A$4:$K$195,7,1)&gt;0,VLOOKUP(A102,合同台帐!$A$4:$K$195,7,1)-D102,VLOOKUP(A102,合同台帐!$A$4:$F$195,6,1)-D102)</f>
        <v>70000</v>
      </c>
      <c r="F102" s="589" t="str">
        <f>VLOOKUP(A102,合同台帐!$A$4:$D$195,4,1)</f>
        <v>物业招投标代理合同</v>
      </c>
      <c r="G102" s="589" t="str">
        <f>VLOOKUP(A102,合同台帐!$A$4:$E$195,5,1)</f>
        <v>天津市晓波房地产物业管理有限公司</v>
      </c>
      <c r="H102" s="590"/>
      <c r="I102" s="318" t="str">
        <f>IF(A102&lt;&gt;0,VLOOKUP(A102,合同台帐!$A$4:$C$893,3,0),"")</f>
        <v>前标代</v>
      </c>
    </row>
    <row r="103" spans="1:9" s="591" customFormat="1" ht="15.75" customHeight="1">
      <c r="A103" s="378" t="s">
        <v>76</v>
      </c>
      <c r="B103" s="579" t="s">
        <v>1093</v>
      </c>
      <c r="C103" s="364">
        <v>128562</v>
      </c>
      <c r="D103" s="587">
        <f>SUMIF(A$2:A103,A103,C$2:C103)</f>
        <v>128562</v>
      </c>
      <c r="E103" s="588">
        <f>IF(VLOOKUP(A103,合同台帐!$A$4:$K$195,7,1)&gt;0,VLOOKUP(A103,合同台帐!$A$4:$K$195,7,1)-D103,VLOOKUP(A103,合同台帐!$A$4:$F$195,6,1)-D103)</f>
        <v>2442695</v>
      </c>
      <c r="F103" s="589" t="str">
        <f>VLOOKUP(A103,合同台帐!$A$4:$D$195,4,1)</f>
        <v>监理工程</v>
      </c>
      <c r="G103" s="589" t="str">
        <f>VLOOKUP(A103,合同台帐!$A$4:$E$195,5,1)</f>
        <v>天津市环外监理有限公司</v>
      </c>
      <c r="H103" s="590"/>
      <c r="I103" s="318" t="str">
        <f>IF(A103&lt;&gt;0,VLOOKUP(A103,合同台帐!$A$4:$C$893,3,0),"")</f>
        <v>建监</v>
      </c>
    </row>
    <row r="104" spans="1:9" s="613" customFormat="1" ht="15.75" customHeight="1">
      <c r="A104" s="606" t="s">
        <v>77</v>
      </c>
      <c r="B104" s="607" t="s">
        <v>1093</v>
      </c>
      <c r="C104" s="608">
        <v>2710000</v>
      </c>
      <c r="D104" s="587">
        <f>SUMIF(A$2:A104,A104,C$2:C104)</f>
        <v>2710000</v>
      </c>
      <c r="E104" s="609">
        <f>IF(VLOOKUP(A104,合同台帐!$A$4:$K$195,7,1)&gt;0,VLOOKUP(A104,合同台帐!$A$4:$K$195,7,1)-D104,VLOOKUP(A104,合同台帐!$A$4:$F$195,6,1)-D104)</f>
        <v>107290000</v>
      </c>
      <c r="F104" s="610" t="str">
        <f>VLOOKUP(A104,合同台帐!$A$4:$D$195,4,1)</f>
        <v>总包一期工程</v>
      </c>
      <c r="G104" s="610" t="str">
        <f>VLOOKUP(A104,合同台帐!$A$4:$E$195,5,1)</f>
        <v>天津泉州建设工程集团有限公司</v>
      </c>
      <c r="H104" s="611"/>
      <c r="I104" s="612">
        <f>IF(A104&lt;&gt;0,VLOOKUP(A104,合同台帐!$A$4:$C$893,3,0),"")</f>
        <v>0</v>
      </c>
    </row>
    <row r="105" spans="1:9" s="591" customFormat="1" ht="15.75" customHeight="1">
      <c r="A105" s="378" t="s">
        <v>77</v>
      </c>
      <c r="B105" s="579" t="s">
        <v>1093</v>
      </c>
      <c r="C105" s="364">
        <v>2000000</v>
      </c>
      <c r="D105" s="587">
        <f>SUMIF(A$2:A105,A105,C$2:C105)</f>
        <v>4710000</v>
      </c>
      <c r="E105" s="588">
        <f>IF(VLOOKUP(A105,合同台帐!$A$4:$K$195,7,1)&gt;0,VLOOKUP(A105,合同台帐!$A$4:$K$195,7,1)-D105,VLOOKUP(A105,合同台帐!$A$4:$F$195,6,1)-D105)</f>
        <v>105290000</v>
      </c>
      <c r="F105" s="589" t="str">
        <f>VLOOKUP(A105,合同台帐!$A$4:$D$195,4,1)</f>
        <v>总包一期工程</v>
      </c>
      <c r="G105" s="589" t="str">
        <f>VLOOKUP(A105,合同台帐!$A$4:$E$195,5,1)</f>
        <v>天津泉州建设工程集团有限公司</v>
      </c>
      <c r="H105" s="590"/>
      <c r="I105" s="318">
        <f>IF(A105&lt;&gt;0,VLOOKUP(A105,合同台帐!$A$4:$C$893,3,0),"")</f>
        <v>0</v>
      </c>
    </row>
    <row r="106" spans="1:9" s="591" customFormat="1" ht="15.75" customHeight="1">
      <c r="A106" s="378" t="s">
        <v>77</v>
      </c>
      <c r="B106" s="579" t="s">
        <v>1093</v>
      </c>
      <c r="C106" s="364">
        <v>200000</v>
      </c>
      <c r="D106" s="587">
        <f>SUMIF(A$2:A106,A106,C$2:C106)</f>
        <v>4910000</v>
      </c>
      <c r="E106" s="588">
        <f>IF(VLOOKUP(A106,合同台帐!$A$4:$K$195,7,1)&gt;0,VLOOKUP(A106,合同台帐!$A$4:$K$195,7,1)-D106,VLOOKUP(A106,合同台帐!$A$4:$F$195,6,1)-D106)</f>
        <v>105090000</v>
      </c>
      <c r="F106" s="589" t="str">
        <f>VLOOKUP(A106,合同台帐!$A$4:$D$195,4,1)</f>
        <v>总包一期工程</v>
      </c>
      <c r="G106" s="589" t="str">
        <f>VLOOKUP(A106,合同台帐!$A$4:$E$195,5,1)</f>
        <v>天津泉州建设工程集团有限公司</v>
      </c>
      <c r="H106" s="590"/>
      <c r="I106" s="318">
        <f>IF(A106&lt;&gt;0,VLOOKUP(A106,合同台帐!$A$4:$C$893,3,0),"")</f>
        <v>0</v>
      </c>
    </row>
    <row r="107" spans="1:9" s="619" customFormat="1" ht="15.75" customHeight="1">
      <c r="A107" s="303" t="s">
        <v>77</v>
      </c>
      <c r="B107" s="614" t="s">
        <v>1093</v>
      </c>
      <c r="C107" s="615">
        <v>6540000</v>
      </c>
      <c r="D107" s="587">
        <f>SUMIF(A$2:A107,A107,C$2:C107)</f>
        <v>11450000</v>
      </c>
      <c r="E107" s="616">
        <f>IF(VLOOKUP(A107,合同台帐!$A$4:$K$195,7,1)&gt;0,VLOOKUP(A107,合同台帐!$A$4:$K$195,7,1)-D107,VLOOKUP(A107,合同台帐!$A$4:$F$195,6,1)-D107)</f>
        <v>98550000</v>
      </c>
      <c r="F107" s="617" t="str">
        <f>VLOOKUP(A107,合同台帐!$A$4:$D$195,4,1)</f>
        <v>总包一期工程</v>
      </c>
      <c r="G107" s="617" t="str">
        <f>VLOOKUP(A107,合同台帐!$A$4:$E$195,5,1)</f>
        <v>天津泉州建设工程集团有限公司</v>
      </c>
      <c r="H107" s="618"/>
      <c r="I107" s="305">
        <f>IF(A107&lt;&gt;0,VLOOKUP(A107,合同台帐!$A$4:$C$893,3,0),"")</f>
        <v>0</v>
      </c>
    </row>
    <row r="108" spans="1:9" s="591" customFormat="1" ht="15.75" customHeight="1">
      <c r="A108" s="378" t="s">
        <v>1098</v>
      </c>
      <c r="B108" s="579" t="s">
        <v>1099</v>
      </c>
      <c r="C108" s="364">
        <v>0</v>
      </c>
      <c r="D108" s="587">
        <f>SUMIF(A$2:A108,A108,C$2:C108)</f>
        <v>0</v>
      </c>
      <c r="E108" s="588">
        <f>IF(VLOOKUP(A108,合同台帐!$A$4:$K$195,7,1)&gt;0,VLOOKUP(A108,合同台帐!$A$4:$K$195,7,1)-D108,VLOOKUP(A108,合同台帐!$A$4:$F$195,6,1)-D108)</f>
        <v>0</v>
      </c>
      <c r="F108" s="589" t="str">
        <f>VLOOKUP(A108,合同台帐!$A$4:$D$195,4,1)</f>
        <v>一期在建工程评估费</v>
      </c>
      <c r="G108" s="589" t="str">
        <f>VLOOKUP(A108,合同台帐!$A$4:$E$195,5,1)</f>
        <v>天津杰诺德房地产价格评估咨询有限公司</v>
      </c>
      <c r="H108" s="590"/>
      <c r="I108" s="318" t="str">
        <f>IF(A108&lt;&gt;0,VLOOKUP(A108,合同台帐!$A$4:$C$893,3,0),"")</f>
        <v>前其他</v>
      </c>
    </row>
    <row r="109" spans="1:9" s="591" customFormat="1" ht="15.75" customHeight="1">
      <c r="A109" s="378" t="s">
        <v>78</v>
      </c>
      <c r="B109" s="579" t="s">
        <v>1099</v>
      </c>
      <c r="C109" s="364">
        <v>240</v>
      </c>
      <c r="D109" s="587">
        <f>SUMIF(A$2:A109,A109,C$2:C109)</f>
        <v>240</v>
      </c>
      <c r="E109" s="588">
        <f>IF(VLOOKUP(A109,合同台帐!$A$4:$K$195,7,1)&gt;0,VLOOKUP(A109,合同台帐!$A$4:$K$195,7,1)-D109,VLOOKUP(A109,合同台帐!$A$4:$F$195,6,1)-D109)</f>
        <v>0</v>
      </c>
      <c r="F109" s="589" t="str">
        <f>VLOOKUP(A109,合同台帐!$A$4:$D$195,4,1)</f>
        <v>图纸复印费</v>
      </c>
      <c r="G109" s="589" t="str">
        <f>VLOOKUP(A109,合同台帐!$A$4:$E$195,5,1)</f>
        <v>天津市宝坻区汇彩打字复印服务中心</v>
      </c>
      <c r="H109" s="590"/>
      <c r="I109" s="318" t="str">
        <f>IF(A109&lt;&gt;0,VLOOKUP(A109,合同台帐!$A$4:$C$893,3,0),"")</f>
        <v>前设图</v>
      </c>
    </row>
    <row r="110" spans="1:9" s="591" customFormat="1" ht="15.75" customHeight="1">
      <c r="A110" s="378" t="s">
        <v>79</v>
      </c>
      <c r="B110" s="579" t="s">
        <v>1099</v>
      </c>
      <c r="C110" s="364">
        <v>2000</v>
      </c>
      <c r="D110" s="587">
        <f>SUMIF(A$2:A110,A110,C$2:C110)</f>
        <v>2000</v>
      </c>
      <c r="E110" s="588">
        <f>IF(VLOOKUP(A110,合同台帐!$A$4:$K$195,7,1)&gt;0,VLOOKUP(A110,合同台帐!$A$4:$K$195,7,1)-D110,VLOOKUP(A110,合同台帐!$A$4:$F$195,6,1)-D110)</f>
        <v>0</v>
      </c>
      <c r="F110" s="589" t="str">
        <f>VLOOKUP(A110,合同台帐!$A$4:$D$195,4,1)</f>
        <v>专家论证费</v>
      </c>
      <c r="G110" s="589" t="str">
        <f>VLOOKUP(A110,合同台帐!$A$4:$E$195,5,1)</f>
        <v>天津忆江南企业管理咨询服务有限公司</v>
      </c>
      <c r="H110" s="590"/>
      <c r="I110" s="318" t="str">
        <f>IF(A110&lt;&gt;0,VLOOKUP(A110,合同台帐!$A$4:$C$893,3,0),"")</f>
        <v>不可预见</v>
      </c>
    </row>
    <row r="111" spans="1:9" s="591" customFormat="1" ht="15.75" customHeight="1">
      <c r="A111" s="378" t="s">
        <v>1107</v>
      </c>
      <c r="B111" s="579" t="s">
        <v>1099</v>
      </c>
      <c r="C111" s="364">
        <v>120</v>
      </c>
      <c r="D111" s="587">
        <f>SUMIF(A$2:A111,A111,C$2:C111)</f>
        <v>120</v>
      </c>
      <c r="E111" s="588">
        <f>IF(VLOOKUP(A111,合同台帐!$A$4:$K$195,7,1)&gt;0,VLOOKUP(A111,合同台帐!$A$4:$K$195,7,1)-D111,VLOOKUP(A111,合同台帐!$A$4:$F$195,6,1)-D111)</f>
        <v>0</v>
      </c>
      <c r="F111" s="589" t="str">
        <f>VLOOKUP(A111,合同台帐!$A$4:$D$195,4,1)</f>
        <v>图纸打印费</v>
      </c>
      <c r="G111" s="589" t="str">
        <f>VLOOKUP(A111,合同台帐!$A$4:$E$195,5,1)</f>
        <v>天津市蓟县张雷办公用品商店</v>
      </c>
      <c r="H111" s="590"/>
      <c r="I111" s="318" t="str">
        <f>IF(A111&lt;&gt;0,VLOOKUP(A111,合同台帐!$A$4:$C$893,3,0),"")</f>
        <v>前设图</v>
      </c>
    </row>
    <row r="112" spans="1:9" s="591" customFormat="1" ht="15.75" customHeight="1">
      <c r="A112" s="378" t="s">
        <v>75</v>
      </c>
      <c r="B112" s="579" t="s">
        <v>1676</v>
      </c>
      <c r="C112" s="364">
        <v>70000</v>
      </c>
      <c r="D112" s="587">
        <f>SUMIF(A$2:A112,A112,C$2:C112)</f>
        <v>140000</v>
      </c>
      <c r="E112" s="588">
        <f>IF(VLOOKUP(A112,合同台帐!$A$4:$K$195,7,1)&gt;0,VLOOKUP(A112,合同台帐!$A$4:$K$195,7,1)-D112,VLOOKUP(A112,合同台帐!$A$4:$F$195,6,1)-D112)</f>
        <v>0</v>
      </c>
      <c r="F112" s="589" t="str">
        <f>VLOOKUP(A112,合同台帐!$A$4:$D$195,4,1)</f>
        <v>物业招投标代理合同</v>
      </c>
      <c r="G112" s="589" t="str">
        <f>VLOOKUP(A112,合同台帐!$A$4:$E$195,5,1)</f>
        <v>天津市晓波房地产物业管理有限公司</v>
      </c>
      <c r="H112" s="590"/>
      <c r="I112" s="318" t="str">
        <f>IF(A112&lt;&gt;0,VLOOKUP(A112,合同台帐!$A$4:$C$893,3,0),"")</f>
        <v>前标代</v>
      </c>
    </row>
    <row r="113" spans="1:9" s="591" customFormat="1" ht="15.75" customHeight="1">
      <c r="A113" s="378" t="s">
        <v>26</v>
      </c>
      <c r="B113" s="579" t="s">
        <v>1676</v>
      </c>
      <c r="C113" s="364">
        <v>413563</v>
      </c>
      <c r="D113" s="587">
        <f>SUMIF(A$2:A113,A113,C$2:C113)</f>
        <v>4149988</v>
      </c>
      <c r="E113" s="588">
        <f>IF(VLOOKUP(A113,合同台帐!$A$4:$K$195,7,1)&gt;0,VLOOKUP(A113,合同台帐!$A$4:$K$195,7,1)-D113,VLOOKUP(A113,合同台帐!$A$4:$F$195,6,1)-D113)</f>
        <v>2600012</v>
      </c>
      <c r="F113" s="589" t="str">
        <f>VLOOKUP(A113,合同台帐!$A$4:$D$195,4,1)</f>
        <v>场地平整</v>
      </c>
      <c r="G113" s="589" t="str">
        <f>VLOOKUP(A113,合同台帐!$A$4:$E$195,5,1)</f>
        <v>天津市蓟县振东建筑有限责任公司</v>
      </c>
      <c r="H113" s="590"/>
      <c r="I113" s="318" t="str">
        <f>IF(A113&lt;&gt;0,VLOOKUP(A113,合同台帐!$A$4:$C$893,3,0),"")</f>
        <v>前临土</v>
      </c>
    </row>
    <row r="114" spans="1:9" s="591" customFormat="1" ht="15.75" customHeight="1">
      <c r="A114" s="378" t="s">
        <v>80</v>
      </c>
      <c r="B114" s="579" t="s">
        <v>1676</v>
      </c>
      <c r="C114" s="364">
        <v>528130</v>
      </c>
      <c r="D114" s="587">
        <f>SUMIF(A$2:A114,A114,C$2:C114)</f>
        <v>528130</v>
      </c>
      <c r="E114" s="588">
        <f>IF(VLOOKUP(A114,合同台帐!$A$4:$K$195,7,1)&gt;0,VLOOKUP(A114,合同台帐!$A$4:$K$195,7,1)-D114,VLOOKUP(A114,合同台帐!$A$4:$F$195,6,1)-D114)</f>
        <v>220018</v>
      </c>
      <c r="F114" s="589" t="str">
        <f>VLOOKUP(A114,合同台帐!$A$4:$D$195,4,1)</f>
        <v>示范区强夯工程合同</v>
      </c>
      <c r="G114" s="589" t="str">
        <f>VLOOKUP(A114,合同台帐!$A$4:$E$195,5,1)</f>
        <v>天津华勘集团有限公司</v>
      </c>
      <c r="H114" s="590"/>
      <c r="I114" s="318" t="str">
        <f>IF(A114&lt;&gt;0,VLOOKUP(A114,合同台帐!$A$4:$C$893,3,0),"")</f>
        <v>建基</v>
      </c>
    </row>
    <row r="115" spans="1:9" s="627" customFormat="1" ht="15.75" customHeight="1">
      <c r="A115" s="312" t="s">
        <v>1110</v>
      </c>
      <c r="B115" s="620" t="s">
        <v>1676</v>
      </c>
      <c r="C115" s="621"/>
      <c r="D115" s="622">
        <f>SUMIF(A$2:A115,A115,C$2:C115)</f>
        <v>0</v>
      </c>
      <c r="E115" s="623">
        <f>IF(VLOOKUP(A115,合同台帐!$A$4:$K$195,7,1)&gt;0,VLOOKUP(A115,合同台帐!$A$4:$K$195,7,1)-D115,VLOOKUP(A115,合同台帐!$A$4:$F$195,6,1)-D115)</f>
        <v>0</v>
      </c>
      <c r="F115" s="624" t="str">
        <f>VLOOKUP(A115,合同台帐!$A$4:$D$195,4,1)</f>
        <v>一期工程在建工程（15个楼）房屋所有权登记费</v>
      </c>
      <c r="G115" s="624" t="str">
        <f>VLOOKUP(A115,合同台帐!$A$4:$E$195,5,1)</f>
        <v>天津市财政局</v>
      </c>
      <c r="H115" s="625"/>
      <c r="I115" s="626" t="str">
        <f>IF(A115&lt;&gt;0,VLOOKUP(A115,合同台帐!$A$4:$C$893,3,0),"")</f>
        <v>前其他</v>
      </c>
    </row>
    <row r="116" spans="1:9" s="627" customFormat="1" ht="15.75" customHeight="1">
      <c r="A116" s="312" t="s">
        <v>1115</v>
      </c>
      <c r="B116" s="620" t="s">
        <v>1676</v>
      </c>
      <c r="C116" s="621"/>
      <c r="D116" s="622">
        <f>SUMIF(A$2:A116,A116,C$2:C116)</f>
        <v>0</v>
      </c>
      <c r="E116" s="623">
        <f>IF(VLOOKUP(A116,合同台帐!$A$4:$K$195,7,1)&gt;0,VLOOKUP(A116,合同台帐!$A$4:$K$195,7,1)-D116,VLOOKUP(A116,合同台帐!$A$4:$F$195,6,1)-D116)</f>
        <v>0</v>
      </c>
      <c r="F116" s="624" t="str">
        <f>VLOOKUP(A116,合同台帐!$A$4:$D$195,4,1)</f>
        <v>蓟县在建工程保费</v>
      </c>
      <c r="G116" s="624" t="str">
        <f>VLOOKUP(A116,合同台帐!$A$4:$E$195,5,1)</f>
        <v>太平财产保险有限公司天津分公司</v>
      </c>
      <c r="H116" s="625"/>
      <c r="I116" s="626" t="str">
        <f>IF(A116&lt;&gt;0,VLOOKUP(A116,合同台帐!$A$4:$C$893,3,0),"")</f>
        <v>前其他</v>
      </c>
    </row>
    <row r="117" spans="1:9" s="591" customFormat="1" ht="15.75" customHeight="1">
      <c r="A117" s="378" t="s">
        <v>81</v>
      </c>
      <c r="B117" s="579" t="s">
        <v>1677</v>
      </c>
      <c r="C117" s="364">
        <v>135000</v>
      </c>
      <c r="D117" s="587">
        <f>SUMIF(A$2:A117,A117,C$2:C117)</f>
        <v>135000</v>
      </c>
      <c r="E117" s="588">
        <f>IF(VLOOKUP(A117,合同台帐!$A$4:$K$195,7,1)&gt;0,VLOOKUP(A117,合同台帐!$A$4:$K$195,7,1)-D117,VLOOKUP(A117,合同台帐!$A$4:$F$195,6,1)-D117)</f>
        <v>315000</v>
      </c>
      <c r="F117" s="589" t="str">
        <f>VLOOKUP(A117,合同台帐!$A$4:$D$195,4,1)</f>
        <v>区内外挡土墙及边坡支护设计合同</v>
      </c>
      <c r="G117" s="589" t="str">
        <f>VLOOKUP(A117,合同台帐!$A$4:$E$195,5,1)</f>
        <v>天津华北工程勘察设计有限公司</v>
      </c>
      <c r="H117" s="590"/>
      <c r="I117" s="318" t="str">
        <f>IF(A117&lt;&gt;0,VLOOKUP(A117,合同台帐!$A$4:$C$893,3,0),"")</f>
        <v>前设其</v>
      </c>
    </row>
    <row r="118" spans="1:9" s="591" customFormat="1" ht="15.75" customHeight="1">
      <c r="A118" s="378" t="s">
        <v>82</v>
      </c>
      <c r="B118" s="579" t="s">
        <v>1677</v>
      </c>
      <c r="C118" s="364">
        <v>300000</v>
      </c>
      <c r="D118" s="587">
        <f>SUMIF(A$2:A118,A118,C$2:C118)</f>
        <v>300000</v>
      </c>
      <c r="E118" s="588">
        <f>IF(VLOOKUP(A118,合同台帐!$A$4:$K$195,7,1)&gt;0,VLOOKUP(A118,合同台帐!$A$4:$K$195,7,1)-D118,VLOOKUP(A118,合同台帐!$A$4:$F$195,6,1)-D118)</f>
        <v>2800000</v>
      </c>
      <c r="F118" s="589" t="str">
        <f>VLOOKUP(A118,合同台帐!$A$4:$D$195,4,1)</f>
        <v>界外地景观</v>
      </c>
      <c r="G118" s="589" t="str">
        <f>VLOOKUP(A118,合同台帐!$A$4:$E$195,5,1)</f>
        <v>天津兰苑绿化工程有限公司</v>
      </c>
      <c r="H118" s="590"/>
      <c r="I118" s="318" t="str">
        <f>IF(A118&lt;&gt;0,VLOOKUP(A118,合同台帐!$A$4:$C$893,3,0),"")</f>
        <v>建环外</v>
      </c>
    </row>
    <row r="119" spans="1:9" s="591" customFormat="1" ht="15.75" customHeight="1">
      <c r="A119" s="378" t="s">
        <v>76</v>
      </c>
      <c r="B119" s="579" t="s">
        <v>1678</v>
      </c>
      <c r="C119" s="364">
        <v>257125.7</v>
      </c>
      <c r="D119" s="587">
        <f>SUMIF(A$2:A119,A119,C$2:C119)</f>
        <v>385687.7</v>
      </c>
      <c r="E119" s="588">
        <f>IF(VLOOKUP(A119,合同台帐!$A$4:$K$195,7,1)&gt;0,VLOOKUP(A119,合同台帐!$A$4:$K$195,7,1)-D119,VLOOKUP(A119,合同台帐!$A$4:$F$195,6,1)-D119)</f>
        <v>2185569.2999999998</v>
      </c>
      <c r="F119" s="589" t="str">
        <f>VLOOKUP(A119,合同台帐!$A$4:$D$195,4,1)</f>
        <v>监理工程</v>
      </c>
      <c r="G119" s="589" t="str">
        <f>VLOOKUP(A119,合同台帐!$A$4:$E$195,5,1)</f>
        <v>天津市环外监理有限公司</v>
      </c>
      <c r="H119" s="590"/>
      <c r="I119" s="318" t="str">
        <f>IF(A119&lt;&gt;0,VLOOKUP(A119,合同台帐!$A$4:$C$893,3,0),"")</f>
        <v>建监</v>
      </c>
    </row>
    <row r="120" spans="1:9" s="591" customFormat="1" ht="15.75" customHeight="1">
      <c r="A120" s="378" t="s">
        <v>77</v>
      </c>
      <c r="B120" s="579" t="s">
        <v>1677</v>
      </c>
      <c r="C120" s="364">
        <v>2000000</v>
      </c>
      <c r="D120" s="587">
        <f>SUMIF(A$2:A120,A120,C$2:C120)</f>
        <v>13450000</v>
      </c>
      <c r="E120" s="588">
        <f>IF(VLOOKUP(A120,合同台帐!$A$4:$K$195,7,1)&gt;0,VLOOKUP(A120,合同台帐!$A$4:$K$195,7,1)-D120,VLOOKUP(A120,合同台帐!$A$4:$F$195,6,1)-D120)</f>
        <v>96550000</v>
      </c>
      <c r="F120" s="589" t="str">
        <f>VLOOKUP(A120,合同台帐!$A$4:$D$195,4,1)</f>
        <v>总包一期工程</v>
      </c>
      <c r="G120" s="589" t="str">
        <f>VLOOKUP(A120,合同台帐!$A$4:$E$195,5,1)</f>
        <v>天津泉州建设工程集团有限公司</v>
      </c>
      <c r="H120" s="590"/>
      <c r="I120" s="318">
        <f>IF(A120&lt;&gt;0,VLOOKUP(A120,合同台帐!$A$4:$C$893,3,0),"")</f>
        <v>0</v>
      </c>
    </row>
    <row r="121" spans="1:9" s="591" customFormat="1" ht="15.75" customHeight="1">
      <c r="A121" s="378" t="s">
        <v>15</v>
      </c>
      <c r="B121" s="579" t="s">
        <v>1678</v>
      </c>
      <c r="C121" s="364">
        <v>450000</v>
      </c>
      <c r="D121" s="587">
        <f>SUMIF(A$2:A121,A121,C$2:C121)</f>
        <v>5727629</v>
      </c>
      <c r="E121" s="588">
        <f>IF(VLOOKUP(A121,合同台帐!$A$4:$K$195,7,1)&gt;0,VLOOKUP(A121,合同台帐!$A$4:$K$195,7,1)-D121,VLOOKUP(A121,合同台帐!$A$4:$F$195,6,1)-D121)</f>
        <v>2072371</v>
      </c>
      <c r="F121" s="589" t="str">
        <f>VLOOKUP(A121,合同台帐!$A$4:$D$195,4,1)</f>
        <v>建筑方案及施工图设计合同</v>
      </c>
      <c r="G121" s="589" t="str">
        <f>VLOOKUP(A121,合同台帐!$A$4:$E$195,5,1)</f>
        <v>北京新纪元建筑工程设计有限公司</v>
      </c>
      <c r="H121" s="590"/>
      <c r="I121" s="318" t="str">
        <f>IF(A121&lt;&gt;0,VLOOKUP(A121,合同台帐!$A$4:$C$893,3,0),"")</f>
        <v>前设设</v>
      </c>
    </row>
    <row r="122" spans="1:9" s="591" customFormat="1" ht="15.75" customHeight="1">
      <c r="A122" s="378" t="s">
        <v>83</v>
      </c>
      <c r="B122" s="579" t="s">
        <v>1678</v>
      </c>
      <c r="C122" s="364">
        <v>1033890</v>
      </c>
      <c r="D122" s="587">
        <f>SUMIF(A$2:A122,A122,C$2:C122)</f>
        <v>1033890</v>
      </c>
      <c r="E122" s="588">
        <f>IF(VLOOKUP(A122,合同台帐!$A$4:$K$195,7,1)&gt;0,VLOOKUP(A122,合同台帐!$A$4:$K$195,7,1)-D122,VLOOKUP(A122,合同台帐!$A$4:$F$195,6,1)-D122)</f>
        <v>2104596</v>
      </c>
      <c r="F122" s="589" t="str">
        <f>VLOOKUP(A122,合同台帐!$A$4:$D$195,4,1)</f>
        <v>挡土墙施工合同（重签）</v>
      </c>
      <c r="G122" s="589" t="str">
        <f>VLOOKUP(A122,合同台帐!$A$4:$E$195,5,1)</f>
        <v>天津市蓟县宏拓建筑有限公司</v>
      </c>
      <c r="H122" s="590"/>
      <c r="I122" s="318" t="str">
        <f>IF(A122&lt;&gt;0,VLOOKUP(A122,合同台帐!$A$4:$C$893,3,0),"")</f>
        <v>建环外</v>
      </c>
    </row>
    <row r="123" spans="1:9" s="591" customFormat="1" ht="15.75" customHeight="1">
      <c r="A123" s="378" t="s">
        <v>1232</v>
      </c>
      <c r="B123" s="579" t="s">
        <v>1678</v>
      </c>
      <c r="C123" s="364">
        <v>37738</v>
      </c>
      <c r="D123" s="587">
        <f>SUMIF(A$2:A123,A123,C$2:C123)</f>
        <v>37738</v>
      </c>
      <c r="E123" s="588">
        <f>IF(VLOOKUP(A123,合同台帐!$A$4:$K$195,7,1)&gt;0,VLOOKUP(A123,合同台帐!$A$4:$K$195,7,1)-D123,VLOOKUP(A123,合同台帐!$A$4:$F$195,6,1)-D123)</f>
        <v>0</v>
      </c>
      <c r="F123" s="589" t="str">
        <f>VLOOKUP(A123,合同台帐!$A$4:$D$195,4,1)</f>
        <v>二期放线、检线报告</v>
      </c>
      <c r="G123" s="589" t="str">
        <f>VLOOKUP(A123,合同台帐!$A$4:$E$195,5,1)</f>
        <v>天津市蓟县测绘队</v>
      </c>
      <c r="H123" s="590"/>
      <c r="I123" s="318" t="str">
        <f>IF(A123&lt;&gt;0,VLOOKUP(A123,合同台帐!$A$4:$C$893,3,0),"")</f>
        <v>建定测</v>
      </c>
    </row>
    <row r="124" spans="1:9" s="591" customFormat="1" ht="15.75" customHeight="1">
      <c r="A124" s="378" t="s">
        <v>84</v>
      </c>
      <c r="B124" s="579" t="s">
        <v>1679</v>
      </c>
      <c r="C124" s="364">
        <v>137300</v>
      </c>
      <c r="D124" s="587">
        <f>SUMIF(A$2:A124,A124,C$2:C124)</f>
        <v>137300</v>
      </c>
      <c r="E124" s="588">
        <f>IF(VLOOKUP(A124,合同台帐!$A$4:$K$195,7,1)&gt;0,VLOOKUP(A124,合同台帐!$A$4:$K$195,7,1)-D124,VLOOKUP(A124,合同台帐!$A$4:$F$195,6,1)-D124)</f>
        <v>210500</v>
      </c>
      <c r="F124" s="589" t="str">
        <f>VLOOKUP(A124,合同台帐!$A$4:$D$195,4,1)</f>
        <v>综合管网（给水、中水、雨水、污水配套工程设计）（施工图）</v>
      </c>
      <c r="G124" s="589" t="str">
        <f>VLOOKUP(A124,合同台帐!$A$4:$E$195,5,1)</f>
        <v>天津华夏建筑设计有限公司</v>
      </c>
      <c r="H124" s="590"/>
      <c r="I124" s="318" t="str">
        <f>IF(A124&lt;&gt;0,VLOOKUP(A124,合同台帐!$A$4:$C$893,3,0),"")</f>
        <v>前设</v>
      </c>
    </row>
    <row r="125" spans="1:9" s="591" customFormat="1" ht="15.75" customHeight="1">
      <c r="A125" s="378" t="s">
        <v>72</v>
      </c>
      <c r="B125" s="579" t="s">
        <v>1678</v>
      </c>
      <c r="C125" s="364">
        <v>245000</v>
      </c>
      <c r="D125" s="587">
        <f>SUMIF(A$2:A125,A125,C$2:C125)</f>
        <v>630000</v>
      </c>
      <c r="E125" s="588">
        <f>IF(VLOOKUP(A125,合同台帐!$A$4:$K$195,7,1)&gt;0,VLOOKUP(A125,合同台帐!$A$4:$K$195,7,1)-D125,VLOOKUP(A125,合同台帐!$A$4:$F$195,6,1)-D125)</f>
        <v>107340</v>
      </c>
      <c r="F125" s="589" t="str">
        <f>VLOOKUP(A125,合同台帐!$A$4:$D$195,4,1)</f>
        <v>售楼处样板间精装设计合同</v>
      </c>
      <c r="G125" s="589" t="str">
        <f>VLOOKUP(A125,合同台帐!$A$4:$E$195,5,1)</f>
        <v>北京米罗那装饰设计有限公司</v>
      </c>
      <c r="H125" s="590"/>
      <c r="I125" s="318" t="str">
        <f>IF(A125&lt;&gt;0,VLOOKUP(A125,合同台帐!$A$4:$C$893,3,0),"")</f>
        <v>前设</v>
      </c>
    </row>
    <row r="126" spans="1:9" s="591" customFormat="1" ht="15.75" customHeight="1">
      <c r="A126" s="378" t="s">
        <v>1277</v>
      </c>
      <c r="B126" s="579" t="s">
        <v>1680</v>
      </c>
      <c r="C126" s="364">
        <v>507870</v>
      </c>
      <c r="D126" s="587">
        <f>SUMIF(A$2:A126,A126,C$2:C126)</f>
        <v>507870</v>
      </c>
      <c r="E126" s="588">
        <f>IF(VLOOKUP(A126,合同台帐!$A$4:$K$195,7,1)&gt;0,VLOOKUP(A126,合同台帐!$A$4:$K$195,7,1)-D126,VLOOKUP(A126,合同台帐!$A$4:$F$195,6,1)-D126)</f>
        <v>460080</v>
      </c>
      <c r="F126" s="589" t="str">
        <f>VLOOKUP(A126,合同台帐!$A$4:$D$195,4,1)</f>
        <v>一期强夯工程补充合同</v>
      </c>
      <c r="G126" s="589" t="str">
        <f>VLOOKUP(A126,合同台帐!$A$4:$E$195,5,1)</f>
        <v>天津华勘集团有限公司</v>
      </c>
      <c r="H126" s="590"/>
      <c r="I126" s="318" t="str">
        <f>IF(A126&lt;&gt;0,VLOOKUP(A126,合同台帐!$A$4:$C$893,3,0),"")</f>
        <v>建基</v>
      </c>
    </row>
    <row r="127" spans="1:9" s="591" customFormat="1" ht="15.75" customHeight="1">
      <c r="A127" s="378" t="s">
        <v>77</v>
      </c>
      <c r="B127" s="579" t="s">
        <v>1116</v>
      </c>
      <c r="C127" s="364">
        <v>1000000</v>
      </c>
      <c r="D127" s="587">
        <f>SUMIF(A$2:A127,A127,C$2:C127)</f>
        <v>14450000</v>
      </c>
      <c r="E127" s="588">
        <f>IF(VLOOKUP(A127,合同台帐!$A$4:$K$195,7,1)&gt;0,VLOOKUP(A127,合同台帐!$A$4:$K$195,7,1)-D127,VLOOKUP(A127,合同台帐!$A$4:$F$195,6,1)-D127)</f>
        <v>95550000</v>
      </c>
      <c r="F127" s="589" t="str">
        <f>VLOOKUP(A127,合同台帐!$A$4:$D$195,4,1)</f>
        <v>总包一期工程</v>
      </c>
      <c r="G127" s="589" t="str">
        <f>VLOOKUP(A127,合同台帐!$A$4:$E$195,5,1)</f>
        <v>天津泉州建设工程集团有限公司</v>
      </c>
      <c r="H127" s="590"/>
      <c r="I127" s="318">
        <f>IF(A127&lt;&gt;0,VLOOKUP(A127,合同台帐!$A$4:$C$893,3,0),"")</f>
        <v>0</v>
      </c>
    </row>
    <row r="128" spans="1:9" s="591" customFormat="1" ht="15.75" customHeight="1">
      <c r="A128" s="378" t="s">
        <v>85</v>
      </c>
      <c r="B128" s="579" t="s">
        <v>1223</v>
      </c>
      <c r="C128" s="364">
        <v>9381</v>
      </c>
      <c r="D128" s="587">
        <f>SUMIF(A$2:A128,A128,C$2:C128)</f>
        <v>9381</v>
      </c>
      <c r="E128" s="588">
        <f>IF(VLOOKUP(A128,合同台帐!$A$4:$K$195,7,1)&gt;0,VLOOKUP(A128,合同台帐!$A$4:$K$195,7,1)-D128,VLOOKUP(A128,合同台帐!$A$4:$F$195,6,1)-D128)</f>
        <v>0</v>
      </c>
      <c r="F128" s="589" t="str">
        <f>VLOOKUP(A128,合同台帐!$A$4:$D$195,4,1)</f>
        <v>一期施工图审查变更补充协议</v>
      </c>
      <c r="G128" s="589" t="str">
        <f>VLOOKUP(A128,合同台帐!$A$4:$E$195,5,1)</f>
        <v>天津华苑建筑工程咨询有限公司</v>
      </c>
      <c r="H128" s="590"/>
      <c r="I128" s="318" t="str">
        <f>IF(A128&lt;&gt;0,VLOOKUP(A128,合同台帐!$A$4:$C$893,3,0),"")</f>
        <v>前设审</v>
      </c>
    </row>
    <row r="129" spans="1:9" s="605" customFormat="1" ht="15.75" customHeight="1">
      <c r="A129" s="313" t="s">
        <v>1313</v>
      </c>
      <c r="B129" s="599" t="s">
        <v>1681</v>
      </c>
      <c r="C129" s="600">
        <v>0</v>
      </c>
      <c r="D129" s="587">
        <f>SUMIF(A$2:A129,A129,C$2:C129)</f>
        <v>0</v>
      </c>
      <c r="E129" s="601">
        <f>IF(VLOOKUP(A129,合同台帐!$A$4:$K$195,7,1)&gt;0,VLOOKUP(A129,合同台帐!$A$4:$K$195,7,1)-D129,VLOOKUP(A129,合同台帐!$A$4:$F$195,6,1)-D129)</f>
        <v>0</v>
      </c>
      <c r="F129" s="602" t="str">
        <f>VLOOKUP(A129,合同台帐!$A$4:$D$195,4,1)</f>
        <v>农民工资预储工资</v>
      </c>
      <c r="G129" s="602" t="str">
        <f>VLOOKUP(A129,合同台帐!$A$4:$E$195,5,1)</f>
        <v>蓟县建设管理委员会</v>
      </c>
      <c r="H129" s="603" t="s">
        <v>1622</v>
      </c>
      <c r="I129" s="604" t="str">
        <f>IF(A129&lt;&gt;0,VLOOKUP(A129,合同台帐!$A$4:$C$893,3,0),"")</f>
        <v>前</v>
      </c>
    </row>
    <row r="130" spans="1:9" s="591" customFormat="1" ht="15.75" customHeight="1">
      <c r="A130" s="378" t="s">
        <v>36</v>
      </c>
      <c r="B130" s="579" t="s">
        <v>1682</v>
      </c>
      <c r="C130" s="573">
        <v>89400</v>
      </c>
      <c r="D130" s="587">
        <f>SUMIF(A$2:A130,A130,C$2:C130)</f>
        <v>238650</v>
      </c>
      <c r="E130" s="588">
        <f>IF(VLOOKUP(A130,合同台帐!$A$4:$K$195,7,1)&gt;0,VLOOKUP(A130,合同台帐!$A$4:$K$195,7,1)-D130,VLOOKUP(A130,合同台帐!$A$4:$F$195,6,1)-D130)</f>
        <v>211030</v>
      </c>
      <c r="F130" s="589" t="str">
        <f>VLOOKUP(A130,合同台帐!$A$4:$D$195,4,1)</f>
        <v>地库及人防设计合同</v>
      </c>
      <c r="G130" s="589" t="str">
        <f>VLOOKUP(A130,合同台帐!$A$4:$E$195,5,1)</f>
        <v>天津冶金规划设计院</v>
      </c>
      <c r="H130" s="590"/>
      <c r="I130" s="318" t="str">
        <f>IF(A130&lt;&gt;0,VLOOKUP(A130,合同台帐!$A$4:$C$893,3,0),"")</f>
        <v>前设其</v>
      </c>
    </row>
    <row r="131" spans="1:9" s="591" customFormat="1" ht="15.75" customHeight="1">
      <c r="A131" s="378" t="s">
        <v>86</v>
      </c>
      <c r="B131" s="579" t="s">
        <v>1683</v>
      </c>
      <c r="C131" s="573">
        <v>20000</v>
      </c>
      <c r="D131" s="587">
        <f>SUMIF(A$2:A131,A131,C$2:C131)</f>
        <v>20000</v>
      </c>
      <c r="E131" s="588">
        <f>IF(VLOOKUP(A131,合同台帐!$A$4:$K$195,7,1)&gt;0,VLOOKUP(A131,合同台帐!$A$4:$K$195,7,1)-D131,VLOOKUP(A131,合同台帐!$A$4:$F$195,6,1)-D131)</f>
        <v>0</v>
      </c>
      <c r="F131" s="589" t="str">
        <f>VLOOKUP(A131,合同台帐!$A$4:$D$195,4,1)</f>
        <v>配电站电力设计费</v>
      </c>
      <c r="G131" s="589" t="str">
        <f>VLOOKUP(A131,合同台帐!$A$4:$E$195,5,1)</f>
        <v>天津市龙宇达电力工程设计有限公司</v>
      </c>
      <c r="H131" s="590"/>
      <c r="I131" s="318" t="str">
        <f>IF(A131&lt;&gt;0,VLOOKUP(A131,合同台帐!$A$4:$C$893,3,0),"")</f>
        <v>基电箱</v>
      </c>
    </row>
    <row r="132" spans="1:9" s="591" customFormat="1" ht="15.75" customHeight="1">
      <c r="A132" s="378" t="s">
        <v>87</v>
      </c>
      <c r="B132" s="579" t="s">
        <v>1682</v>
      </c>
      <c r="C132" s="573">
        <v>500000</v>
      </c>
      <c r="D132" s="587">
        <f>SUMIF(A$2:A132,A132,C$2:C132)</f>
        <v>500000</v>
      </c>
      <c r="E132" s="588">
        <f>IF(VLOOKUP(A132,合同台帐!$A$4:$K$195,7,1)&gt;0,VLOOKUP(A132,合同台帐!$A$4:$K$195,7,1)-D132,VLOOKUP(A132,合同台帐!$A$4:$F$195,6,1)-D132)</f>
        <v>2173069.73</v>
      </c>
      <c r="F132" s="589" t="str">
        <f>VLOOKUP(A132,合同台帐!$A$4:$D$195,4,1)</f>
        <v>供用热协议书（二次管网）</v>
      </c>
      <c r="G132" s="589" t="str">
        <f>VLOOKUP(A132,合同台帐!$A$4:$E$195,5,1)</f>
        <v>蓟县鑫泰物业管理有限公司</v>
      </c>
      <c r="H132" s="590"/>
      <c r="I132" s="318" t="str">
        <f>IF(A132&lt;&gt;0,VLOOKUP(A132,合同台帐!$A$4:$C$893,3,0),"")</f>
        <v>基热内</v>
      </c>
    </row>
    <row r="133" spans="1:9" s="591" customFormat="1" ht="15.75" customHeight="1">
      <c r="A133" s="378" t="s">
        <v>88</v>
      </c>
      <c r="B133" s="579" t="s">
        <v>1682</v>
      </c>
      <c r="C133" s="573">
        <v>400000</v>
      </c>
      <c r="D133" s="587">
        <f>SUMIF(A$2:A133,A133,C$2:C133)</f>
        <v>400000</v>
      </c>
      <c r="E133" s="588">
        <f>IF(VLOOKUP(A133,合同台帐!$A$4:$K$195,7,1)&gt;0,VLOOKUP(A133,合同台帐!$A$4:$K$195,7,1)-D133,VLOOKUP(A133,合同台帐!$A$4:$F$195,6,1)-D133)</f>
        <v>5300000</v>
      </c>
      <c r="F133" s="589" t="str">
        <f>VLOOKUP(A133,合同台帐!$A$4:$D$195,4,1)</f>
        <v>一期中水、自来水配套工程（含中水一次网，中水、自来水二次网，中水、自来水水表，室外消火栓、消防防险准备金）</v>
      </c>
      <c r="G133" s="589" t="str">
        <f>VLOOKUP(A133,合同台帐!$A$4:$E$195,5,1)</f>
        <v>蓟县自来水管理所</v>
      </c>
      <c r="H133" s="590"/>
      <c r="I133" s="318" t="str">
        <f>IF(A133&lt;&gt;0,VLOOKUP(A133,合同台帐!$A$4:$C$893,3,0),"")</f>
        <v>基水</v>
      </c>
    </row>
    <row r="134" spans="1:9" s="613" customFormat="1" ht="15.75" customHeight="1">
      <c r="A134" s="606" t="s">
        <v>77</v>
      </c>
      <c r="B134" s="607" t="s">
        <v>1684</v>
      </c>
      <c r="C134" s="608">
        <v>2710000</v>
      </c>
      <c r="D134" s="587">
        <f>SUMIF(A$2:A134,A134,C$2:C134)</f>
        <v>17160000</v>
      </c>
      <c r="E134" s="609">
        <f>IF(VLOOKUP(A134,合同台帐!$A$4:$K$195,7,1)&gt;0,VLOOKUP(A134,合同台帐!$A$4:$K$195,7,1)-D134,VLOOKUP(A134,合同台帐!$A$4:$F$195,6,1)-D134)</f>
        <v>92840000</v>
      </c>
      <c r="F134" s="610" t="str">
        <f>VLOOKUP(A134,合同台帐!$A$4:$D$195,4,1)</f>
        <v>总包一期工程</v>
      </c>
      <c r="G134" s="610" t="str">
        <f>VLOOKUP(A134,合同台帐!$A$4:$E$195,5,1)</f>
        <v>天津泉州建设工程集团有限公司</v>
      </c>
      <c r="H134" s="611"/>
      <c r="I134" s="612">
        <f>IF(A134&lt;&gt;0,VLOOKUP(A134,合同台帐!$A$4:$C$893,3,0),"")</f>
        <v>0</v>
      </c>
    </row>
    <row r="135" spans="1:9" s="591" customFormat="1" ht="15.75" customHeight="1">
      <c r="A135" s="378" t="s">
        <v>89</v>
      </c>
      <c r="B135" s="579" t="s">
        <v>1685</v>
      </c>
      <c r="C135" s="573">
        <v>650000</v>
      </c>
      <c r="D135" s="587">
        <f>SUMIF(A$2:A135,A135,C$2:C135)</f>
        <v>650000</v>
      </c>
      <c r="E135" s="588">
        <f>IF(VLOOKUP(A135,合同台帐!$A$4:$K$195,7,1)&gt;0,VLOOKUP(A135,合同台帐!$A$4:$K$195,7,1)-D135,VLOOKUP(A135,合同台帐!$A$4:$F$195,6,1)-D135)</f>
        <v>1238940.46</v>
      </c>
      <c r="F135" s="589" t="str">
        <f>VLOOKUP(A135,合同台帐!$A$4:$D$195,4,1)</f>
        <v>一期自来水配套工程</v>
      </c>
      <c r="G135" s="589" t="str">
        <f>VLOOKUP(A135,合同台帐!$A$4:$E$195,5,1)</f>
        <v>天津市蓟县节约用水事务管理中心</v>
      </c>
      <c r="H135" s="590"/>
      <c r="I135" s="318" t="str">
        <f>IF(A135&lt;&gt;0,VLOOKUP(A135,合同台帐!$A$4:$C$893,3,0),"")</f>
        <v>基中水</v>
      </c>
    </row>
    <row r="136" spans="1:9" s="591" customFormat="1" ht="15.75" customHeight="1">
      <c r="A136" s="378" t="s">
        <v>90</v>
      </c>
      <c r="B136" s="579" t="s">
        <v>1686</v>
      </c>
      <c r="C136" s="573">
        <v>899986</v>
      </c>
      <c r="D136" s="587">
        <f>SUMIF(A$2:A136,A136,C$2:C136)</f>
        <v>899986</v>
      </c>
      <c r="E136" s="588">
        <f>IF(VLOOKUP(A136,合同台帐!$A$4:$K$195,7,1)&gt;0,VLOOKUP(A136,合同台帐!$A$4:$K$195,7,1)-D136,VLOOKUP(A136,合同台帐!$A$4:$F$195,6,1)-D136)</f>
        <v>2239744</v>
      </c>
      <c r="F136" s="589" t="str">
        <f>VLOOKUP(A136,合同台帐!$A$4:$D$195,4,1)</f>
        <v>一期排水配套工程</v>
      </c>
      <c r="G136" s="589" t="str">
        <f>VLOOKUP(A136,合同台帐!$A$4:$E$195,5,1)</f>
        <v>天津市蓟县节约用水事务管理中心</v>
      </c>
      <c r="H136" s="590"/>
      <c r="I136" s="318" t="str">
        <f>IF(A136&lt;&gt;0,VLOOKUP(A136,合同台帐!$A$4:$C$893,3,0),"")</f>
        <v>基排工</v>
      </c>
    </row>
    <row r="137" spans="1:9" s="591" customFormat="1" ht="15.75" customHeight="1">
      <c r="A137" s="378" t="s">
        <v>91</v>
      </c>
      <c r="B137" s="579" t="s">
        <v>1169</v>
      </c>
      <c r="C137" s="573">
        <v>124163</v>
      </c>
      <c r="D137" s="587">
        <f>SUMIF(A$2:A137,A137,C$2:C137)</f>
        <v>124163</v>
      </c>
      <c r="E137" s="588">
        <f>IF(VLOOKUP(A137,合同台帐!$A$4:$K$195,7,1)&gt;0,VLOOKUP(A137,合同台帐!$A$4:$K$195,7,1)-D137,VLOOKUP(A137,合同台帐!$A$4:$F$195,6,1)-D137)</f>
        <v>0</v>
      </c>
      <c r="F137" s="589" t="str">
        <f>VLOOKUP(A137,合同台帐!$A$4:$D$195,4,1)</f>
        <v>二、三期图审合同</v>
      </c>
      <c r="G137" s="589" t="str">
        <f>VLOOKUP(A137,合同台帐!$A$4:$E$195,5,1)</f>
        <v>天津华苑建筑工程咨询有限公司</v>
      </c>
      <c r="H137" s="590"/>
      <c r="I137" s="318" t="str">
        <f>IF(A137&lt;&gt;0,VLOOKUP(A137,合同台帐!$A$4:$C$893,3,0),"")</f>
        <v>前设审</v>
      </c>
    </row>
    <row r="138" spans="1:9" s="591" customFormat="1" ht="15.75" customHeight="1">
      <c r="A138" s="378" t="s">
        <v>92</v>
      </c>
      <c r="B138" s="579" t="s">
        <v>1169</v>
      </c>
      <c r="C138" s="573">
        <v>323977.5</v>
      </c>
      <c r="D138" s="587">
        <f>SUMIF(A$2:A138,A138,C$2:C138)</f>
        <v>323977.5</v>
      </c>
      <c r="E138" s="588">
        <f>IF(VLOOKUP(A138,合同台帐!$A$4:$K$195,7,1)&gt;0,VLOOKUP(A138,合同台帐!$A$4:$K$195,7,1)-D138,VLOOKUP(A138,合同台帐!$A$4:$F$195,6,1)-D138)</f>
        <v>323977.5</v>
      </c>
      <c r="F138" s="589" t="str">
        <f>VLOOKUP(A138,合同台帐!$A$4:$D$195,4,1)</f>
        <v>一期电力配套费（泵房、供热站动力负荷）</v>
      </c>
      <c r="G138" s="589" t="str">
        <f>VLOOKUP(A138,合同台帐!$A$4:$E$195,5,1)</f>
        <v>天津市电力公司蓟县分公司</v>
      </c>
      <c r="H138" s="590"/>
      <c r="I138" s="318" t="str">
        <f>IF(A138&lt;&gt;0,VLOOKUP(A138,合同台帐!$A$4:$C$893,3,0),"")</f>
        <v>基电工</v>
      </c>
    </row>
    <row r="139" spans="1:9" s="591" customFormat="1" ht="15.75" customHeight="1">
      <c r="A139" s="378" t="s">
        <v>1394</v>
      </c>
      <c r="B139" s="579" t="s">
        <v>1687</v>
      </c>
      <c r="C139" s="364">
        <v>1500000</v>
      </c>
      <c r="D139" s="587">
        <f>SUMIF(A$2:A139,A139,C$2:C139)</f>
        <v>1500000</v>
      </c>
      <c r="E139" s="588">
        <f>IF(VLOOKUP(A139,合同台帐!$A$4:$K$195,7,1)&gt;0,VLOOKUP(A139,合同台帐!$A$4:$K$195,7,1)-D139,VLOOKUP(A139,合同台帐!$A$4:$F$195,6,1)-D139)</f>
        <v>21094696</v>
      </c>
      <c r="F139" s="589" t="str">
        <f>VLOOKUP(A139,合同台帐!$A$4:$D$195,4,1)</f>
        <v>一期保温涂料线条线角</v>
      </c>
      <c r="G139" s="589" t="str">
        <f>VLOOKUP(A139,合同台帐!$A$4:$E$195,5,1)</f>
        <v>天津万通达建筑工程有限公司</v>
      </c>
      <c r="H139" s="590"/>
      <c r="I139" s="318" t="str">
        <f>IF(A139&lt;&gt;0,VLOOKUP(A139,合同台帐!$A$4:$C$893,3,0),"")</f>
        <v>建主</v>
      </c>
    </row>
    <row r="140" spans="1:9" s="591" customFormat="1" ht="15.75" customHeight="1">
      <c r="A140" s="378" t="s">
        <v>1366</v>
      </c>
      <c r="B140" s="579" t="s">
        <v>1687</v>
      </c>
      <c r="C140" s="364">
        <v>277458</v>
      </c>
      <c r="D140" s="587">
        <f>SUMIF(A$2:A140,A140,C$2:C140)</f>
        <v>277458</v>
      </c>
      <c r="E140" s="588">
        <f>IF(VLOOKUP(A140,合同台帐!$A$4:$K$195,7,1)&gt;0,VLOOKUP(A140,合同台帐!$A$4:$K$195,7,1)-D140,VLOOKUP(A140,合同台帐!$A$4:$F$195,6,1)-D140)</f>
        <v>6523929</v>
      </c>
      <c r="F140" s="589" t="str">
        <f>VLOOKUP(A140,合同台帐!$A$4:$D$195,4,1)</f>
        <v>一期断桥铝合金门窗安装</v>
      </c>
      <c r="G140" s="589" t="str">
        <f>VLOOKUP(A140,合同台帐!$A$4:$E$195,5,1)</f>
        <v>天津江胜建筑工程有限公司</v>
      </c>
      <c r="H140" s="590"/>
      <c r="I140" s="318" t="str">
        <f>IF(A140&lt;&gt;0,VLOOKUP(A140,合同台帐!$A$4:$C$893,3,0),"")</f>
        <v>建主</v>
      </c>
    </row>
    <row r="141" spans="1:9" s="591" customFormat="1" ht="15.75" customHeight="1">
      <c r="A141" s="378" t="s">
        <v>1348</v>
      </c>
      <c r="B141" s="579" t="s">
        <v>1687</v>
      </c>
      <c r="C141" s="364">
        <v>200000</v>
      </c>
      <c r="D141" s="587">
        <f>SUMIF(A$2:A141,A141,C$2:C141)</f>
        <v>200000</v>
      </c>
      <c r="E141" s="588">
        <f>IF(VLOOKUP(A141,合同台帐!$A$4:$K$195,7,1)&gt;0,VLOOKUP(A141,合同台帐!$A$4:$K$195,7,1)-D141,VLOOKUP(A141,合同台帐!$A$4:$F$195,6,1)-D141)</f>
        <v>1850000</v>
      </c>
      <c r="F141" s="589" t="str">
        <f>VLOOKUP(A141,合同台帐!$A$4:$D$195,4,1)</f>
        <v>一期配电箱采购合同（含电表箱）</v>
      </c>
      <c r="G141" s="589" t="str">
        <f>VLOOKUP(A141,合同台帐!$A$4:$E$195,5,1)</f>
        <v>天津市隆裕电器有限公司</v>
      </c>
      <c r="H141" s="590"/>
      <c r="I141" s="318" t="str">
        <f>IF(A141&lt;&gt;0,VLOOKUP(A141,合同台帐!$A$4:$C$893,3,0),"")</f>
        <v>建主</v>
      </c>
    </row>
    <row r="142" spans="1:9" s="591" customFormat="1" ht="15.75" customHeight="1">
      <c r="A142" s="378" t="s">
        <v>93</v>
      </c>
      <c r="B142" s="579" t="s">
        <v>1688</v>
      </c>
      <c r="C142" s="364">
        <v>70000</v>
      </c>
      <c r="D142" s="587">
        <f>SUMIF(A$2:A142,A142,C$2:C142)</f>
        <v>70000</v>
      </c>
      <c r="E142" s="588">
        <f>IF(VLOOKUP(A142,合同台帐!$A$4:$K$195,7,1)&gt;0,VLOOKUP(A142,合同台帐!$A$4:$K$195,7,1)-D142,VLOOKUP(A142,合同台帐!$A$4:$F$195,6,1)-D142)</f>
        <v>100000</v>
      </c>
      <c r="F142" s="589" t="str">
        <f>VLOOKUP(A142,合同台帐!$A$4:$D$195,4,1)</f>
        <v>一期排水配套工程挖土方</v>
      </c>
      <c r="G142" s="589" t="str">
        <f>VLOOKUP(A142,合同台帐!$A$4:$E$195,5,1)</f>
        <v>天津聚宝龙投资有限公司</v>
      </c>
      <c r="H142" s="590"/>
      <c r="I142" s="318" t="str">
        <f>IF(A142&lt;&gt;0,VLOOKUP(A142,合同台帐!$A$4:$C$893,3,0),"")</f>
        <v>基排工</v>
      </c>
    </row>
    <row r="143" spans="1:9" s="591" customFormat="1" ht="15.75" customHeight="1">
      <c r="A143" s="378" t="s">
        <v>94</v>
      </c>
      <c r="B143" s="579" t="s">
        <v>1688</v>
      </c>
      <c r="C143" s="364">
        <v>70000</v>
      </c>
      <c r="D143" s="587">
        <f>SUMIF(A$2:A143,A143,C$2:C143)</f>
        <v>70000</v>
      </c>
      <c r="E143" s="588">
        <f>IF(VLOOKUP(A143,合同台帐!$A$4:$K$195,7,1)&gt;0,VLOOKUP(A143,合同台帐!$A$4:$K$195,7,1)-D143,VLOOKUP(A143,合同台帐!$A$4:$F$195,6,1)-D143)</f>
        <v>130000</v>
      </c>
      <c r="F143" s="589" t="str">
        <f>VLOOKUP(A143,合同台帐!$A$4:$D$195,4,1)</f>
        <v>一期供热二次网工程土方挖填</v>
      </c>
      <c r="G143" s="589" t="str">
        <f>VLOOKUP(A143,合同台帐!$A$4:$E$195,5,1)</f>
        <v>天津聚宝龙投资有限公司</v>
      </c>
      <c r="H143" s="590"/>
      <c r="I143" s="318" t="str">
        <f>IF(A143&lt;&gt;0,VLOOKUP(A143,合同台帐!$A$4:$C$893,3,0),"")</f>
        <v>基热内</v>
      </c>
    </row>
    <row r="144" spans="1:9" s="591" customFormat="1" ht="15.75" customHeight="1">
      <c r="A144" s="378" t="s">
        <v>95</v>
      </c>
      <c r="B144" s="579" t="s">
        <v>1688</v>
      </c>
      <c r="C144" s="364">
        <v>1701274.4</v>
      </c>
      <c r="D144" s="587">
        <f>SUMIF(A$2:A144,A144,C$2:C144)</f>
        <v>1701274.4</v>
      </c>
      <c r="E144" s="588">
        <f>IF(VLOOKUP(A144,合同台帐!$A$4:$K$195,7,1)&gt;0,VLOOKUP(A144,合同台帐!$A$4:$K$195,7,1)-D144,VLOOKUP(A144,合同台帐!$A$4:$F$195,6,1)-D144)</f>
        <v>729117.60000000009</v>
      </c>
      <c r="F144" s="589" t="str">
        <f>VLOOKUP(A144,合同台帐!$A$4:$D$195,4,1)</f>
        <v>一期燃气配套工程</v>
      </c>
      <c r="G144" s="589" t="str">
        <f>VLOOKUP(A144,合同台帐!$A$4:$E$195,5,1)</f>
        <v>津燃润燃气有限公司</v>
      </c>
      <c r="H144" s="590"/>
      <c r="I144" s="318" t="str">
        <f>IF(A144&lt;&gt;0,VLOOKUP(A144,合同台帐!$A$4:$C$893,3,0),"")</f>
        <v>基气工</v>
      </c>
    </row>
    <row r="145" spans="1:9" s="591" customFormat="1" ht="15.75" customHeight="1">
      <c r="A145" s="378" t="s">
        <v>87</v>
      </c>
      <c r="B145" s="579" t="s">
        <v>1689</v>
      </c>
      <c r="C145" s="364">
        <v>400000</v>
      </c>
      <c r="D145" s="587">
        <f>SUMIF(A$2:A145,A145,C$2:C145)</f>
        <v>900000</v>
      </c>
      <c r="E145" s="588">
        <f>IF(VLOOKUP(A145,合同台帐!$A$4:$K$195,7,1)&gt;0,VLOOKUP(A145,合同台帐!$A$4:$K$195,7,1)-D145,VLOOKUP(A145,合同台帐!$A$4:$F$195,6,1)-D145)</f>
        <v>1773069.73</v>
      </c>
      <c r="F145" s="589" t="str">
        <f>VLOOKUP(A145,合同台帐!$A$4:$D$195,4,1)</f>
        <v>供用热协议书（二次管网）</v>
      </c>
      <c r="G145" s="589" t="str">
        <f>VLOOKUP(A145,合同台帐!$A$4:$E$195,5,1)</f>
        <v>蓟县鑫泰物业管理有限公司</v>
      </c>
      <c r="H145" s="590"/>
      <c r="I145" s="318" t="str">
        <f>IF(A145&lt;&gt;0,VLOOKUP(A145,合同台帐!$A$4:$C$893,3,0),"")</f>
        <v>基热内</v>
      </c>
    </row>
    <row r="146" spans="1:9" s="591" customFormat="1" ht="15.75" customHeight="1">
      <c r="A146" s="378" t="s">
        <v>96</v>
      </c>
      <c r="B146" s="579" t="s">
        <v>1389</v>
      </c>
      <c r="C146" s="364">
        <v>1000</v>
      </c>
      <c r="D146" s="587">
        <f>SUMIF(A$2:A146,A146,C$2:C146)</f>
        <v>1000</v>
      </c>
      <c r="E146" s="588">
        <f>IF(VLOOKUP(A146,合同台帐!$A$4:$K$195,7,1)&gt;0,VLOOKUP(A146,合同台帐!$A$4:$K$195,7,1)-D146,VLOOKUP(A146,合同台帐!$A$4:$F$195,6,1)-D146)</f>
        <v>0</v>
      </c>
      <c r="F146" s="589" t="str">
        <f>VLOOKUP(A146,合同台帐!$A$4:$D$195,4,1)</f>
        <v>前置测量购买本册费（一期）</v>
      </c>
      <c r="G146" s="589" t="str">
        <f>VLOOKUP(A146,合同台帐!$A$4:$E$195,5,1)</f>
        <v>天津市国土资源测绘和房屋测量中心</v>
      </c>
      <c r="H146" s="590"/>
      <c r="I146" s="318" t="str">
        <f>IF(A146&lt;&gt;0,VLOOKUP(A146,合同台帐!$A$4:$C$893,3,0),"")</f>
        <v>前面</v>
      </c>
    </row>
    <row r="147" spans="1:9" s="591" customFormat="1" ht="15.75" customHeight="1">
      <c r="A147" s="378" t="s">
        <v>82</v>
      </c>
      <c r="B147" s="579" t="s">
        <v>1690</v>
      </c>
      <c r="C147" s="364">
        <v>1000000</v>
      </c>
      <c r="D147" s="587">
        <f>SUMIF(A$2:A147,A147,C$2:C147)</f>
        <v>1300000</v>
      </c>
      <c r="E147" s="588">
        <f>IF(VLOOKUP(A147,合同台帐!$A$4:$K$195,7,1)&gt;0,VLOOKUP(A147,合同台帐!$A$4:$K$195,7,1)-D147,VLOOKUP(A147,合同台帐!$A$4:$F$195,6,1)-D147)</f>
        <v>1800000</v>
      </c>
      <c r="F147" s="589" t="str">
        <f>VLOOKUP(A147,合同台帐!$A$4:$D$195,4,1)</f>
        <v>界外地景观</v>
      </c>
      <c r="G147" s="589" t="str">
        <f>VLOOKUP(A147,合同台帐!$A$4:$E$195,5,1)</f>
        <v>天津兰苑绿化工程有限公司</v>
      </c>
      <c r="H147" s="590"/>
      <c r="I147" s="318" t="str">
        <f>IF(A147&lt;&gt;0,VLOOKUP(A147,合同台帐!$A$4:$C$893,3,0),"")</f>
        <v>建环外</v>
      </c>
    </row>
    <row r="148" spans="1:9" s="591" customFormat="1" ht="15.75" customHeight="1">
      <c r="A148" s="378" t="s">
        <v>1255</v>
      </c>
      <c r="B148" s="579" t="s">
        <v>1690</v>
      </c>
      <c r="C148" s="364">
        <v>4120833</v>
      </c>
      <c r="D148" s="587">
        <f>SUMIF(A$2:A148,A148,C$2:C148)</f>
        <v>6771382</v>
      </c>
      <c r="E148" s="588">
        <f>IF(VLOOKUP(A148,合同台帐!$A$4:$K$195,7,1)&gt;0,VLOOKUP(A148,合同台帐!$A$4:$K$195,7,1)-D148,VLOOKUP(A148,合同台帐!$A$4:$F$195,6,1)-D148)</f>
        <v>6481364.2400000002</v>
      </c>
      <c r="F148" s="589" t="str">
        <f>VLOOKUP(A148,合同台帐!$A$4:$D$195,4,1)</f>
        <v>供热配套合同（工程建设费）</v>
      </c>
      <c r="G148" s="589" t="str">
        <f>VLOOKUP(A148,合同台帐!$A$4:$E$195,5,1)</f>
        <v>天津市蓟县供热服务中心</v>
      </c>
      <c r="H148" s="590"/>
      <c r="I148" s="318" t="str">
        <f>IF(A148&lt;&gt;0,VLOOKUP(A148,合同台帐!$A$4:$C$893,3,0),"")</f>
        <v>基热工</v>
      </c>
    </row>
    <row r="149" spans="1:9" s="591" customFormat="1" ht="15.75" customHeight="1">
      <c r="A149" s="378" t="s">
        <v>77</v>
      </c>
      <c r="B149" s="579" t="s">
        <v>1691</v>
      </c>
      <c r="C149" s="364">
        <v>1000000</v>
      </c>
      <c r="D149" s="587">
        <f>SUMIF(A$2:A149,A149,C$2:C149)</f>
        <v>18160000</v>
      </c>
      <c r="E149" s="588">
        <f>IF(VLOOKUP(A149,合同台帐!$A$4:$K$195,7,1)&gt;0,VLOOKUP(A149,合同台帐!$A$4:$K$195,7,1)-D149,VLOOKUP(A149,合同台帐!$A$4:$F$195,6,1)-D149)</f>
        <v>91840000</v>
      </c>
      <c r="F149" s="589" t="str">
        <f>VLOOKUP(A149,合同台帐!$A$4:$D$195,4,1)</f>
        <v>总包一期工程</v>
      </c>
      <c r="G149" s="589" t="str">
        <f>VLOOKUP(A149,合同台帐!$A$4:$E$195,5,1)</f>
        <v>天津泉州建设工程集团有限公司</v>
      </c>
      <c r="H149" s="590"/>
      <c r="I149" s="318">
        <f>IF(A149&lt;&gt;0,VLOOKUP(A149,合同台帐!$A$4:$C$893,3,0),"")</f>
        <v>0</v>
      </c>
    </row>
    <row r="150" spans="1:9" s="591" customFormat="1" ht="15.75" customHeight="1">
      <c r="A150" s="378" t="s">
        <v>97</v>
      </c>
      <c r="B150" s="579" t="s">
        <v>1692</v>
      </c>
      <c r="C150" s="364">
        <v>2100</v>
      </c>
      <c r="D150" s="587">
        <f>SUMIF(A$2:A150,A150,C$2:C150)</f>
        <v>2100</v>
      </c>
      <c r="E150" s="588">
        <f>IF(VLOOKUP(A150,合同台帐!$A$4:$K$195,7,1)&gt;0,VLOOKUP(A150,合同台帐!$A$4:$K$195,7,1)-D150,VLOOKUP(A150,合同台帐!$A$4:$F$195,6,1)-D150)</f>
        <v>0</v>
      </c>
      <c r="F150" s="589" t="str">
        <f>VLOOKUP(A150,合同台帐!$A$4:$D$195,4,1)</f>
        <v>一期施工图审查（中部地下室变更）</v>
      </c>
      <c r="G150" s="589" t="str">
        <f>VLOOKUP(A150,合同台帐!$A$4:$E$195,5,1)</f>
        <v>天津华苑建筑工程咨询有限公司</v>
      </c>
      <c r="H150" s="590"/>
      <c r="I150" s="318" t="str">
        <f>IF(A150&lt;&gt;0,VLOOKUP(A150,合同台帐!$A$4:$C$893,3,0),"")</f>
        <v>前设审</v>
      </c>
    </row>
    <row r="151" spans="1:9" s="591" customFormat="1" ht="15.75" customHeight="1">
      <c r="A151" s="378" t="s">
        <v>98</v>
      </c>
      <c r="B151" s="579" t="s">
        <v>1693</v>
      </c>
      <c r="C151" s="364">
        <v>180245</v>
      </c>
      <c r="D151" s="587">
        <f>SUMIF(A$2:A151,A151,C$2:C151)</f>
        <v>180245</v>
      </c>
      <c r="E151" s="588">
        <f>IF(VLOOKUP(A151,合同台帐!$A$4:$K$195,7,1)&gt;0,VLOOKUP(A151,合同台帐!$A$4:$K$195,7,1)-D151,VLOOKUP(A151,合同台帐!$A$4:$F$195,6,1)-D151)</f>
        <v>270367</v>
      </c>
      <c r="F151" s="589" t="str">
        <f>VLOOKUP(A151,合同台帐!$A$4:$D$195,4,1)</f>
        <v>售楼处中央空调安装合同</v>
      </c>
      <c r="G151" s="589" t="str">
        <f>VLOOKUP(A151,合同台帐!$A$4:$E$195,5,1)</f>
        <v>天津荣润世纪科技有限公司</v>
      </c>
      <c r="H151" s="590"/>
      <c r="I151" s="318" t="str">
        <f>IF(A151&lt;&gt;0,VLOOKUP(A151,合同台帐!$A$4:$C$893,3,0),"")</f>
        <v>建主</v>
      </c>
    </row>
    <row r="152" spans="1:9" s="592" customFormat="1" ht="15.75" customHeight="1">
      <c r="A152" s="378" t="s">
        <v>77</v>
      </c>
      <c r="B152" s="579" t="s">
        <v>1694</v>
      </c>
      <c r="C152" s="573">
        <v>1000000</v>
      </c>
      <c r="D152" s="587">
        <f>SUMIF(A$2:A152,A152,C$2:C152)</f>
        <v>19160000</v>
      </c>
      <c r="E152" s="575">
        <f>IF(VLOOKUP(A152,合同台帐!$A$4:$K$195,7,1)&gt;0,VLOOKUP(A152,合同台帐!$A$4:$K$195,7,1)-D152,VLOOKUP(A152,合同台帐!$A$4:$F$195,6,1)-D152)</f>
        <v>90840000</v>
      </c>
      <c r="F152" s="576" t="str">
        <f>VLOOKUP(A152,合同台帐!$A$4:$D$195,4,1)</f>
        <v>总包一期工程</v>
      </c>
      <c r="G152" s="576" t="str">
        <f>VLOOKUP(A152,合同台帐!$A$4:$E$195,5,1)</f>
        <v>天津泉州建设工程集团有限公司</v>
      </c>
      <c r="H152" s="577"/>
      <c r="I152" s="292">
        <f>IF(A152&lt;&gt;0,VLOOKUP(A152,合同台帐!$A$4:$C$893,3,0),"")</f>
        <v>0</v>
      </c>
    </row>
    <row r="153" spans="1:9" s="592" customFormat="1" ht="15.75" customHeight="1">
      <c r="A153" s="378" t="s">
        <v>1427</v>
      </c>
      <c r="B153" s="579" t="s">
        <v>1694</v>
      </c>
      <c r="C153" s="573">
        <v>100000</v>
      </c>
      <c r="D153" s="574">
        <f>SUMIF(A$2:A153,A153,C$2:C153)</f>
        <v>100000</v>
      </c>
      <c r="E153" s="575">
        <f>IF(VLOOKUP(A153,合同台帐!$A$4:$K$195,7,1)&gt;0,VLOOKUP(A153,合同台帐!$A$4:$K$195,7,1)-D153,VLOOKUP(A153,合同台帐!$A$4:$F$195,6,1)-D153)</f>
        <v>249680</v>
      </c>
      <c r="F153" s="576" t="str">
        <f>VLOOKUP(A153,合同台帐!$A$4:$D$195,4,1)</f>
        <v>售楼处、样板间钢结构工程</v>
      </c>
      <c r="G153" s="576" t="str">
        <f>VLOOKUP(A153,合同台帐!$A$4:$E$195,5,1)</f>
        <v>天津博斯特膜装饰工程有限公司</v>
      </c>
      <c r="H153" s="577"/>
      <c r="I153" s="292" t="str">
        <f>IF(A153&lt;&gt;0,VLOOKUP(A153,合同台帐!$A$4:$C$893,3,0),"")</f>
        <v>建主</v>
      </c>
    </row>
    <row r="154" spans="1:9" s="592" customFormat="1" ht="15.75" customHeight="1">
      <c r="A154" s="378" t="s">
        <v>99</v>
      </c>
      <c r="B154" s="579" t="s">
        <v>1694</v>
      </c>
      <c r="C154" s="573">
        <v>11440</v>
      </c>
      <c r="D154" s="574">
        <f>SUMIF(A$2:A154,A154,C$2:C154)</f>
        <v>11440</v>
      </c>
      <c r="E154" s="575">
        <f>IF(VLOOKUP(A154,合同台帐!$A$4:$K$195,7,1)&gt;0,VLOOKUP(A154,合同台帐!$A$4:$K$195,7,1)-D154,VLOOKUP(A154,合同台帐!$A$4:$F$195,6,1)-D154)</f>
        <v>0</v>
      </c>
      <c r="F154" s="576" t="str">
        <f>VLOOKUP(A154,合同台帐!$A$4:$D$195,4,1)</f>
        <v>商品房预售登记费（一期143套）</v>
      </c>
      <c r="G154" s="576" t="str">
        <f>VLOOKUP(A154,合同台帐!$A$4:$E$195,5,1)</f>
        <v>天津市财政局</v>
      </c>
      <c r="H154" s="577"/>
      <c r="I154" s="292" t="str">
        <f>IF(A154&lt;&gt;0,VLOOKUP(A154,合同台帐!$A$4:$C$893,3,0),"")</f>
        <v>前销</v>
      </c>
    </row>
    <row r="155" spans="1:9" s="592" customFormat="1" ht="15.75" customHeight="1">
      <c r="A155" s="378" t="s">
        <v>100</v>
      </c>
      <c r="B155" s="579" t="s">
        <v>1694</v>
      </c>
      <c r="C155" s="573">
        <v>6000</v>
      </c>
      <c r="D155" s="574">
        <f>SUMIF(A$2:A155,A155,C$2:C155)</f>
        <v>6000</v>
      </c>
      <c r="E155" s="575">
        <f>IF(VLOOKUP(A155,合同台帐!$A$4:$K$195,7,1)&gt;0,VLOOKUP(A155,合同台帐!$A$4:$K$195,7,1)-D155,VLOOKUP(A155,合同台帐!$A$4:$F$195,6,1)-D155)</f>
        <v>0</v>
      </c>
      <c r="F155" s="576" t="str">
        <f>VLOOKUP(A155,合同台帐!$A$4:$D$195,4,1)</f>
        <v>销许公告费（一期22个楼的）</v>
      </c>
      <c r="G155" s="576" t="str">
        <f>VLOOKUP(A155,合同台帐!$A$4:$E$195,5,1)</f>
        <v>天津蓝狮广告传播有限公司</v>
      </c>
      <c r="H155" s="577"/>
      <c r="I155" s="292" t="str">
        <f>IF(A155&lt;&gt;0,VLOOKUP(A155,合同台帐!$A$4:$C$893,3,0),"")</f>
        <v>前销</v>
      </c>
    </row>
    <row r="156" spans="1:9" s="592" customFormat="1" ht="15.75" customHeight="1">
      <c r="A156" s="378" t="s">
        <v>1394</v>
      </c>
      <c r="B156" s="579" t="s">
        <v>1694</v>
      </c>
      <c r="C156" s="573">
        <v>205504</v>
      </c>
      <c r="D156" s="574">
        <f>SUMIF(A$2:A156,A156,C$2:C156)</f>
        <v>1705504</v>
      </c>
      <c r="E156" s="575">
        <f>IF(VLOOKUP(A156,合同台帐!$A$4:$K$195,7,1)&gt;0,VLOOKUP(A156,合同台帐!$A$4:$K$195,7,1)-D156,VLOOKUP(A156,合同台帐!$A$4:$F$195,6,1)-D156)</f>
        <v>20889192</v>
      </c>
      <c r="F156" s="576" t="str">
        <f>VLOOKUP(A156,合同台帐!$A$4:$D$195,4,1)</f>
        <v>一期保温涂料线条线角</v>
      </c>
      <c r="G156" s="576" t="str">
        <f>VLOOKUP(A156,合同台帐!$A$4:$E$195,5,1)</f>
        <v>天津万通达建筑工程有限公司</v>
      </c>
      <c r="H156" s="577"/>
      <c r="I156" s="292" t="str">
        <f>IF(A156&lt;&gt;0,VLOOKUP(A156,合同台帐!$A$4:$C$893,3,0),"")</f>
        <v>建主</v>
      </c>
    </row>
    <row r="157" spans="1:9" s="592" customFormat="1" ht="15.75" customHeight="1">
      <c r="A157" s="378" t="s">
        <v>101</v>
      </c>
      <c r="B157" s="579" t="s">
        <v>1694</v>
      </c>
      <c r="C157" s="573">
        <v>1000000</v>
      </c>
      <c r="D157" s="574">
        <f>SUMIF(A$2:A157,A157,C$2:C157)</f>
        <v>1000000</v>
      </c>
      <c r="E157" s="575">
        <f>IF(VLOOKUP(A157,合同台帐!$A$4:$K$195,7,1)&gt;0,VLOOKUP(A157,合同台帐!$A$4:$K$195,7,1)-D157,VLOOKUP(A157,合同台帐!$A$4:$F$195,6,1)-D157)</f>
        <v>8498614</v>
      </c>
      <c r="F157" s="576" t="str">
        <f>VLOOKUP(A157,合同台帐!$A$4:$D$195,4,1)</f>
        <v>示范区景观</v>
      </c>
      <c r="G157" s="576" t="str">
        <f>VLOOKUP(A157,合同台帐!$A$4:$E$195,5,1)</f>
        <v>天津兰苑园林绿化工程有限公司</v>
      </c>
      <c r="H157" s="577"/>
      <c r="I157" s="292" t="str">
        <f>IF(A157&lt;&gt;0,VLOOKUP(A157,合同台帐!$A$4:$C$893,3,0),"")</f>
        <v>建环内</v>
      </c>
    </row>
    <row r="158" spans="1:9" s="592" customFormat="1" ht="15.75" customHeight="1">
      <c r="A158" s="378" t="s">
        <v>102</v>
      </c>
      <c r="B158" s="579" t="s">
        <v>1695</v>
      </c>
      <c r="C158" s="573">
        <v>49100</v>
      </c>
      <c r="D158" s="574">
        <f>SUMIF(A$2:A158,A158,C$2:C158)</f>
        <v>49100</v>
      </c>
      <c r="E158" s="575">
        <f>IF(VLOOKUP(A158,合同台帐!$A$4:$K$195,7,1)&gt;0,VLOOKUP(A158,合同台帐!$A$4:$K$195,7,1)-D158,VLOOKUP(A158,合同台帐!$A$4:$F$195,6,1)-D158)</f>
        <v>0</v>
      </c>
      <c r="F158" s="576" t="str">
        <f>VLOOKUP(A158,合同台帐!$A$4:$D$195,4,1)</f>
        <v>排水市政接口</v>
      </c>
      <c r="G158" s="576" t="str">
        <f>VLOOKUP(A158,合同台帐!$A$4:$E$195,5,1)</f>
        <v>天津力恒市政工程有限公司</v>
      </c>
      <c r="H158" s="577"/>
      <c r="I158" s="292" t="str">
        <f>IF(A158&lt;&gt;0,VLOOKUP(A158,合同台帐!$A$4:$C$893,3,0),"")</f>
        <v>基排工</v>
      </c>
    </row>
    <row r="159" spans="1:9" s="592" customFormat="1" ht="15.75" customHeight="1">
      <c r="A159" s="378" t="s">
        <v>1417</v>
      </c>
      <c r="B159" s="579" t="s">
        <v>1695</v>
      </c>
      <c r="C159" s="573">
        <v>150000</v>
      </c>
      <c r="D159" s="574">
        <f>SUMIF(A$2:A159,A159,C$2:C159)</f>
        <v>150000</v>
      </c>
      <c r="E159" s="575">
        <f>IF(VLOOKUP(A159,合同台帐!$A$4:$K$195,7,1)&gt;0,VLOOKUP(A159,合同台帐!$A$4:$K$195,7,1)-D159,VLOOKUP(A159,合同台帐!$A$4:$F$195,6,1)-D159)</f>
        <v>3610794</v>
      </c>
      <c r="F159" s="576" t="str">
        <f>VLOOKUP(A159,合同台帐!$A$4:$D$195,4,1)</f>
        <v>售楼处样板间精装修工程</v>
      </c>
      <c r="G159" s="576" t="str">
        <f>VLOOKUP(A159,合同台帐!$A$4:$E$195,5,1)</f>
        <v>天津磊德建筑装饰工程有限公司</v>
      </c>
      <c r="H159" s="577"/>
      <c r="I159" s="292" t="str">
        <f>IF(A159&lt;&gt;0,VLOOKUP(A159,合同台帐!$A$4:$C$893,3,0),"")</f>
        <v>建主</v>
      </c>
    </row>
    <row r="160" spans="1:9" s="591" customFormat="1" ht="15.75" customHeight="1">
      <c r="A160" s="378" t="s">
        <v>1436</v>
      </c>
      <c r="B160" s="579" t="s">
        <v>1695</v>
      </c>
      <c r="C160" s="364">
        <v>237811</v>
      </c>
      <c r="D160" s="587">
        <f>SUMIF(A$2:A160,A160,C$2:C160)</f>
        <v>237811</v>
      </c>
      <c r="E160" s="588">
        <f>IF(VLOOKUP(A160,合同台帐!$A$4:$K$195,7,1)&gt;0,VLOOKUP(A160,合同台帐!$A$4:$K$195,7,1)-D160,VLOOKUP(A160,合同台帐!$A$4:$F$195,6,1)-D160)</f>
        <v>0</v>
      </c>
      <c r="F160" s="589" t="str">
        <f>VLOOKUP(A160,合同台帐!$A$4:$D$195,4,1)</f>
        <v>三期放、验线报告</v>
      </c>
      <c r="G160" s="589" t="str">
        <f>VLOOKUP(A160,合同台帐!$A$4:$E$195,5,1)</f>
        <v>天津市蓟县测绘队</v>
      </c>
      <c r="H160" s="590"/>
      <c r="I160" s="318" t="str">
        <f>IF(A160&lt;&gt;0,VLOOKUP(A160,合同台帐!$A$4:$C$893,3,0),"")</f>
        <v>建定测</v>
      </c>
    </row>
    <row r="161" spans="1:9" s="591" customFormat="1" ht="15.75" customHeight="1">
      <c r="A161" s="378" t="s">
        <v>101</v>
      </c>
      <c r="B161" s="579" t="s">
        <v>1696</v>
      </c>
      <c r="C161" s="364">
        <v>1000000</v>
      </c>
      <c r="D161" s="587">
        <f>SUMIF(A$2:A161,A161,C$2:C161)</f>
        <v>2000000</v>
      </c>
      <c r="E161" s="588">
        <f>IF(VLOOKUP(A161,合同台帐!$A$4:$K$195,7,1)&gt;0,VLOOKUP(A161,合同台帐!$A$4:$K$195,7,1)-D161,VLOOKUP(A161,合同台帐!$A$4:$F$195,6,1)-D161)</f>
        <v>7498614</v>
      </c>
      <c r="F161" s="589" t="str">
        <f>VLOOKUP(A161,合同台帐!$A$4:$D$195,4,1)</f>
        <v>示范区景观</v>
      </c>
      <c r="G161" s="589" t="str">
        <f>VLOOKUP(A161,合同台帐!$A$4:$E$195,5,1)</f>
        <v>天津兰苑园林绿化工程有限公司</v>
      </c>
      <c r="H161" s="590"/>
      <c r="I161" s="318" t="str">
        <f>IF(A161&lt;&gt;0,VLOOKUP(A161,合同台帐!$A$4:$C$893,3,0),"")</f>
        <v>建环内</v>
      </c>
    </row>
    <row r="162" spans="1:9" s="591" customFormat="1" ht="15.75" customHeight="1">
      <c r="A162" s="378" t="s">
        <v>103</v>
      </c>
      <c r="B162" s="579" t="s">
        <v>1696</v>
      </c>
      <c r="C162" s="364">
        <v>31834</v>
      </c>
      <c r="D162" s="587">
        <f>SUMIF(A$2:A162,A162,C$2:C162)</f>
        <v>31834</v>
      </c>
      <c r="E162" s="588">
        <f>IF(VLOOKUP(A162,合同台帐!$A$4:$K$195,7,1)&gt;0,VLOOKUP(A162,合同台帐!$A$4:$K$195,7,1)-D162,VLOOKUP(A162,合同台帐!$A$4:$F$195,6,1)-D162)</f>
        <v>47750</v>
      </c>
      <c r="F162" s="589" t="str">
        <f>VLOOKUP(A162,合同台帐!$A$4:$D$195,4,1)</f>
        <v>联排样板间中央空调安装合同</v>
      </c>
      <c r="G162" s="589" t="str">
        <f>VLOOKUP(A162,合同台帐!$A$4:$E$195,5,1)</f>
        <v>天津荣润世纪科技有限公司</v>
      </c>
      <c r="H162" s="590"/>
      <c r="I162" s="318" t="str">
        <f>IF(A162&lt;&gt;0,VLOOKUP(A162,合同台帐!$A$4:$C$893,3,0),"")</f>
        <v>建主</v>
      </c>
    </row>
    <row r="163" spans="1:9" s="591" customFormat="1" ht="15.75" customHeight="1">
      <c r="A163" s="378" t="s">
        <v>101</v>
      </c>
      <c r="B163" s="579" t="s">
        <v>1697</v>
      </c>
      <c r="C163" s="364">
        <v>1000000</v>
      </c>
      <c r="D163" s="587">
        <f>SUMIF(A$2:A163,A163,C$2:C163)</f>
        <v>3000000</v>
      </c>
      <c r="E163" s="588">
        <f>IF(VLOOKUP(A163,合同台帐!$A$4:$K$195,7,1)&gt;0,VLOOKUP(A163,合同台帐!$A$4:$K$195,7,1)-D163,VLOOKUP(A163,合同台帐!$A$4:$F$195,6,1)-D163)</f>
        <v>6498614</v>
      </c>
      <c r="F163" s="589" t="str">
        <f>VLOOKUP(A163,合同台帐!$A$4:$D$195,4,1)</f>
        <v>示范区景观</v>
      </c>
      <c r="G163" s="589" t="str">
        <f>VLOOKUP(A163,合同台帐!$A$4:$E$195,5,1)</f>
        <v>天津兰苑园林绿化工程有限公司</v>
      </c>
      <c r="H163" s="590"/>
      <c r="I163" s="318" t="str">
        <f>IF(A163&lt;&gt;0,VLOOKUP(A163,合同台帐!$A$4:$C$893,3,0),"")</f>
        <v>建环内</v>
      </c>
    </row>
    <row r="164" spans="1:9" s="591" customFormat="1" ht="15.75" customHeight="1">
      <c r="A164" s="378" t="s">
        <v>104</v>
      </c>
      <c r="B164" s="579" t="s">
        <v>1698</v>
      </c>
      <c r="C164" s="364">
        <v>77563.17</v>
      </c>
      <c r="D164" s="587">
        <f>SUMIF(A$2:A164,A164,C$2:C164)</f>
        <v>77563.17</v>
      </c>
      <c r="E164" s="588">
        <f>IF(VLOOKUP(A164,合同台帐!$A$4:$K$195,7,1)&gt;0,VLOOKUP(A164,合同台帐!$A$4:$K$195,7,1)-D164,VLOOKUP(A164,合同台帐!$A$4:$F$195,6,1)-D164)</f>
        <v>0</v>
      </c>
      <c r="F164" s="589" t="str">
        <f>VLOOKUP(A164,合同台帐!$A$4:$D$195,4,1)</f>
        <v>房屋转让手续费（一期22个楼）产权登记</v>
      </c>
      <c r="G164" s="589" t="str">
        <f>VLOOKUP(A164,合同台帐!$A$4:$E$195,5,1)</f>
        <v>蓟县房地产管理局</v>
      </c>
      <c r="H164" s="590"/>
      <c r="I164" s="318" t="str">
        <f>IF(A164&lt;&gt;0,VLOOKUP(A164,合同台帐!$A$4:$C$893,3,0),"")</f>
        <v>前销</v>
      </c>
    </row>
    <row r="165" spans="1:9" s="591" customFormat="1" ht="15.75" customHeight="1">
      <c r="A165" s="378" t="s">
        <v>105</v>
      </c>
      <c r="B165" s="579" t="s">
        <v>1698</v>
      </c>
      <c r="C165" s="364">
        <v>150000</v>
      </c>
      <c r="D165" s="587">
        <f>SUMIF(A$2:A165,A165,C$2:C165)</f>
        <v>150000</v>
      </c>
      <c r="E165" s="588">
        <f>IF(VLOOKUP(A165,合同台帐!$A$4:$K$195,7,1)&gt;0,VLOOKUP(A165,合同台帐!$A$4:$K$195,7,1)-D165,VLOOKUP(A165,合同台帐!$A$4:$F$195,6,1)-D165)</f>
        <v>50000</v>
      </c>
      <c r="F165" s="589" t="str">
        <f>VLOOKUP(A165,合同台帐!$A$4:$D$195,4,1)</f>
        <v>博御园临时围墙工程</v>
      </c>
      <c r="G165" s="589" t="str">
        <f>VLOOKUP(A165,合同台帐!$A$4:$E$195,5,1)</f>
        <v>天津宏鑫鼎泰建筑工程有限公司</v>
      </c>
      <c r="H165" s="590"/>
      <c r="I165" s="318" t="str">
        <f>IF(A165&lt;&gt;0,VLOOKUP(A165,合同台帐!$A$4:$C$893,3,0),"")</f>
        <v>前临围</v>
      </c>
    </row>
    <row r="166" spans="1:9" s="591" customFormat="1" ht="15.75" customHeight="1">
      <c r="A166" s="378" t="s">
        <v>1427</v>
      </c>
      <c r="B166" s="579" t="s">
        <v>1698</v>
      </c>
      <c r="C166" s="364">
        <v>150000</v>
      </c>
      <c r="D166" s="587">
        <f>SUMIF(A$2:A166,A166,C$2:C166)</f>
        <v>250000</v>
      </c>
      <c r="E166" s="588">
        <f>IF(VLOOKUP(A166,合同台帐!$A$4:$K$195,7,1)&gt;0,VLOOKUP(A166,合同台帐!$A$4:$K$195,7,1)-D166,VLOOKUP(A166,合同台帐!$A$4:$F$195,6,1)-D166)</f>
        <v>99680</v>
      </c>
      <c r="F166" s="589" t="str">
        <f>VLOOKUP(A166,合同台帐!$A$4:$D$195,4,1)</f>
        <v>售楼处、样板间钢结构工程</v>
      </c>
      <c r="G166" s="589" t="str">
        <f>VLOOKUP(A166,合同台帐!$A$4:$E$195,5,1)</f>
        <v>天津博斯特膜装饰工程有限公司</v>
      </c>
      <c r="H166" s="590"/>
      <c r="I166" s="318" t="str">
        <f>IF(A166&lt;&gt;0,VLOOKUP(A166,合同台帐!$A$4:$C$893,3,0),"")</f>
        <v>建主</v>
      </c>
    </row>
    <row r="167" spans="1:9" s="591" customFormat="1" ht="15.75" customHeight="1">
      <c r="A167" s="378" t="s">
        <v>74</v>
      </c>
      <c r="B167" s="579" t="s">
        <v>1699</v>
      </c>
      <c r="C167" s="364">
        <v>20000</v>
      </c>
      <c r="D167" s="587">
        <f>SUMIF(A$2:A167,A167,C$2:C167)</f>
        <v>90000</v>
      </c>
      <c r="E167" s="588">
        <f>IF(VLOOKUP(A167,合同台帐!$A$4:$K$195,7,1)&gt;0,VLOOKUP(A167,合同台帐!$A$4:$K$195,7,1)-D167,VLOOKUP(A167,合同台帐!$A$4:$F$195,6,1)-D167)</f>
        <v>210000</v>
      </c>
      <c r="F167" s="589" t="str">
        <f>VLOOKUP(A167,合同台帐!$A$4:$D$195,4,1)</f>
        <v>（一、三期）造价咨询合同</v>
      </c>
      <c r="G167" s="589" t="str">
        <f>VLOOKUP(A167,合同台帐!$A$4:$E$195,5,1)</f>
        <v>天津中天华建工程咨询有限公司</v>
      </c>
      <c r="H167" s="590"/>
      <c r="I167" s="318" t="str">
        <f>IF(A167&lt;&gt;0,VLOOKUP(A167,合同台帐!$A$4:$C$893,3,0),"")</f>
        <v>前标咨</v>
      </c>
    </row>
    <row r="168" spans="1:9" s="591" customFormat="1" ht="15.75" customHeight="1">
      <c r="A168" s="378" t="s">
        <v>98</v>
      </c>
      <c r="B168" s="579" t="s">
        <v>1699</v>
      </c>
      <c r="C168" s="364">
        <v>100000</v>
      </c>
      <c r="D168" s="587">
        <f>SUMIF(A$2:A168,A168,C$2:C168)</f>
        <v>280245</v>
      </c>
      <c r="E168" s="588">
        <f>IF(VLOOKUP(A168,合同台帐!$A$4:$K$195,7,1)&gt;0,VLOOKUP(A168,合同台帐!$A$4:$K$195,7,1)-D168,VLOOKUP(A168,合同台帐!$A$4:$F$195,6,1)-D168)</f>
        <v>170367</v>
      </c>
      <c r="F168" s="589" t="str">
        <f>VLOOKUP(A168,合同台帐!$A$4:$D$195,4,1)</f>
        <v>售楼处中央空调安装合同</v>
      </c>
      <c r="G168" s="589" t="str">
        <f>VLOOKUP(A168,合同台帐!$A$4:$E$195,5,1)</f>
        <v>天津荣润世纪科技有限公司</v>
      </c>
      <c r="H168" s="590"/>
      <c r="I168" s="318" t="str">
        <f>IF(A168&lt;&gt;0,VLOOKUP(A168,合同台帐!$A$4:$C$893,3,0),"")</f>
        <v>建主</v>
      </c>
    </row>
    <row r="169" spans="1:9" s="591" customFormat="1" ht="15.75" customHeight="1">
      <c r="A169" s="378" t="s">
        <v>106</v>
      </c>
      <c r="B169" s="579" t="s">
        <v>1699</v>
      </c>
      <c r="C169" s="364">
        <v>280000</v>
      </c>
      <c r="D169" s="587">
        <f>SUMIF(A$2:A169,A169,C$2:C169)</f>
        <v>280000</v>
      </c>
      <c r="E169" s="588">
        <f>IF(VLOOKUP(A169,合同台帐!$A$4:$K$195,7,1)&gt;0,VLOOKUP(A169,合同台帐!$A$4:$K$195,7,1)-D169,VLOOKUP(A169,合同台帐!$A$4:$F$195,6,1)-D169)</f>
        <v>197650</v>
      </c>
      <c r="F169" s="589" t="str">
        <f>VLOOKUP(A169,合同台帐!$A$4:$D$195,4,1)</f>
        <v>苗木增补协议</v>
      </c>
      <c r="G169" s="589" t="str">
        <f>VLOOKUP(A169,合同台帐!$A$4:$E$195,5,1)</f>
        <v>天津市静海县泽森苗圃</v>
      </c>
      <c r="H169" s="590"/>
      <c r="I169" s="318" t="str">
        <f>IF(A169&lt;&gt;0,VLOOKUP(A169,合同台帐!$A$4:$C$893,3,0),"")</f>
        <v>建环内</v>
      </c>
    </row>
    <row r="170" spans="1:9" s="591" customFormat="1" ht="15.75" customHeight="1">
      <c r="A170" s="378" t="s">
        <v>1394</v>
      </c>
      <c r="B170" s="579" t="s">
        <v>1699</v>
      </c>
      <c r="C170" s="364">
        <v>500000</v>
      </c>
      <c r="D170" s="587">
        <f>SUMIF(A$2:A170,A170,C$2:C170)</f>
        <v>2205504</v>
      </c>
      <c r="E170" s="588">
        <f>IF(VLOOKUP(A170,合同台帐!$A$4:$K$195,7,1)&gt;0,VLOOKUP(A170,合同台帐!$A$4:$K$195,7,1)-D170,VLOOKUP(A170,合同台帐!$A$4:$F$195,6,1)-D170)</f>
        <v>20389192</v>
      </c>
      <c r="F170" s="589" t="str">
        <f>VLOOKUP(A170,合同台帐!$A$4:$D$195,4,1)</f>
        <v>一期保温涂料线条线角</v>
      </c>
      <c r="G170" s="589" t="str">
        <f>VLOOKUP(A170,合同台帐!$A$4:$E$195,5,1)</f>
        <v>天津万通达建筑工程有限公司</v>
      </c>
      <c r="H170" s="590"/>
      <c r="I170" s="318" t="str">
        <f>IF(A170&lt;&gt;0,VLOOKUP(A170,合同台帐!$A$4:$C$893,3,0),"")</f>
        <v>建主</v>
      </c>
    </row>
    <row r="171" spans="1:9" s="591" customFormat="1" ht="15.75" customHeight="1">
      <c r="A171" s="378" t="s">
        <v>15</v>
      </c>
      <c r="B171" s="579" t="s">
        <v>1699</v>
      </c>
      <c r="C171" s="364">
        <v>300000</v>
      </c>
      <c r="D171" s="587">
        <f>SUMIF(A$2:A171,A171,C$2:C171)</f>
        <v>6027629</v>
      </c>
      <c r="E171" s="588">
        <f>IF(VLOOKUP(A171,合同台帐!$A$4:$K$195,7,1)&gt;0,VLOOKUP(A171,合同台帐!$A$4:$K$195,7,1)-D171,VLOOKUP(A171,合同台帐!$A$4:$F$195,6,1)-D171)</f>
        <v>1772371</v>
      </c>
      <c r="F171" s="589" t="str">
        <f>VLOOKUP(A171,合同台帐!$A$4:$D$195,4,1)</f>
        <v>建筑方案及施工图设计合同</v>
      </c>
      <c r="G171" s="589" t="str">
        <f>VLOOKUP(A171,合同台帐!$A$4:$E$195,5,1)</f>
        <v>北京新纪元建筑工程设计有限公司</v>
      </c>
      <c r="H171" s="590"/>
      <c r="I171" s="318" t="str">
        <f>IF(A171&lt;&gt;0,VLOOKUP(A171,合同台帐!$A$4:$C$893,3,0),"")</f>
        <v>前设设</v>
      </c>
    </row>
    <row r="172" spans="1:9" s="591" customFormat="1" ht="15.75" customHeight="1">
      <c r="A172" s="378" t="s">
        <v>1348</v>
      </c>
      <c r="B172" s="579" t="s">
        <v>1699</v>
      </c>
      <c r="C172" s="364">
        <v>200000</v>
      </c>
      <c r="D172" s="587">
        <f>SUMIF(A$2:A172,A172,C$2:C172)</f>
        <v>400000</v>
      </c>
      <c r="E172" s="588">
        <f>IF(VLOOKUP(A172,合同台帐!$A$4:$K$195,7,1)&gt;0,VLOOKUP(A172,合同台帐!$A$4:$K$195,7,1)-D172,VLOOKUP(A172,合同台帐!$A$4:$F$195,6,1)-D172)</f>
        <v>1650000</v>
      </c>
      <c r="F172" s="589" t="str">
        <f>VLOOKUP(A172,合同台帐!$A$4:$D$195,4,1)</f>
        <v>一期配电箱采购合同（含电表箱）</v>
      </c>
      <c r="G172" s="589" t="str">
        <f>VLOOKUP(A172,合同台帐!$A$4:$E$195,5,1)</f>
        <v>天津市隆裕电器有限公司</v>
      </c>
      <c r="H172" s="590"/>
      <c r="I172" s="318" t="str">
        <f>IF(A172&lt;&gt;0,VLOOKUP(A172,合同台帐!$A$4:$C$893,3,0),"")</f>
        <v>建主</v>
      </c>
    </row>
    <row r="173" spans="1:9" s="591" customFormat="1" ht="15.75" customHeight="1">
      <c r="A173" s="378" t="s">
        <v>80</v>
      </c>
      <c r="B173" s="579" t="s">
        <v>1700</v>
      </c>
      <c r="C173" s="364">
        <v>150000</v>
      </c>
      <c r="D173" s="587">
        <f>SUMIF(A$2:A173,A173,C$2:C173)</f>
        <v>678130</v>
      </c>
      <c r="E173" s="588">
        <f>IF(VLOOKUP(A173,合同台帐!$A$4:$K$195,7,1)&gt;0,VLOOKUP(A173,合同台帐!$A$4:$K$195,7,1)-D173,VLOOKUP(A173,合同台帐!$A$4:$F$195,6,1)-D173)</f>
        <v>70018</v>
      </c>
      <c r="F173" s="589" t="str">
        <f>VLOOKUP(A173,合同台帐!$A$4:$D$195,4,1)</f>
        <v>示范区强夯工程合同</v>
      </c>
      <c r="G173" s="589" t="str">
        <f>VLOOKUP(A173,合同台帐!$A$4:$E$195,5,1)</f>
        <v>天津华勘集团有限公司</v>
      </c>
      <c r="H173" s="590"/>
      <c r="I173" s="318" t="str">
        <f>IF(A173&lt;&gt;0,VLOOKUP(A173,合同台帐!$A$4:$C$893,3,0),"")</f>
        <v>建基</v>
      </c>
    </row>
    <row r="174" spans="1:9" s="591" customFormat="1" ht="15.75" customHeight="1">
      <c r="A174" s="378" t="s">
        <v>107</v>
      </c>
      <c r="B174" s="579" t="s">
        <v>1701</v>
      </c>
      <c r="C174" s="364">
        <v>2326</v>
      </c>
      <c r="D174" s="587">
        <f>SUMIF(A$2:A174,A174,C$2:C174)</f>
        <v>2326</v>
      </c>
      <c r="E174" s="588">
        <f>IF(VLOOKUP(A174,合同台帐!$A$4:$K$195,7,1)&gt;0,VLOOKUP(A174,合同台帐!$A$4:$K$195,7,1)-D174,VLOOKUP(A174,合同台帐!$A$4:$F$195,6,1)-D174)</f>
        <v>0</v>
      </c>
      <c r="F174" s="589" t="str">
        <f>VLOOKUP(A174,合同台帐!$A$4:$D$195,4,1)</f>
        <v>一期施工图审查（1.2.3.23#变更）</v>
      </c>
      <c r="G174" s="589" t="str">
        <f>VLOOKUP(A174,合同台帐!$A$4:$E$195,5,1)</f>
        <v>天津华苑建筑工程咨询有限公司</v>
      </c>
      <c r="H174" s="590"/>
      <c r="I174" s="318" t="str">
        <f>IF(A174&lt;&gt;0,VLOOKUP(A174,合同台帐!$A$4:$C$893,3,0),"")</f>
        <v>前设审</v>
      </c>
    </row>
    <row r="175" spans="1:9" s="619" customFormat="1" ht="15.75" customHeight="1">
      <c r="A175" s="303" t="s">
        <v>77</v>
      </c>
      <c r="B175" s="614" t="s">
        <v>1702</v>
      </c>
      <c r="C175" s="615">
        <v>4403610</v>
      </c>
      <c r="D175" s="628">
        <f>SUMIF(A$2:A175,A175,C$2:C175)</f>
        <v>23563610</v>
      </c>
      <c r="E175" s="616">
        <f>IF(VLOOKUP(A175,合同台帐!$A$4:$K$195,7,1)&gt;0,VLOOKUP(A175,合同台帐!$A$4:$K$195,7,1)-D175,VLOOKUP(A175,合同台帐!$A$4:$F$195,6,1)-D175)</f>
        <v>86436390</v>
      </c>
      <c r="F175" s="617" t="str">
        <f>VLOOKUP(A175,合同台帐!$A$4:$D$195,4,1)</f>
        <v>总包一期工程</v>
      </c>
      <c r="G175" s="617" t="str">
        <f>VLOOKUP(A175,合同台帐!$A$4:$E$195,5,1)</f>
        <v>天津泉州建设工程集团有限公司</v>
      </c>
      <c r="H175" s="618"/>
      <c r="I175" s="305">
        <f>IF(A175&lt;&gt;0,VLOOKUP(A175,合同台帐!$A$4:$C$893,3,0),"")</f>
        <v>0</v>
      </c>
    </row>
    <row r="176" spans="1:9" s="591" customFormat="1" ht="15.75" customHeight="1">
      <c r="A176" s="378" t="s">
        <v>77</v>
      </c>
      <c r="B176" s="579" t="s">
        <v>1464</v>
      </c>
      <c r="C176" s="364">
        <v>1000000</v>
      </c>
      <c r="D176" s="587">
        <f>SUMIF(A$2:A176,A176,C$2:C176)</f>
        <v>24563610</v>
      </c>
      <c r="E176" s="588">
        <f>IF(VLOOKUP(A176,合同台帐!$A$4:$K$195,7,1)&gt;0,VLOOKUP(A176,合同台帐!$A$4:$K$195,7,1)-D176,VLOOKUP(A176,合同台帐!$A$4:$F$195,6,1)-D176)</f>
        <v>85436390</v>
      </c>
      <c r="F176" s="589" t="str">
        <f>VLOOKUP(A176,合同台帐!$A$4:$D$195,4,1)</f>
        <v>总包一期工程</v>
      </c>
      <c r="G176" s="589" t="str">
        <f>VLOOKUP(A176,合同台帐!$A$4:$E$195,5,1)</f>
        <v>天津泉州建设工程集团有限公司</v>
      </c>
      <c r="H176" s="590"/>
      <c r="I176" s="318">
        <f>IF(A176&lt;&gt;0,VLOOKUP(A176,合同台帐!$A$4:$C$893,3,0),"")</f>
        <v>0</v>
      </c>
    </row>
    <row r="177" spans="1:9" s="591" customFormat="1" ht="15.75" customHeight="1">
      <c r="A177" s="378" t="s">
        <v>101</v>
      </c>
      <c r="B177" s="579" t="s">
        <v>1464</v>
      </c>
      <c r="C177" s="364">
        <v>1000000</v>
      </c>
      <c r="D177" s="587">
        <f>SUMIF(A$2:A177,A177,C$2:C177)</f>
        <v>4000000</v>
      </c>
      <c r="E177" s="588">
        <f>IF(VLOOKUP(A177,合同台帐!$A$4:$K$195,7,1)&gt;0,VLOOKUP(A177,合同台帐!$A$4:$K$195,7,1)-D177,VLOOKUP(A177,合同台帐!$A$4:$F$195,6,1)-D177)</f>
        <v>5498614</v>
      </c>
      <c r="F177" s="589" t="str">
        <f>VLOOKUP(A177,合同台帐!$A$4:$D$195,4,1)</f>
        <v>示范区景观</v>
      </c>
      <c r="G177" s="589" t="str">
        <f>VLOOKUP(A177,合同台帐!$A$4:$E$195,5,1)</f>
        <v>天津兰苑园林绿化工程有限公司</v>
      </c>
      <c r="H177" s="590"/>
      <c r="I177" s="318" t="str">
        <f>IF(A177&lt;&gt;0,VLOOKUP(A177,合同台帐!$A$4:$C$893,3,0),"")</f>
        <v>建环内</v>
      </c>
    </row>
    <row r="178" spans="1:9" s="591" customFormat="1" ht="15.75" customHeight="1">
      <c r="A178" s="378" t="s">
        <v>82</v>
      </c>
      <c r="B178" s="579" t="s">
        <v>1464</v>
      </c>
      <c r="C178" s="364">
        <v>650000</v>
      </c>
      <c r="D178" s="587">
        <f>SUMIF(A$2:A178,A178,C$2:C178)</f>
        <v>1950000</v>
      </c>
      <c r="E178" s="588">
        <f>IF(VLOOKUP(A178,合同台帐!$A$4:$K$195,7,1)&gt;0,VLOOKUP(A178,合同台帐!$A$4:$K$195,7,1)-D178,VLOOKUP(A178,合同台帐!$A$4:$F$195,6,1)-D178)</f>
        <v>1150000</v>
      </c>
      <c r="F178" s="589" t="str">
        <f>VLOOKUP(A178,合同台帐!$A$4:$D$195,4,1)</f>
        <v>界外地景观</v>
      </c>
      <c r="G178" s="589" t="str">
        <f>VLOOKUP(A178,合同台帐!$A$4:$E$195,5,1)</f>
        <v>天津兰苑绿化工程有限公司</v>
      </c>
      <c r="H178" s="590"/>
      <c r="I178" s="318" t="str">
        <f>IF(A178&lt;&gt;0,VLOOKUP(A178,合同台帐!$A$4:$C$893,3,0),"")</f>
        <v>建环外</v>
      </c>
    </row>
    <row r="179" spans="1:9" s="591" customFormat="1" ht="15.75" customHeight="1">
      <c r="A179" s="378" t="s">
        <v>108</v>
      </c>
      <c r="B179" s="579" t="s">
        <v>1464</v>
      </c>
      <c r="C179" s="364">
        <v>100000</v>
      </c>
      <c r="D179" s="587">
        <f>SUMIF(A$2:A179,A179,C$2:C179)</f>
        <v>100000</v>
      </c>
      <c r="E179" s="588">
        <f>IF(VLOOKUP(A179,合同台帐!$A$4:$K$195,7,1)&gt;0,VLOOKUP(A179,合同台帐!$A$4:$K$195,7,1)-D179,VLOOKUP(A179,合同台帐!$A$4:$F$195,6,1)-D179)</f>
        <v>113449</v>
      </c>
      <c r="F179" s="589" t="str">
        <f>VLOOKUP(A179,合同台帐!$A$4:$D$195,4,1)</f>
        <v>示范区夜景照明</v>
      </c>
      <c r="G179" s="589" t="str">
        <f>VLOOKUP(A179,合同台帐!$A$4:$E$195,5,1)</f>
        <v>天津鑫润达建筑工程有限公司</v>
      </c>
      <c r="H179" s="590"/>
      <c r="I179" s="318" t="str">
        <f>IF(A179&lt;&gt;0,VLOOKUP(A179,合同台帐!$A$4:$C$893,3,0),"")</f>
        <v>建环</v>
      </c>
    </row>
    <row r="180" spans="1:9" s="591" customFormat="1" ht="15.75" customHeight="1">
      <c r="A180" s="378" t="s">
        <v>88</v>
      </c>
      <c r="B180" s="579" t="s">
        <v>1464</v>
      </c>
      <c r="C180" s="364">
        <v>2000000</v>
      </c>
      <c r="D180" s="587">
        <f>SUMIF(A$2:A180,A180,C$2:C180)</f>
        <v>2400000</v>
      </c>
      <c r="E180" s="588">
        <f>IF(VLOOKUP(A180,合同台帐!$A$4:$K$195,7,1)&gt;0,VLOOKUP(A180,合同台帐!$A$4:$K$195,7,1)-D180,VLOOKUP(A180,合同台帐!$A$4:$F$195,6,1)-D180)</f>
        <v>3300000</v>
      </c>
      <c r="F180" s="589" t="str">
        <f>VLOOKUP(A180,合同台帐!$A$4:$D$195,4,1)</f>
        <v>一期中水、自来水配套工程（含中水一次网，中水、自来水二次网，中水、自来水水表，室外消火栓、消防防险准备金）</v>
      </c>
      <c r="G180" s="589" t="str">
        <f>VLOOKUP(A180,合同台帐!$A$4:$E$195,5,1)</f>
        <v>蓟县自来水管理所</v>
      </c>
      <c r="H180" s="590"/>
      <c r="I180" s="318" t="str">
        <f>IF(A180&lt;&gt;0,VLOOKUP(A180,合同台帐!$A$4:$C$893,3,0),"")</f>
        <v>基水</v>
      </c>
    </row>
    <row r="181" spans="1:9" s="591" customFormat="1" ht="15.75" customHeight="1">
      <c r="A181" s="378" t="s">
        <v>1366</v>
      </c>
      <c r="B181" s="579" t="s">
        <v>1703</v>
      </c>
      <c r="C181" s="364">
        <v>554916</v>
      </c>
      <c r="D181" s="587">
        <f>SUMIF(A$2:A181,A181,C$2:C181)</f>
        <v>832374</v>
      </c>
      <c r="E181" s="588">
        <f>IF(VLOOKUP(A181,合同台帐!$A$4:$K$195,7,1)&gt;0,VLOOKUP(A181,合同台帐!$A$4:$K$195,7,1)-D181,VLOOKUP(A181,合同台帐!$A$4:$F$195,6,1)-D181)</f>
        <v>5969013</v>
      </c>
      <c r="F181" s="589" t="str">
        <f>VLOOKUP(A181,合同台帐!$A$4:$D$195,4,1)</f>
        <v>一期断桥铝合金门窗安装</v>
      </c>
      <c r="G181" s="589" t="str">
        <f>VLOOKUP(A181,合同台帐!$A$4:$E$195,5,1)</f>
        <v>天津江胜建筑工程有限公司</v>
      </c>
      <c r="H181" s="590"/>
      <c r="I181" s="318" t="str">
        <f>IF(A181&lt;&gt;0,VLOOKUP(A181,合同台帐!$A$4:$C$893,3,0),"")</f>
        <v>建主</v>
      </c>
    </row>
    <row r="182" spans="1:9" s="591" customFormat="1" ht="15.75" customHeight="1">
      <c r="A182" s="378" t="s">
        <v>109</v>
      </c>
      <c r="B182" s="579" t="s">
        <v>1476</v>
      </c>
      <c r="C182" s="364">
        <v>2336</v>
      </c>
      <c r="D182" s="587">
        <f>SUMIF(A$2:A182,A182,C$2:C182)</f>
        <v>2336</v>
      </c>
      <c r="E182" s="588">
        <f>IF(VLOOKUP(A182,合同台帐!$A$4:$K$195,7,1)&gt;0,VLOOKUP(A182,合同台帐!$A$4:$K$195,7,1)-D182,VLOOKUP(A182,合同台帐!$A$4:$F$195,6,1)-D182)</f>
        <v>0</v>
      </c>
      <c r="F182" s="589" t="str">
        <f>VLOOKUP(A182,合同台帐!$A$4:$D$195,4,1)</f>
        <v>二期消防缩微费</v>
      </c>
      <c r="G182" s="589" t="str">
        <f>VLOOKUP(A182,合同台帐!$A$4:$E$195,5,1)</f>
        <v>天津汉龙思琪科技发展有限公司</v>
      </c>
      <c r="H182" s="590"/>
      <c r="I182" s="318" t="str">
        <f>IF(A182&lt;&gt;0,VLOOKUP(A182,合同台帐!$A$4:$C$893,3,0),"")</f>
        <v>前消档</v>
      </c>
    </row>
    <row r="183" spans="1:9" s="591" customFormat="1" ht="15.75" customHeight="1">
      <c r="A183" s="378" t="s">
        <v>110</v>
      </c>
      <c r="B183" s="579" t="s">
        <v>1489</v>
      </c>
      <c r="C183" s="364">
        <v>6400</v>
      </c>
      <c r="D183" s="587">
        <f>SUMIF(A$2:A183,A183,C$2:C183)</f>
        <v>6400</v>
      </c>
      <c r="E183" s="588">
        <f>IF(VLOOKUP(A183,合同台帐!$A$4:$K$195,7,1)&gt;0,VLOOKUP(A183,合同台帐!$A$4:$K$195,7,1)-D183,VLOOKUP(A183,合同台帐!$A$4:$F$195,6,1)-D183)</f>
        <v>0</v>
      </c>
      <c r="F183" s="589" t="str">
        <f>VLOOKUP(A183,合同台帐!$A$4:$D$195,4,1)</f>
        <v>景观（界外地、示范区、小院围墙）招标交易服务费</v>
      </c>
      <c r="G183" s="589" t="str">
        <f>VLOOKUP(A183,合同台帐!$A$4:$E$195,5,1)</f>
        <v>蓟县建设管理委员会</v>
      </c>
      <c r="H183" s="590"/>
      <c r="I183" s="318" t="str">
        <f>IF(A183&lt;&gt;0,VLOOKUP(A183,合同台帐!$A$4:$C$893,3,0),"")</f>
        <v>前标服</v>
      </c>
    </row>
    <row r="184" spans="1:9" s="591" customFormat="1" ht="15.75" customHeight="1">
      <c r="A184" s="378" t="s">
        <v>77</v>
      </c>
      <c r="B184" s="579" t="s">
        <v>1489</v>
      </c>
      <c r="C184" s="364">
        <v>1000000</v>
      </c>
      <c r="D184" s="587">
        <f>SUMIF(A$2:A184,A184,C$2:C184)</f>
        <v>25563610</v>
      </c>
      <c r="E184" s="588">
        <f>IF(VLOOKUP(A184,合同台帐!$A$4:$K$195,7,1)&gt;0,VLOOKUP(A184,合同台帐!$A$4:$K$195,7,1)-D184,VLOOKUP(A184,合同台帐!$A$4:$F$195,6,1)-D184)</f>
        <v>84436390</v>
      </c>
      <c r="F184" s="589" t="str">
        <f>VLOOKUP(A184,合同台帐!$A$4:$D$195,4,1)</f>
        <v>总包一期工程</v>
      </c>
      <c r="G184" s="589" t="str">
        <f>VLOOKUP(A184,合同台帐!$A$4:$E$195,5,1)</f>
        <v>天津泉州建设工程集团有限公司</v>
      </c>
      <c r="H184" s="590"/>
      <c r="I184" s="318">
        <f>IF(A184&lt;&gt;0,VLOOKUP(A184,合同台帐!$A$4:$C$893,3,0),"")</f>
        <v>0</v>
      </c>
    </row>
    <row r="185" spans="1:9" s="619" customFormat="1" ht="15.75" customHeight="1">
      <c r="A185" s="303" t="s">
        <v>77</v>
      </c>
      <c r="B185" s="614"/>
      <c r="C185" s="615">
        <v>1000000</v>
      </c>
      <c r="D185" s="628">
        <f>SUMIF(A$2:A185,A185,C$2:C185)</f>
        <v>26563610</v>
      </c>
      <c r="E185" s="616">
        <f>IF(VLOOKUP(A185,合同台帐!$A$4:$K$195,7,1)&gt;0,VLOOKUP(A185,合同台帐!$A$4:$K$195,7,1)-D185,VLOOKUP(A185,合同台帐!$A$4:$F$195,6,1)-D185)</f>
        <v>83436390</v>
      </c>
      <c r="F185" s="617" t="str">
        <f>VLOOKUP(A185,合同台帐!$A$4:$D$195,4,1)</f>
        <v>总包一期工程</v>
      </c>
      <c r="G185" s="617" t="str">
        <f>VLOOKUP(A185,合同台帐!$A$4:$E$195,5,1)</f>
        <v>天津泉州建设工程集团有限公司</v>
      </c>
      <c r="H185" s="618"/>
      <c r="I185" s="305">
        <f>IF(A185&lt;&gt;0,VLOOKUP(A185,合同台帐!$A$4:$C$893,3,0),"")</f>
        <v>0</v>
      </c>
    </row>
    <row r="186" spans="1:9" s="591" customFormat="1" ht="15.75" customHeight="1">
      <c r="A186" s="378" t="s">
        <v>1417</v>
      </c>
      <c r="B186" s="579" t="s">
        <v>1704</v>
      </c>
      <c r="C186" s="364">
        <v>900000</v>
      </c>
      <c r="D186" s="587">
        <f>SUMIF(A$2:A186,A186,C$2:C186)</f>
        <v>1050000</v>
      </c>
      <c r="E186" s="588">
        <f>IF(VLOOKUP(A186,合同台帐!$A$4:$K$195,7,1)&gt;0,VLOOKUP(A186,合同台帐!$A$4:$K$195,7,1)-D186,VLOOKUP(A186,合同台帐!$A$4:$F$195,6,1)-D186)</f>
        <v>2710794</v>
      </c>
      <c r="F186" s="589" t="str">
        <f>VLOOKUP(A186,合同台帐!$A$4:$D$195,4,1)</f>
        <v>售楼处样板间精装修工程</v>
      </c>
      <c r="G186" s="589" t="str">
        <f>VLOOKUP(A186,合同台帐!$A$4:$E$195,5,1)</f>
        <v>天津磊德建筑装饰工程有限公司</v>
      </c>
      <c r="H186" s="590"/>
      <c r="I186" s="318" t="str">
        <f>IF(A186&lt;&gt;0,VLOOKUP(A186,合同台帐!$A$4:$C$893,3,0),"")</f>
        <v>建主</v>
      </c>
    </row>
    <row r="187" spans="1:9" s="591" customFormat="1" ht="15.75" customHeight="1">
      <c r="A187" s="378" t="s">
        <v>34</v>
      </c>
      <c r="B187" s="579" t="s">
        <v>1705</v>
      </c>
      <c r="C187" s="364">
        <v>2405214</v>
      </c>
      <c r="D187" s="587">
        <f>SUMIF(A$2:A187,A187,C$2:C187)</f>
        <v>5411731.5</v>
      </c>
      <c r="E187" s="588">
        <f>IF(VLOOKUP(A187,合同台帐!$A$4:$K$195,7,1)&gt;0,VLOOKUP(A187,合同台帐!$A$4:$K$195,7,1)-D187,VLOOKUP(A187,合同台帐!$A$4:$F$195,6,1)-D187)</f>
        <v>601303.5</v>
      </c>
      <c r="F187" s="589" t="str">
        <f>VLOOKUP(A187,合同台帐!$A$4:$D$195,4,1)</f>
        <v>一期电力配套费</v>
      </c>
      <c r="G187" s="589" t="str">
        <f>VLOOKUP(A187,合同台帐!$A$4:$E$195,5,1)</f>
        <v>天津市电力公司蓟县分公司</v>
      </c>
      <c r="H187" s="590"/>
      <c r="I187" s="318" t="str">
        <f>IF(A187&lt;&gt;0,VLOOKUP(A187,合同台帐!$A$4:$C$893,3,0),"")</f>
        <v>基电工</v>
      </c>
    </row>
    <row r="188" spans="1:9" s="591" customFormat="1" ht="15.75" customHeight="1">
      <c r="A188" s="378" t="s">
        <v>92</v>
      </c>
      <c r="B188" s="579" t="s">
        <v>1705</v>
      </c>
      <c r="C188" s="364">
        <v>259182</v>
      </c>
      <c r="D188" s="587">
        <f>SUMIF(A$2:A188,A188,C$2:C188)</f>
        <v>583159.5</v>
      </c>
      <c r="E188" s="588">
        <f>IF(VLOOKUP(A188,合同台帐!$A$4:$K$195,7,1)&gt;0,VLOOKUP(A188,合同台帐!$A$4:$K$195,7,1)-D188,VLOOKUP(A188,合同台帐!$A$4:$F$195,6,1)-D188)</f>
        <v>64795.5</v>
      </c>
      <c r="F188" s="589" t="str">
        <f>VLOOKUP(A188,合同台帐!$A$4:$D$195,4,1)</f>
        <v>一期电力配套费（泵房、供热站动力负荷）</v>
      </c>
      <c r="G188" s="589" t="str">
        <f>VLOOKUP(A188,合同台帐!$A$4:$E$195,5,1)</f>
        <v>天津市电力公司蓟县分公司</v>
      </c>
      <c r="H188" s="590"/>
      <c r="I188" s="318" t="str">
        <f>IF(A188&lt;&gt;0,VLOOKUP(A188,合同台帐!$A$4:$C$893,3,0),"")</f>
        <v>基电工</v>
      </c>
    </row>
    <row r="189" spans="1:9" s="591" customFormat="1" ht="15.75" customHeight="1">
      <c r="A189" s="378" t="s">
        <v>1417</v>
      </c>
      <c r="B189" s="579" t="s">
        <v>1706</v>
      </c>
      <c r="C189" s="364">
        <v>830397</v>
      </c>
      <c r="D189" s="587">
        <f>SUMIF(A$2:A189,A189,C$2:C189)</f>
        <v>1880397</v>
      </c>
      <c r="E189" s="588">
        <f>IF(VLOOKUP(A189,合同台帐!$A$4:$K$195,7,1)&gt;0,VLOOKUP(A189,合同台帐!$A$4:$K$195,7,1)-D189,VLOOKUP(A189,合同台帐!$A$4:$F$195,6,1)-D189)</f>
        <v>1880397</v>
      </c>
      <c r="F189" s="589" t="str">
        <f>VLOOKUP(A189,合同台帐!$A$4:$D$195,4,1)</f>
        <v>售楼处样板间精装修工程</v>
      </c>
      <c r="G189" s="589" t="str">
        <f>VLOOKUP(A189,合同台帐!$A$4:$E$195,5,1)</f>
        <v>天津磊德建筑装饰工程有限公司</v>
      </c>
      <c r="H189" s="590"/>
      <c r="I189" s="318" t="str">
        <f>IF(A189&lt;&gt;0,VLOOKUP(A189,合同台帐!$A$4:$C$893,3,0),"")</f>
        <v>建主</v>
      </c>
    </row>
    <row r="190" spans="1:9" s="591" customFormat="1" ht="15.75" customHeight="1">
      <c r="A190" s="378" t="s">
        <v>15</v>
      </c>
      <c r="B190" s="579" t="s">
        <v>1706</v>
      </c>
      <c r="C190" s="364">
        <v>300000</v>
      </c>
      <c r="D190" s="587">
        <f>SUMIF(A$2:A190,A190,C$2:C190)</f>
        <v>6327629</v>
      </c>
      <c r="E190" s="588">
        <f>IF(VLOOKUP(A190,合同台帐!$A$4:$K$195,7,1)&gt;0,VLOOKUP(A190,合同台帐!$A$4:$K$195,7,1)-D190,VLOOKUP(A190,合同台帐!$A$4:$F$195,6,1)-D190)</f>
        <v>1472371</v>
      </c>
      <c r="F190" s="589" t="str">
        <f>VLOOKUP(A190,合同台帐!$A$4:$D$195,4,1)</f>
        <v>建筑方案及施工图设计合同</v>
      </c>
      <c r="G190" s="589" t="str">
        <f>VLOOKUP(A190,合同台帐!$A$4:$E$195,5,1)</f>
        <v>北京新纪元建筑工程设计有限公司</v>
      </c>
      <c r="H190" s="590"/>
      <c r="I190" s="318" t="str">
        <f>IF(A190&lt;&gt;0,VLOOKUP(A190,合同台帐!$A$4:$C$893,3,0),"")</f>
        <v>前设设</v>
      </c>
    </row>
    <row r="191" spans="1:9" s="591" customFormat="1" ht="15.75" customHeight="1">
      <c r="A191" s="378" t="s">
        <v>1394</v>
      </c>
      <c r="B191" s="579" t="s">
        <v>1707</v>
      </c>
      <c r="C191" s="364">
        <v>300000</v>
      </c>
      <c r="D191" s="587">
        <f>SUMIF(A$2:A191,A191,C$2:C191)</f>
        <v>2505504</v>
      </c>
      <c r="E191" s="588">
        <f>IF(VLOOKUP(A191,合同台帐!$A$4:$K$195,7,1)&gt;0,VLOOKUP(A191,合同台帐!$A$4:$K$195,7,1)-D191,VLOOKUP(A191,合同台帐!$A$4:$F$195,6,1)-D191)</f>
        <v>20089192</v>
      </c>
      <c r="F191" s="589" t="str">
        <f>VLOOKUP(A191,合同台帐!$A$4:$D$195,4,1)</f>
        <v>一期保温涂料线条线角</v>
      </c>
      <c r="G191" s="589" t="str">
        <f>VLOOKUP(A191,合同台帐!$A$4:$E$195,5,1)</f>
        <v>天津万通达建筑工程有限公司</v>
      </c>
      <c r="H191" s="590"/>
      <c r="I191" s="318" t="str">
        <f>IF(A191&lt;&gt;0,VLOOKUP(A191,合同台帐!$A$4:$C$893,3,0),"")</f>
        <v>建主</v>
      </c>
    </row>
    <row r="192" spans="1:9" s="591" customFormat="1" ht="15.75" customHeight="1">
      <c r="A192" s="378" t="s">
        <v>111</v>
      </c>
      <c r="B192" s="579" t="s">
        <v>1707</v>
      </c>
      <c r="C192" s="364">
        <v>5760</v>
      </c>
      <c r="D192" s="587">
        <f>SUMIF(A$2:A192,A192,C$2:C192)</f>
        <v>5760</v>
      </c>
      <c r="E192" s="588">
        <f>IF(VLOOKUP(A192,合同台帐!$A$4:$K$195,7,1)&gt;0,VLOOKUP(A192,合同台帐!$A$4:$K$195,7,1)-D192,VLOOKUP(A192,合同台帐!$A$4:$F$195,6,1)-D192)</f>
        <v>0</v>
      </c>
      <c r="F192" s="589" t="str">
        <f>VLOOKUP(A192,合同台帐!$A$4:$D$195,4,1)</f>
        <v>预售登记费(一期72套）</v>
      </c>
      <c r="G192" s="589" t="str">
        <f>VLOOKUP(A192,合同台帐!$A$4:$E$195,5,1)</f>
        <v>天津市财政局</v>
      </c>
      <c r="H192" s="590"/>
      <c r="I192" s="318" t="str">
        <f>IF(A192&lt;&gt;0,VLOOKUP(A192,合同台帐!$A$4:$C$893,3,0),"")</f>
        <v>前销</v>
      </c>
    </row>
    <row r="193" spans="1:9" s="591" customFormat="1" ht="15.75" customHeight="1">
      <c r="A193" s="378" t="s">
        <v>1277</v>
      </c>
      <c r="B193" s="579" t="s">
        <v>1707</v>
      </c>
      <c r="C193" s="364">
        <v>200000</v>
      </c>
      <c r="D193" s="587">
        <f>SUMIF(A$2:A193,A193,C$2:C193)</f>
        <v>707870</v>
      </c>
      <c r="E193" s="588">
        <f>IF(VLOOKUP(A193,合同台帐!$A$4:$K$195,7,1)&gt;0,VLOOKUP(A193,合同台帐!$A$4:$K$195,7,1)-D193,VLOOKUP(A193,合同台帐!$A$4:$F$195,6,1)-D193)</f>
        <v>260080</v>
      </c>
      <c r="F193" s="589" t="str">
        <f>VLOOKUP(A193,合同台帐!$A$4:$D$195,4,1)</f>
        <v>一期强夯工程补充合同</v>
      </c>
      <c r="G193" s="589" t="str">
        <f>VLOOKUP(A193,合同台帐!$A$4:$E$195,5,1)</f>
        <v>天津华勘集团有限公司</v>
      </c>
      <c r="H193" s="590"/>
      <c r="I193" s="318" t="str">
        <f>IF(A193&lt;&gt;0,VLOOKUP(A193,合同台帐!$A$4:$C$893,3,0),"")</f>
        <v>建基</v>
      </c>
    </row>
    <row r="194" spans="1:9" s="591" customFormat="1" ht="15.75" customHeight="1">
      <c r="A194" s="378" t="s">
        <v>112</v>
      </c>
      <c r="B194" s="579" t="s">
        <v>1707</v>
      </c>
      <c r="C194" s="364">
        <v>100000</v>
      </c>
      <c r="D194" s="587">
        <f>SUMIF(A$2:A194,A194,C$2:C194)</f>
        <v>100000</v>
      </c>
      <c r="E194" s="588">
        <f>IF(VLOOKUP(A194,合同台帐!$A$4:$K$195,7,1)&gt;0,VLOOKUP(A194,合同台帐!$A$4:$K$195,7,1)-D194,VLOOKUP(A194,合同台帐!$A$4:$F$195,6,1)-D194)</f>
        <v>449900</v>
      </c>
      <c r="F194" s="589" t="str">
        <f>VLOOKUP(A194,合同台帐!$A$4:$D$195,4,1)</f>
        <v>弱电综合管网工程</v>
      </c>
      <c r="G194" s="589" t="str">
        <f>VLOOKUP(A194,合同台帐!$A$4:$E$195,5,1)</f>
        <v>天津市玉宇建筑工程有限公司</v>
      </c>
      <c r="H194" s="590"/>
      <c r="I194" s="318" t="str">
        <f>IF(A194&lt;&gt;0,VLOOKUP(A194,合同台帐!$A$4:$C$893,3,0),"")</f>
        <v>基视</v>
      </c>
    </row>
    <row r="195" spans="1:9" s="591" customFormat="1" ht="15.75" customHeight="1">
      <c r="A195" s="378" t="s">
        <v>36</v>
      </c>
      <c r="B195" s="579" t="s">
        <v>1707</v>
      </c>
      <c r="C195" s="364">
        <v>100000</v>
      </c>
      <c r="D195" s="587">
        <f>SUMIF(A$2:A195,A195,C$2:C195)</f>
        <v>338650</v>
      </c>
      <c r="E195" s="588">
        <f>IF(VLOOKUP(A195,合同台帐!$A$4:$K$195,7,1)&gt;0,VLOOKUP(A195,合同台帐!$A$4:$K$195,7,1)-D195,VLOOKUP(A195,合同台帐!$A$4:$F$195,6,1)-D195)</f>
        <v>111030</v>
      </c>
      <c r="F195" s="589" t="str">
        <f>VLOOKUP(A195,合同台帐!$A$4:$D$195,4,1)</f>
        <v>地库及人防设计合同</v>
      </c>
      <c r="G195" s="589" t="str">
        <f>VLOOKUP(A195,合同台帐!$A$4:$E$195,5,1)</f>
        <v>天津冶金规划设计院</v>
      </c>
      <c r="H195" s="590"/>
      <c r="I195" s="318" t="str">
        <f>IF(A195&lt;&gt;0,VLOOKUP(A195,合同台帐!$A$4:$C$893,3,0),"")</f>
        <v>前设其</v>
      </c>
    </row>
    <row r="196" spans="1:9" s="591" customFormat="1" ht="15.75" customHeight="1">
      <c r="A196" s="378" t="s">
        <v>77</v>
      </c>
      <c r="B196" s="579" t="s">
        <v>1708</v>
      </c>
      <c r="C196" s="364">
        <v>1500000</v>
      </c>
      <c r="D196" s="587">
        <f>SUMIF(A$2:A196,A196,C$2:C196)</f>
        <v>28063610</v>
      </c>
      <c r="E196" s="588">
        <f>IF(VLOOKUP(A196,合同台帐!$A$4:$K$195,7,1)&gt;0,VLOOKUP(A196,合同台帐!$A$4:$K$195,7,1)-D196,VLOOKUP(A196,合同台帐!$A$4:$F$195,6,1)-D196)</f>
        <v>81936390</v>
      </c>
      <c r="F196" s="589" t="str">
        <f>VLOOKUP(A196,合同台帐!$A$4:$D$195,4,1)</f>
        <v>总包一期工程</v>
      </c>
      <c r="G196" s="589" t="str">
        <f>VLOOKUP(A196,合同台帐!$A$4:$E$195,5,1)</f>
        <v>天津泉州建设工程集团有限公司</v>
      </c>
      <c r="H196" s="590"/>
      <c r="I196" s="318">
        <f>IF(A196&lt;&gt;0,VLOOKUP(A196,合同台帐!$A$4:$C$893,3,0),"")</f>
        <v>0</v>
      </c>
    </row>
    <row r="197" spans="1:9" s="591" customFormat="1" ht="15.75" customHeight="1">
      <c r="A197" s="378" t="s">
        <v>98</v>
      </c>
      <c r="B197" s="579" t="s">
        <v>1709</v>
      </c>
      <c r="C197" s="364">
        <v>147836</v>
      </c>
      <c r="D197" s="587">
        <f>SUMIF(A$2:A197,A197,C$2:C197)</f>
        <v>428081</v>
      </c>
      <c r="E197" s="588">
        <f>IF(VLOOKUP(A197,合同台帐!$A$4:$K$195,7,1)&gt;0,VLOOKUP(A197,合同台帐!$A$4:$K$195,7,1)-D197,VLOOKUP(A197,合同台帐!$A$4:$F$195,6,1)-D197)</f>
        <v>22531</v>
      </c>
      <c r="F197" s="589" t="str">
        <f>VLOOKUP(A197,合同台帐!$A$4:$D$195,4,1)</f>
        <v>售楼处中央空调安装合同</v>
      </c>
      <c r="G197" s="589" t="str">
        <f>VLOOKUP(A197,合同台帐!$A$4:$E$195,5,1)</f>
        <v>天津荣润世纪科技有限公司</v>
      </c>
      <c r="H197" s="590"/>
      <c r="I197" s="318" t="str">
        <f>IF(A197&lt;&gt;0,VLOOKUP(A197,合同台帐!$A$4:$C$893,3,0),"")</f>
        <v>建主</v>
      </c>
    </row>
    <row r="198" spans="1:9" s="591" customFormat="1" ht="15.75" customHeight="1">
      <c r="A198" s="378" t="s">
        <v>1463</v>
      </c>
      <c r="B198" s="579" t="s">
        <v>1709</v>
      </c>
      <c r="C198" s="364">
        <v>74507</v>
      </c>
      <c r="D198" s="587">
        <f>SUMIF(A$2:A198,A198,C$2:C198)</f>
        <v>74507</v>
      </c>
      <c r="E198" s="588">
        <f>IF(VLOOKUP(A198,合同台帐!$A$4:$K$195,7,1)&gt;0,VLOOKUP(A198,合同台帐!$A$4:$K$195,7,1)-D198,VLOOKUP(A198,合同台帐!$A$4:$F$195,6,1)-D198)</f>
        <v>74507</v>
      </c>
      <c r="F198" s="589" t="str">
        <f>VLOOKUP(A198,合同台帐!$A$4:$D$195,4,1)</f>
        <v>33#楼公共部位精装修、门卫精装修</v>
      </c>
      <c r="G198" s="589" t="str">
        <f>VLOOKUP(A198,合同台帐!$A$4:$E$195,5,1)</f>
        <v>天津市三鼎建筑工程有限公司</v>
      </c>
      <c r="H198" s="590"/>
      <c r="I198" s="318" t="str">
        <f>IF(A198&lt;&gt;0,VLOOKUP(A198,合同台帐!$A$4:$C$893,3,0),"")</f>
        <v>建主</v>
      </c>
    </row>
    <row r="199" spans="1:9" s="591" customFormat="1" ht="15.75" customHeight="1">
      <c r="A199" s="378" t="s">
        <v>90</v>
      </c>
      <c r="B199" s="579" t="s">
        <v>1710</v>
      </c>
      <c r="C199" s="364">
        <v>1139744</v>
      </c>
      <c r="D199" s="587">
        <f>SUMIF(A$2:A199,A199,C$2:C199)</f>
        <v>2039730</v>
      </c>
      <c r="E199" s="588">
        <f>IF(VLOOKUP(A199,合同台帐!$A$4:$K$195,7,1)&gt;0,VLOOKUP(A199,合同台帐!$A$4:$K$195,7,1)-D199,VLOOKUP(A199,合同台帐!$A$4:$F$195,6,1)-D199)</f>
        <v>1100000</v>
      </c>
      <c r="F199" s="589" t="str">
        <f>VLOOKUP(A199,合同台帐!$A$4:$D$195,4,1)</f>
        <v>一期排水配套工程</v>
      </c>
      <c r="G199" s="589" t="str">
        <f>VLOOKUP(A199,合同台帐!$A$4:$E$195,5,1)</f>
        <v>天津市蓟县节约用水事务管理中心</v>
      </c>
      <c r="H199" s="590"/>
      <c r="I199" s="318" t="str">
        <f>IF(A199&lt;&gt;0,VLOOKUP(A199,合同台帐!$A$4:$C$893,3,0),"")</f>
        <v>基排工</v>
      </c>
    </row>
    <row r="200" spans="1:9" s="591" customFormat="1" ht="15.75" customHeight="1">
      <c r="A200" s="378" t="s">
        <v>88</v>
      </c>
      <c r="B200" s="579" t="s">
        <v>1710</v>
      </c>
      <c r="C200" s="364">
        <v>1800000</v>
      </c>
      <c r="D200" s="587">
        <f>SUMIF(A$2:A200,A200,C$2:C200)</f>
        <v>4200000</v>
      </c>
      <c r="E200" s="588">
        <f>IF(VLOOKUP(A200,合同台帐!$A$4:$K$195,7,1)&gt;0,VLOOKUP(A200,合同台帐!$A$4:$K$195,7,1)-D200,VLOOKUP(A200,合同台帐!$A$4:$F$195,6,1)-D200)</f>
        <v>1500000</v>
      </c>
      <c r="F200" s="589" t="str">
        <f>VLOOKUP(A200,合同台帐!$A$4:$D$195,4,1)</f>
        <v>一期中水、自来水配套工程（含中水一次网，中水、自来水二次网，中水、自来水水表，室外消火栓、消防防险准备金）</v>
      </c>
      <c r="G200" s="589" t="str">
        <f>VLOOKUP(A200,合同台帐!$A$4:$E$195,5,1)</f>
        <v>蓟县自来水管理所</v>
      </c>
      <c r="H200" s="590"/>
      <c r="I200" s="318" t="str">
        <f>IF(A200&lt;&gt;0,VLOOKUP(A200,合同台帐!$A$4:$C$893,3,0),"")</f>
        <v>基水</v>
      </c>
    </row>
    <row r="201" spans="1:9" s="591" customFormat="1" ht="15.75" customHeight="1">
      <c r="A201" s="378" t="s">
        <v>77</v>
      </c>
      <c r="B201" s="579" t="s">
        <v>1711</v>
      </c>
      <c r="C201" s="364">
        <v>800000</v>
      </c>
      <c r="D201" s="587">
        <f>SUMIF(A$2:A201,A201,C$2:C201)</f>
        <v>28863610</v>
      </c>
      <c r="E201" s="588">
        <f>IF(VLOOKUP(A201,合同台帐!$A$4:$K$195,7,1)&gt;0,VLOOKUP(A201,合同台帐!$A$4:$K$195,7,1)-D201,VLOOKUP(A201,合同台帐!$A$4:$F$195,6,1)-D201)</f>
        <v>81136390</v>
      </c>
      <c r="F201" s="589" t="str">
        <f>VLOOKUP(A201,合同台帐!$A$4:$D$195,4,1)</f>
        <v>总包一期工程</v>
      </c>
      <c r="G201" s="589" t="str">
        <f>VLOOKUP(A201,合同台帐!$A$4:$E$195,5,1)</f>
        <v>天津泉州建设工程集团有限公司</v>
      </c>
      <c r="H201" s="590"/>
      <c r="I201" s="318">
        <f>IF(A201&lt;&gt;0,VLOOKUP(A201,合同台帐!$A$4:$C$893,3,0),"")</f>
        <v>0</v>
      </c>
    </row>
    <row r="202" spans="1:9" s="591" customFormat="1" ht="15.75" customHeight="1">
      <c r="A202" s="378" t="s">
        <v>1412</v>
      </c>
      <c r="B202" s="579" t="s">
        <v>1711</v>
      </c>
      <c r="C202" s="364">
        <v>600000</v>
      </c>
      <c r="D202" s="587">
        <f>SUMIF(A$2:A202,A202,C$2:C202)</f>
        <v>600000</v>
      </c>
      <c r="E202" s="588">
        <f>IF(VLOOKUP(A202,合同台帐!$A$4:$K$195,7,1)&gt;0,VLOOKUP(A202,合同台帐!$A$4:$K$195,7,1)-D202,VLOOKUP(A202,合同台帐!$A$4:$F$195,6,1)-D202)</f>
        <v>10684542</v>
      </c>
      <c r="F202" s="589" t="str">
        <f>VLOOKUP(A202,合同台帐!$A$4:$D$195,4,1)</f>
        <v>外檐石材一体板及保温（一期）</v>
      </c>
      <c r="G202" s="589" t="str">
        <f>VLOOKUP(A202,合同台帐!$A$4:$E$195,5,1)</f>
        <v>山东华德隆建设有限公司</v>
      </c>
      <c r="H202" s="590"/>
      <c r="I202" s="318">
        <f>IF(A202&lt;&gt;0,VLOOKUP(A202,合同台帐!$A$4:$C$893,3,0),"")</f>
        <v>0</v>
      </c>
    </row>
    <row r="203" spans="1:9" s="591" customFormat="1" ht="15.75" customHeight="1">
      <c r="A203" s="378" t="s">
        <v>94</v>
      </c>
      <c r="B203" s="579" t="s">
        <v>1711</v>
      </c>
      <c r="C203" s="364">
        <v>130000</v>
      </c>
      <c r="D203" s="587">
        <f>SUMIF(A$2:A203,A203,C$2:C203)</f>
        <v>200000</v>
      </c>
      <c r="E203" s="588">
        <f>IF(VLOOKUP(A203,合同台帐!$A$4:$K$195,7,1)&gt;0,VLOOKUP(A203,合同台帐!$A$4:$K$195,7,1)-D203,VLOOKUP(A203,合同台帐!$A$4:$F$195,6,1)-D203)</f>
        <v>0</v>
      </c>
      <c r="F203" s="589" t="str">
        <f>VLOOKUP(A203,合同台帐!$A$4:$D$195,4,1)</f>
        <v>一期供热二次网工程土方挖填</v>
      </c>
      <c r="G203" s="589" t="str">
        <f>VLOOKUP(A203,合同台帐!$A$4:$E$195,5,1)</f>
        <v>天津聚宝龙投资有限公司</v>
      </c>
      <c r="H203" s="590"/>
      <c r="I203" s="318" t="str">
        <f>IF(A203&lt;&gt;0,VLOOKUP(A203,合同台帐!$A$4:$C$893,3,0),"")</f>
        <v>基热内</v>
      </c>
    </row>
    <row r="204" spans="1:9" s="591" customFormat="1" ht="15.75" customHeight="1">
      <c r="A204" s="378" t="s">
        <v>87</v>
      </c>
      <c r="B204" s="579" t="s">
        <v>1711</v>
      </c>
      <c r="C204" s="364">
        <v>1000000</v>
      </c>
      <c r="D204" s="587">
        <f>SUMIF(A$2:A204,A204,C$2:C204)</f>
        <v>1900000</v>
      </c>
      <c r="E204" s="588">
        <f>IF(VLOOKUP(A204,合同台帐!$A$4:$K$195,7,1)&gt;0,VLOOKUP(A204,合同台帐!$A$4:$K$195,7,1)-D204,VLOOKUP(A204,合同台帐!$A$4:$F$195,6,1)-D204)</f>
        <v>773069.73</v>
      </c>
      <c r="F204" s="589" t="str">
        <f>VLOOKUP(A204,合同台帐!$A$4:$D$195,4,1)</f>
        <v>供用热协议书（二次管网）</v>
      </c>
      <c r="G204" s="589" t="str">
        <f>VLOOKUP(A204,合同台帐!$A$4:$E$195,5,1)</f>
        <v>蓟县鑫泰物业管理有限公司</v>
      </c>
      <c r="H204" s="590"/>
      <c r="I204" s="318" t="str">
        <f>IF(A204&lt;&gt;0,VLOOKUP(A204,合同台帐!$A$4:$C$893,3,0),"")</f>
        <v>基热内</v>
      </c>
    </row>
    <row r="205" spans="1:9" s="591" customFormat="1" ht="15.75" customHeight="1">
      <c r="A205" s="378" t="s">
        <v>101</v>
      </c>
      <c r="B205" s="579" t="s">
        <v>1712</v>
      </c>
      <c r="C205" s="364">
        <v>1000000</v>
      </c>
      <c r="D205" s="587">
        <f>SUMIF(A$2:A205,A205,C$2:C205)</f>
        <v>5000000</v>
      </c>
      <c r="E205" s="588">
        <f>IF(VLOOKUP(A205,合同台帐!$A$4:$K$195,7,1)&gt;0,VLOOKUP(A205,合同台帐!$A$4:$K$195,7,1)-D205,VLOOKUP(A205,合同台帐!$A$4:$F$195,6,1)-D205)</f>
        <v>4498614</v>
      </c>
      <c r="F205" s="589" t="str">
        <f>VLOOKUP(A205,合同台帐!$A$4:$D$195,4,1)</f>
        <v>示范区景观</v>
      </c>
      <c r="G205" s="589" t="str">
        <f>VLOOKUP(A205,合同台帐!$A$4:$E$195,5,1)</f>
        <v>天津兰苑园林绿化工程有限公司</v>
      </c>
      <c r="H205" s="590"/>
      <c r="I205" s="318" t="str">
        <f>IF(A205&lt;&gt;0,VLOOKUP(A205,合同台帐!$A$4:$C$893,3,0),"")</f>
        <v>建环内</v>
      </c>
    </row>
    <row r="206" spans="1:9" s="591" customFormat="1" ht="15.75" customHeight="1">
      <c r="A206" s="378" t="s">
        <v>1459</v>
      </c>
      <c r="B206" s="579" t="s">
        <v>1712</v>
      </c>
      <c r="C206" s="364">
        <v>200000</v>
      </c>
      <c r="D206" s="587">
        <f>SUMIF(A$2:A206,A206,C$2:C206)</f>
        <v>450000</v>
      </c>
      <c r="E206" s="588">
        <f>IF(VLOOKUP(A206,合同台帐!$A$4:$K$195,7,1)&gt;0,VLOOKUP(A206,合同台帐!$A$4:$K$195,7,1)-D206,VLOOKUP(A206,合同台帐!$A$4:$F$195,6,1)-D206)</f>
        <v>109667</v>
      </c>
      <c r="F206" s="589" t="str">
        <f>VLOOKUP(A206,合同台帐!$A$4:$D$195,4,1)</f>
        <v>大门入口外檐装饰</v>
      </c>
      <c r="G206" s="589" t="str">
        <f>VLOOKUP(A206,合同台帐!$A$4:$E$195,5,1)</f>
        <v>天津万通达建筑工程有限公司</v>
      </c>
      <c r="H206" s="590"/>
      <c r="I206" s="318" t="str">
        <f>IF(A206&lt;&gt;0,VLOOKUP(A206,合同台帐!$A$4:$C$893,3,0),"")</f>
        <v>建主</v>
      </c>
    </row>
    <row r="207" spans="1:9" s="591" customFormat="1" ht="15.75" customHeight="1">
      <c r="A207" s="378" t="s">
        <v>1713</v>
      </c>
      <c r="B207" s="629">
        <v>2016.1</v>
      </c>
      <c r="C207" s="364">
        <v>4073.59</v>
      </c>
      <c r="D207" s="587">
        <f>SUMIF(A$2:A207,A207,C$2:C207)</f>
        <v>4073.59</v>
      </c>
      <c r="E207" s="588">
        <f>IF(VLOOKUP(A207,合同台帐!$A$4:$K$195,7,1)&gt;0,VLOOKUP(A207,合同台帐!$A$4:$K$195,7,1)-D207,VLOOKUP(A207,合同台帐!$A$4:$F$195,6,1)-D207)</f>
        <v>0</v>
      </c>
      <c r="F207" s="589" t="str">
        <f>VLOOKUP(A207,合同台帐!$A$4:$D$195,4,1)</f>
        <v>地形图测绘费（一期）</v>
      </c>
      <c r="G207" s="589" t="str">
        <f>VLOOKUP(A207,合同台帐!$A$4:$E$195,5,1)</f>
        <v>天津市国土资源测绘和房屋测量中心</v>
      </c>
      <c r="H207" s="590"/>
      <c r="I207" s="318" t="str">
        <f>IF(A207&lt;&gt;0,VLOOKUP(A207,合同台帐!$A$4:$C$893,3,0),"")</f>
        <v>前销</v>
      </c>
    </row>
    <row r="208" spans="1:9" s="591" customFormat="1" ht="15.75" customHeight="1">
      <c r="A208" s="378" t="s">
        <v>1714</v>
      </c>
      <c r="B208" s="629">
        <v>2016.1</v>
      </c>
      <c r="C208" s="364">
        <v>30400</v>
      </c>
      <c r="D208" s="587">
        <f>SUMIF(A$2:A208,A208,C$2:C208)</f>
        <v>30400</v>
      </c>
      <c r="E208" s="588">
        <f>IF(VLOOKUP(A208,合同台帐!$A$4:$K$195,7,1)&gt;0,VLOOKUP(A208,合同台帐!$A$4:$K$195,7,1)-D208,VLOOKUP(A208,合同台帐!$A$4:$F$195,6,1)-D208)</f>
        <v>0</v>
      </c>
      <c r="F208" s="589" t="str">
        <f>VLOOKUP(A208,合同台帐!$A$4:$D$195,4,1)</f>
        <v>（二期）招标交易服务费</v>
      </c>
      <c r="G208" s="589" t="str">
        <f>VLOOKUP(A208,合同台帐!$A$4:$E$195,5,1)</f>
        <v>蓟县建设管理委员会</v>
      </c>
      <c r="H208" s="590"/>
      <c r="I208" s="318" t="str">
        <f>IF(A208&lt;&gt;0,VLOOKUP(A208,合同台帐!$A$4:$C$893,3,0),"")</f>
        <v>前标服</v>
      </c>
    </row>
    <row r="209" spans="1:9" s="591" customFormat="1" ht="15.75" customHeight="1">
      <c r="A209" s="378" t="s">
        <v>1715</v>
      </c>
      <c r="B209" s="629">
        <v>2016.1</v>
      </c>
      <c r="C209" s="364">
        <v>46000</v>
      </c>
      <c r="D209" s="587">
        <f>SUMIF(A$2:A209,A209,C$2:C209)</f>
        <v>46000</v>
      </c>
      <c r="E209" s="588">
        <f>IF(VLOOKUP(A209,合同台帐!$A$4:$K$195,7,1)&gt;0,VLOOKUP(A209,合同台帐!$A$4:$K$195,7,1)-D209,VLOOKUP(A209,合同台帐!$A$4:$F$195,6,1)-D209)</f>
        <v>0</v>
      </c>
      <c r="F209" s="589" t="str">
        <f>VLOOKUP(A209,合同台帐!$A$4:$D$195,4,1)</f>
        <v>（三期）招标交易服务费</v>
      </c>
      <c r="G209" s="589" t="str">
        <f>VLOOKUP(A209,合同台帐!$A$4:$E$195,5,1)</f>
        <v>蓟县建设管理委员会</v>
      </c>
      <c r="H209" s="590"/>
      <c r="I209" s="318" t="str">
        <f>IF(A209&lt;&gt;0,VLOOKUP(A209,合同台帐!$A$4:$C$893,3,0),"")</f>
        <v>前标服</v>
      </c>
    </row>
    <row r="210" spans="1:9" s="591" customFormat="1" ht="15.75" customHeight="1">
      <c r="A210" s="378" t="s">
        <v>1716</v>
      </c>
      <c r="B210" s="629">
        <v>2016.1</v>
      </c>
      <c r="C210" s="364">
        <v>52120.35</v>
      </c>
      <c r="D210" s="587">
        <f>SUMIF(A$2:A210,A210,C$2:C210)</f>
        <v>52120.35</v>
      </c>
      <c r="E210" s="588">
        <f>IF(VLOOKUP(A210,合同台帐!$A$4:$K$195,7,1)&gt;0,VLOOKUP(A210,合同台帐!$A$4:$K$195,7,1)-D210,VLOOKUP(A210,合同台帐!$A$4:$F$195,6,1)-D210)</f>
        <v>0</v>
      </c>
      <c r="F210" s="589" t="str">
        <f>VLOOKUP(A210,合同台帐!$A$4:$D$195,4,1)</f>
        <v>（二、三期）水泥专项基金</v>
      </c>
      <c r="G210" s="589" t="str">
        <f>VLOOKUP(A210,合同台帐!$A$4:$E$195,5,1)</f>
        <v>蓟县建设管理委员会</v>
      </c>
      <c r="H210" s="590"/>
      <c r="I210" s="318" t="str">
        <f>IF(A210&lt;&gt;0,VLOOKUP(A210,合同台帐!$A$4:$C$893,3,0),"")</f>
        <v>前泥</v>
      </c>
    </row>
    <row r="211" spans="1:9" s="591" customFormat="1" ht="15.75" customHeight="1">
      <c r="A211" s="378" t="s">
        <v>72</v>
      </c>
      <c r="B211" s="629">
        <v>2016.1</v>
      </c>
      <c r="C211" s="364">
        <v>107340</v>
      </c>
      <c r="D211" s="587">
        <f>SUMIF(A$2:A211,A211,C$2:C211)</f>
        <v>737340</v>
      </c>
      <c r="E211" s="588">
        <f>IF(VLOOKUP(A211,合同台帐!$A$4:$K$195,7,1)&gt;0,VLOOKUP(A211,合同台帐!$A$4:$K$195,7,1)-D211,VLOOKUP(A211,合同台帐!$A$4:$F$195,6,1)-D211)</f>
        <v>0</v>
      </c>
      <c r="F211" s="589" t="str">
        <f>VLOOKUP(A211,合同台帐!$A$4:$D$195,4,1)</f>
        <v>售楼处样板间精装设计合同</v>
      </c>
      <c r="G211" s="589" t="str">
        <f>VLOOKUP(A211,合同台帐!$A$4:$E$195,5,1)</f>
        <v>北京米罗那装饰设计有限公司</v>
      </c>
      <c r="H211" s="590"/>
      <c r="I211" s="318" t="str">
        <f>IF(A211&lt;&gt;0,VLOOKUP(A211,合同台帐!$A$4:$C$893,3,0),"")</f>
        <v>前设</v>
      </c>
    </row>
    <row r="212" spans="1:9" s="591" customFormat="1" ht="15.75" customHeight="1">
      <c r="A212" s="378" t="s">
        <v>1717</v>
      </c>
      <c r="B212" s="629">
        <v>2016.1</v>
      </c>
      <c r="C212" s="364">
        <v>743063.4</v>
      </c>
      <c r="D212" s="587">
        <f>SUMIF(A$2:A212,A212,C$2:C212)</f>
        <v>743063.4</v>
      </c>
      <c r="E212" s="588">
        <f>IF(VLOOKUP(A212,合同台帐!$A$4:$K$195,7,1)&gt;0,VLOOKUP(A212,合同台帐!$A$4:$K$195,7,1)-D212,VLOOKUP(A212,合同台帐!$A$4:$F$195,6,1)-D212)</f>
        <v>0</v>
      </c>
      <c r="F212" s="589" t="str">
        <f>VLOOKUP(A212,合同台帐!$A$4:$D$195,4,1)</f>
        <v>（三期）气源发展费</v>
      </c>
      <c r="G212" s="589" t="str">
        <f>VLOOKUP(A212,合同台帐!$A$4:$E$195,5,1)</f>
        <v>蓟县建设管理委员会</v>
      </c>
      <c r="H212" s="590"/>
      <c r="I212" s="318" t="str">
        <f>IF(A212&lt;&gt;0,VLOOKUP(A212,合同台帐!$A$4:$C$893,3,0),"")</f>
        <v>基气源</v>
      </c>
    </row>
    <row r="213" spans="1:9" s="591" customFormat="1" ht="15.75" customHeight="1">
      <c r="A213" s="378" t="s">
        <v>1718</v>
      </c>
      <c r="B213" s="629">
        <v>2016.1</v>
      </c>
      <c r="C213" s="364">
        <v>2574714.6800000002</v>
      </c>
      <c r="D213" s="587">
        <f>SUMIF(A$2:A213,A213,C$2:C213)</f>
        <v>2574714.6800000002</v>
      </c>
      <c r="E213" s="588">
        <f>IF(VLOOKUP(A213,合同台帐!$A$4:$K$195,7,1)&gt;0,VLOOKUP(A213,合同台帐!$A$4:$K$195,7,1)-D213,VLOOKUP(A213,合同台帐!$A$4:$F$195,6,1)-D213)</f>
        <v>0</v>
      </c>
      <c r="F213" s="589" t="str">
        <f>VLOOKUP(A213,合同台帐!$A$4:$D$195,4,1)</f>
        <v>（三期）小配套费</v>
      </c>
      <c r="G213" s="589" t="str">
        <f>VLOOKUP(A213,合同台帐!$A$4:$E$195,5,1)</f>
        <v>蓟县建设管理委员会</v>
      </c>
      <c r="H213" s="590"/>
      <c r="I213" s="318" t="str">
        <f>IF(A213&lt;&gt;0,VLOOKUP(A213,合同台帐!$A$4:$C$893,3,0),"")</f>
        <v>公配小</v>
      </c>
    </row>
    <row r="214" spans="1:9" s="591" customFormat="1" ht="15.75" customHeight="1">
      <c r="A214" s="378" t="s">
        <v>1719</v>
      </c>
      <c r="B214" s="629">
        <v>2016.1</v>
      </c>
      <c r="C214" s="364">
        <v>11876897</v>
      </c>
      <c r="D214" s="587">
        <f>SUMIF(A$2:A214,A214,C$2:C214)</f>
        <v>11876897</v>
      </c>
      <c r="E214" s="588">
        <f>IF(VLOOKUP(A214,合同台帐!$A$4:$K$195,7,1)&gt;0,VLOOKUP(A214,合同台帐!$A$4:$K$195,7,1)-D214,VLOOKUP(A214,合同台帐!$A$4:$F$195,6,1)-D214)</f>
        <v>0</v>
      </c>
      <c r="F214" s="589" t="str">
        <f>VLOOKUP(A214,合同台帐!$A$4:$D$195,4,1)</f>
        <v>（二、三期）大配套费</v>
      </c>
      <c r="G214" s="589" t="str">
        <f>VLOOKUP(A214,合同台帐!$A$4:$E$195,5,1)</f>
        <v>蓟县建设管理委员会</v>
      </c>
      <c r="H214" s="590"/>
      <c r="I214" s="318" t="str">
        <f>IF(A214&lt;&gt;0,VLOOKUP(A214,合同台帐!$A$4:$C$893,3,0),"")</f>
        <v>土配</v>
      </c>
    </row>
    <row r="215" spans="1:9" s="591" customFormat="1" ht="15.75" customHeight="1">
      <c r="A215" s="378" t="s">
        <v>113</v>
      </c>
      <c r="B215" s="629">
        <v>2016.1</v>
      </c>
      <c r="C215" s="364">
        <v>50000</v>
      </c>
      <c r="D215" s="587">
        <f>SUMIF(A$2:A215,A215,C$2:C215)</f>
        <v>50000</v>
      </c>
      <c r="E215" s="588">
        <f>IF(VLOOKUP(A215,合同台帐!$A$4:$K$195,7,1)&gt;0,VLOOKUP(A215,合同台帐!$A$4:$K$195,7,1)-D215,VLOOKUP(A215,合同台帐!$A$4:$F$195,6,1)-D215)</f>
        <v>159694.29999999999</v>
      </c>
      <c r="F215" s="589" t="str">
        <f>VLOOKUP(A215,合同台帐!$A$4:$D$195,4,1)</f>
        <v>（二期）造价咨询合同</v>
      </c>
      <c r="G215" s="589" t="str">
        <f>VLOOKUP(A215,合同台帐!$A$4:$E$195,5,1)</f>
        <v>天津建工工程管理有限公司</v>
      </c>
      <c r="H215" s="590"/>
      <c r="I215" s="318" t="str">
        <f>IF(A215&lt;&gt;0,VLOOKUP(A215,合同台帐!$A$4:$C$893,3,0),"")</f>
        <v>前标咨</v>
      </c>
    </row>
    <row r="216" spans="1:9" s="591" customFormat="1" ht="15.75" customHeight="1">
      <c r="A216" s="378" t="s">
        <v>105</v>
      </c>
      <c r="B216" s="629">
        <v>2016.1</v>
      </c>
      <c r="C216" s="364">
        <v>50000</v>
      </c>
      <c r="D216" s="587">
        <f>SUMIF(A$2:A216,A216,C$2:C216)</f>
        <v>200000</v>
      </c>
      <c r="E216" s="588">
        <f>IF(VLOOKUP(A216,合同台帐!$A$4:$K$195,7,1)&gt;0,VLOOKUP(A216,合同台帐!$A$4:$K$195,7,1)-D216,VLOOKUP(A216,合同台帐!$A$4:$F$195,6,1)-D216)</f>
        <v>0</v>
      </c>
      <c r="F216" s="589" t="str">
        <f>VLOOKUP(A216,合同台帐!$A$4:$D$195,4,1)</f>
        <v>博御园临时围墙工程</v>
      </c>
      <c r="G216" s="589" t="str">
        <f>VLOOKUP(A216,合同台帐!$A$4:$E$195,5,1)</f>
        <v>天津宏鑫鼎泰建筑工程有限公司</v>
      </c>
      <c r="H216" s="590"/>
      <c r="I216" s="318" t="str">
        <f>IF(A216&lt;&gt;0,VLOOKUP(A216,合同台帐!$A$4:$C$893,3,0),"")</f>
        <v>前临围</v>
      </c>
    </row>
    <row r="217" spans="1:9" s="591" customFormat="1" ht="15.75" customHeight="1">
      <c r="A217" s="378" t="s">
        <v>114</v>
      </c>
      <c r="B217" s="629">
        <v>2016.1</v>
      </c>
      <c r="C217" s="364">
        <v>17710</v>
      </c>
      <c r="D217" s="587">
        <f>SUMIF(A$2:A217,A217,C$2:C217)</f>
        <v>17710</v>
      </c>
      <c r="E217" s="588">
        <f>IF(VLOOKUP(A217,合同台帐!$A$4:$K$195,7,1)&gt;0,VLOOKUP(A217,合同台帐!$A$4:$K$195,7,1)-D217,VLOOKUP(A217,合同台帐!$A$4:$F$195,6,1)-D217)</f>
        <v>0</v>
      </c>
      <c r="F217" s="589" t="str">
        <f>VLOOKUP(A217,合同台帐!$A$4:$D$195,4,1)</f>
        <v>支付委托保证合同（二期）</v>
      </c>
      <c r="G217" s="589" t="str">
        <f>VLOOKUP(A217,合同台帐!$A$4:$E$195,5,1)</f>
        <v>天津融诚挚信投资担保有限公司</v>
      </c>
      <c r="H217" s="590"/>
      <c r="I217" s="318" t="str">
        <f>IF(A217&lt;&gt;0,VLOOKUP(A217,合同台帐!$A$4:$C$893,3,0),"")</f>
        <v>前标担</v>
      </c>
    </row>
    <row r="218" spans="1:9" s="591" customFormat="1" ht="15.75" customHeight="1">
      <c r="A218" s="378" t="s">
        <v>115</v>
      </c>
      <c r="B218" s="629">
        <v>2016.1</v>
      </c>
      <c r="C218" s="364">
        <v>34500</v>
      </c>
      <c r="D218" s="587">
        <f>SUMIF(A$2:A218,A218,C$2:C218)</f>
        <v>34500</v>
      </c>
      <c r="E218" s="588">
        <f>IF(VLOOKUP(A218,合同台帐!$A$4:$K$195,7,1)&gt;0,VLOOKUP(A218,合同台帐!$A$4:$K$195,7,1)-D218,VLOOKUP(A218,合同台帐!$A$4:$F$195,6,1)-D218)</f>
        <v>0</v>
      </c>
      <c r="F218" s="589" t="str">
        <f>VLOOKUP(A218,合同台帐!$A$4:$D$195,4,1)</f>
        <v>支付委托保证合同（三期）</v>
      </c>
      <c r="G218" s="589" t="str">
        <f>VLOOKUP(A218,合同台帐!$A$4:$E$195,5,1)</f>
        <v>天津融诚挚信投资担保有限公司</v>
      </c>
      <c r="H218" s="590"/>
      <c r="I218" s="318" t="str">
        <f>IF(A218&lt;&gt;0,VLOOKUP(A218,合同台帐!$A$4:$C$893,3,0),"")</f>
        <v>前标担</v>
      </c>
    </row>
    <row r="219" spans="1:9" s="591" customFormat="1" ht="15.75" customHeight="1">
      <c r="A219" s="378" t="s">
        <v>116</v>
      </c>
      <c r="B219" s="629">
        <v>2016.1</v>
      </c>
      <c r="C219" s="364">
        <v>18000</v>
      </c>
      <c r="D219" s="587">
        <f>SUMIF(A$2:A219,A219,C$2:C219)</f>
        <v>18000</v>
      </c>
      <c r="E219" s="588">
        <f>IF(VLOOKUP(A219,合同台帐!$A$4:$K$195,7,1)&gt;0,VLOOKUP(A219,合同台帐!$A$4:$K$195,7,1)-D219,VLOOKUP(A219,合同台帐!$A$4:$F$195,6,1)-D219)</f>
        <v>0</v>
      </c>
      <c r="F219" s="589" t="str">
        <f>VLOOKUP(A219,合同台帐!$A$4:$D$195,4,1)</f>
        <v>招标代理费（界外地、示范区园林）</v>
      </c>
      <c r="G219" s="589" t="str">
        <f>VLOOKUP(A219,合同台帐!$A$4:$E$195,5,1)</f>
        <v>天津建安建设项目管理有限公司</v>
      </c>
      <c r="H219" s="590"/>
      <c r="I219" s="318" t="str">
        <f>IF(A219&lt;&gt;0,VLOOKUP(A219,合同台帐!$A$4:$C$893,3,0),"")</f>
        <v>前标代</v>
      </c>
    </row>
    <row r="220" spans="1:9" s="591" customFormat="1" ht="15.75" customHeight="1">
      <c r="A220" s="378" t="s">
        <v>26</v>
      </c>
      <c r="B220" s="629">
        <v>2016.1</v>
      </c>
      <c r="C220" s="364">
        <v>500000</v>
      </c>
      <c r="D220" s="587">
        <f>SUMIF(A$2:A220,A220,C$2:C220)</f>
        <v>4649988</v>
      </c>
      <c r="E220" s="588">
        <f>IF(VLOOKUP(A220,合同台帐!$A$4:$K$195,7,1)&gt;0,VLOOKUP(A220,合同台帐!$A$4:$K$195,7,1)-D220,VLOOKUP(A220,合同台帐!$A$4:$F$195,6,1)-D220)</f>
        <v>2100012</v>
      </c>
      <c r="F220" s="589" t="str">
        <f>VLOOKUP(A220,合同台帐!$A$4:$D$195,4,1)</f>
        <v>场地平整</v>
      </c>
      <c r="G220" s="589" t="str">
        <f>VLOOKUP(A220,合同台帐!$A$4:$E$195,5,1)</f>
        <v>天津市蓟县振东建筑有限责任公司</v>
      </c>
      <c r="H220" s="590"/>
      <c r="I220" s="318" t="str">
        <f>IF(A220&lt;&gt;0,VLOOKUP(A220,合同台帐!$A$4:$C$893,3,0),"")</f>
        <v>前临土</v>
      </c>
    </row>
    <row r="221" spans="1:9" s="591" customFormat="1" ht="15.75" customHeight="1">
      <c r="A221" s="378" t="s">
        <v>70</v>
      </c>
      <c r="B221" s="629">
        <v>2016.1</v>
      </c>
      <c r="C221" s="364">
        <v>30146.6</v>
      </c>
      <c r="D221" s="587">
        <f>SUMIF(A$2:A221,A221,C$2:C221)</f>
        <v>150733</v>
      </c>
      <c r="E221" s="588">
        <f>IF(VLOOKUP(A221,合同台帐!$A$4:$K$195,7,1)&gt;0,VLOOKUP(A221,合同台帐!$A$4:$K$195,7,1)-D221,VLOOKUP(A221,合同台帐!$A$4:$F$195,6,1)-D221)</f>
        <v>0</v>
      </c>
      <c r="F221" s="589" t="str">
        <f>VLOOKUP(A221,合同台帐!$A$4:$D$195,4,1)</f>
        <v>招投标代理（设计、勘察、工程、监理）</v>
      </c>
      <c r="G221" s="589" t="str">
        <f>VLOOKUP(A221,合同台帐!$A$4:$E$195,5,1)</f>
        <v>天津建安建设项目管理有限公司</v>
      </c>
      <c r="H221" s="590"/>
      <c r="I221" s="318" t="str">
        <f>IF(A221&lt;&gt;0,VLOOKUP(A221,合同台帐!$A$4:$C$893,3,0),"")</f>
        <v>前标代</v>
      </c>
    </row>
    <row r="222" spans="1:9" s="591" customFormat="1" ht="15.75" customHeight="1">
      <c r="A222" s="378" t="s">
        <v>101</v>
      </c>
      <c r="B222" s="629">
        <v>2016.1</v>
      </c>
      <c r="C222" s="364">
        <v>1000000</v>
      </c>
      <c r="D222" s="587">
        <f>SUMIF(A$2:A222,A222,C$2:C222)</f>
        <v>6000000</v>
      </c>
      <c r="E222" s="588">
        <f>IF(VLOOKUP(A222,合同台帐!$A$4:$K$195,7,1)&gt;0,VLOOKUP(A222,合同台帐!$A$4:$K$195,7,1)-D222,VLOOKUP(A222,合同台帐!$A$4:$F$195,6,1)-D222)</f>
        <v>3498614</v>
      </c>
      <c r="F222" s="589" t="str">
        <f>VLOOKUP(A222,合同台帐!$A$4:$D$195,4,1)</f>
        <v>示范区景观</v>
      </c>
      <c r="G222" s="589" t="str">
        <f>VLOOKUP(A222,合同台帐!$A$4:$E$195,5,1)</f>
        <v>天津兰苑园林绿化工程有限公司</v>
      </c>
      <c r="H222" s="590"/>
      <c r="I222" s="318" t="str">
        <f>IF(A222&lt;&gt;0,VLOOKUP(A222,合同台帐!$A$4:$C$893,3,0),"")</f>
        <v>建环内</v>
      </c>
    </row>
    <row r="223" spans="1:9" s="591" customFormat="1" ht="15.75" customHeight="1">
      <c r="A223" s="378" t="s">
        <v>1475</v>
      </c>
      <c r="B223" s="629">
        <v>2016.1</v>
      </c>
      <c r="C223" s="364">
        <v>23332</v>
      </c>
      <c r="D223" s="587">
        <f>SUMIF(A$2:A223,A223,C$2:C223)</f>
        <v>23332</v>
      </c>
      <c r="E223" s="588">
        <f>IF(VLOOKUP(A223,合同台帐!$A$4:$K$195,7,1)&gt;0,VLOOKUP(A223,合同台帐!$A$4:$K$195,7,1)-D223,VLOOKUP(A223,合同台帐!$A$4:$F$195,6,1)-D223)</f>
        <v>1228</v>
      </c>
      <c r="F223" s="589" t="str">
        <f>VLOOKUP(A223,合同台帐!$A$4:$D$195,4,1)</f>
        <v>33#楼宇门及样板单元首层楼梯间户门采购安装</v>
      </c>
      <c r="G223" s="589" t="str">
        <f>VLOOKUP(A223,合同台帐!$A$4:$E$195,5,1)</f>
        <v>浙江福日工贸有限公司</v>
      </c>
      <c r="H223" s="590"/>
      <c r="I223" s="318" t="str">
        <f>IF(A223&lt;&gt;0,VLOOKUP(A223,合同台帐!$A$4:$C$893,3,0),"")</f>
        <v>建主</v>
      </c>
    </row>
    <row r="224" spans="1:9" s="591" customFormat="1" ht="15.75" customHeight="1">
      <c r="A224" s="378" t="s">
        <v>1439</v>
      </c>
      <c r="B224" s="629">
        <v>2016.1</v>
      </c>
      <c r="C224" s="364">
        <v>80225</v>
      </c>
      <c r="D224" s="587">
        <f>SUMIF(A$2:A224,A224,C$2:C224)</f>
        <v>80225</v>
      </c>
      <c r="E224" s="588">
        <f>IF(VLOOKUP(A224,合同台帐!$A$4:$K$195,7,1)&gt;0,VLOOKUP(A224,合同台帐!$A$4:$K$195,7,1)-D224,VLOOKUP(A224,合同台帐!$A$4:$F$195,6,1)-D224)</f>
        <v>1694472</v>
      </c>
      <c r="F224" s="589" t="str">
        <f>VLOOKUP(A224,合同台帐!$A$4:$D$195,4,1)</f>
        <v>一期入户门采购安装合同</v>
      </c>
      <c r="G224" s="589" t="str">
        <f>VLOOKUP(A224,合同台帐!$A$4:$E$195,5,1)</f>
        <v>黑龙江龙业木业有限责任公司</v>
      </c>
      <c r="H224" s="590"/>
      <c r="I224" s="318" t="str">
        <f>IF(A224&lt;&gt;0,VLOOKUP(A224,合同台帐!$A$4:$C$893,3,0),"")</f>
        <v>建主</v>
      </c>
    </row>
    <row r="225" spans="1:9" s="591" customFormat="1" ht="15.75" customHeight="1">
      <c r="A225" s="378" t="s">
        <v>1412</v>
      </c>
      <c r="B225" s="629">
        <v>2016.1</v>
      </c>
      <c r="C225" s="364">
        <v>3000000</v>
      </c>
      <c r="D225" s="587">
        <f>SUMIF(A$2:A225,A225,C$2:C225)</f>
        <v>3600000</v>
      </c>
      <c r="E225" s="588">
        <f>IF(VLOOKUP(A225,合同台帐!$A$4:$K$195,7,1)&gt;0,VLOOKUP(A225,合同台帐!$A$4:$K$195,7,1)-D225,VLOOKUP(A225,合同台帐!$A$4:$F$195,6,1)-D225)</f>
        <v>7684542</v>
      </c>
      <c r="F225" s="589" t="str">
        <f>VLOOKUP(A225,合同台帐!$A$4:$D$195,4,1)</f>
        <v>外檐石材一体板及保温（一期）</v>
      </c>
      <c r="G225" s="589" t="str">
        <f>VLOOKUP(A225,合同台帐!$A$4:$E$195,5,1)</f>
        <v>山东华德隆建设有限公司</v>
      </c>
      <c r="H225" s="590"/>
      <c r="I225" s="318">
        <f>IF(A225&lt;&gt;0,VLOOKUP(A225,合同台帐!$A$4:$C$893,3,0),"")</f>
        <v>0</v>
      </c>
    </row>
    <row r="226" spans="1:9" s="591" customFormat="1" ht="15.75" customHeight="1">
      <c r="A226" s="378" t="s">
        <v>1394</v>
      </c>
      <c r="B226" s="629">
        <v>2016.1</v>
      </c>
      <c r="C226" s="364">
        <v>3000000</v>
      </c>
      <c r="D226" s="587">
        <f>SUMIF(A$2:A226,A226,C$2:C226)</f>
        <v>5505504</v>
      </c>
      <c r="E226" s="588">
        <f>IF(VLOOKUP(A226,合同台帐!$A$4:$K$195,7,1)&gt;0,VLOOKUP(A226,合同台帐!$A$4:$K$195,7,1)-D226,VLOOKUP(A226,合同台帐!$A$4:$F$195,6,1)-D226)</f>
        <v>17089192</v>
      </c>
      <c r="F226" s="589" t="str">
        <f>VLOOKUP(A226,合同台帐!$A$4:$D$195,4,1)</f>
        <v>一期保温涂料线条线角</v>
      </c>
      <c r="G226" s="589" t="str">
        <f>VLOOKUP(A226,合同台帐!$A$4:$E$195,5,1)</f>
        <v>天津万通达建筑工程有限公司</v>
      </c>
      <c r="H226" s="590"/>
      <c r="I226" s="318" t="str">
        <f>IF(A226&lt;&gt;0,VLOOKUP(A226,合同台帐!$A$4:$C$893,3,0),"")</f>
        <v>建主</v>
      </c>
    </row>
    <row r="227" spans="1:9" s="591" customFormat="1" ht="15.75" customHeight="1">
      <c r="A227" s="378" t="s">
        <v>1459</v>
      </c>
      <c r="B227" s="629">
        <v>2016.1</v>
      </c>
      <c r="C227" s="364">
        <v>80000</v>
      </c>
      <c r="D227" s="587">
        <f>SUMIF(A$2:A227,A227,C$2:C227)</f>
        <v>530000</v>
      </c>
      <c r="E227" s="588">
        <f>IF(VLOOKUP(A227,合同台帐!$A$4:$K$195,7,1)&gt;0,VLOOKUP(A227,合同台帐!$A$4:$K$195,7,1)-D227,VLOOKUP(A227,合同台帐!$A$4:$F$195,6,1)-D227)</f>
        <v>29667</v>
      </c>
      <c r="F227" s="589" t="str">
        <f>VLOOKUP(A227,合同台帐!$A$4:$D$195,4,1)</f>
        <v>大门入口外檐装饰</v>
      </c>
      <c r="G227" s="589" t="str">
        <f>VLOOKUP(A227,合同台帐!$A$4:$E$195,5,1)</f>
        <v>天津万通达建筑工程有限公司</v>
      </c>
      <c r="H227" s="590"/>
      <c r="I227" s="318" t="str">
        <f>IF(A227&lt;&gt;0,VLOOKUP(A227,合同台帐!$A$4:$C$893,3,0),"")</f>
        <v>建主</v>
      </c>
    </row>
    <row r="228" spans="1:9" s="591" customFormat="1" ht="15.75" customHeight="1">
      <c r="A228" s="378" t="s">
        <v>1206</v>
      </c>
      <c r="B228" s="629">
        <v>2016.1</v>
      </c>
      <c r="C228" s="364">
        <v>95000</v>
      </c>
      <c r="D228" s="587">
        <f>SUMIF(A$2:A228,A228,C$2:C228)</f>
        <v>95000</v>
      </c>
      <c r="E228" s="588">
        <f>IF(VLOOKUP(A228,合同台帐!$A$4:$K$195,7,1)&gt;0,VLOOKUP(A228,合同台帐!$A$4:$K$195,7,1)-D228,VLOOKUP(A228,合同台帐!$A$4:$F$195,6,1)-D228)</f>
        <v>40990</v>
      </c>
      <c r="F228" s="589" t="str">
        <f>VLOOKUP(A228,合同台帐!$A$4:$D$195,4,1)</f>
        <v>清运拉圾（三期）</v>
      </c>
      <c r="G228" s="589" t="str">
        <f>VLOOKUP(A228,合同台帐!$A$4:$E$195,5,1)</f>
        <v>天津市蓟县宏拓建筑有限公司</v>
      </c>
      <c r="H228" s="590"/>
      <c r="I228" s="318" t="str">
        <f>IF(A228&lt;&gt;0,VLOOKUP(A228,合同台帐!$A$4:$C$893,3,0),"")</f>
        <v>建主建</v>
      </c>
    </row>
    <row r="229" spans="1:9" s="591" customFormat="1" ht="15.75" customHeight="1">
      <c r="A229" s="378" t="s">
        <v>83</v>
      </c>
      <c r="B229" s="629">
        <v>2016.1</v>
      </c>
      <c r="C229" s="364">
        <v>1000000</v>
      </c>
      <c r="D229" s="587">
        <f>SUMIF(A$2:A229,A229,C$2:C229)</f>
        <v>2033890</v>
      </c>
      <c r="E229" s="588">
        <f>IF(VLOOKUP(A229,合同台帐!$A$4:$K$195,7,1)&gt;0,VLOOKUP(A229,合同台帐!$A$4:$K$195,7,1)-D229,VLOOKUP(A229,合同台帐!$A$4:$F$195,6,1)-D229)</f>
        <v>1104596</v>
      </c>
      <c r="F229" s="589" t="str">
        <f>VLOOKUP(A229,合同台帐!$A$4:$D$195,4,1)</f>
        <v>挡土墙施工合同（重签）</v>
      </c>
      <c r="G229" s="589" t="str">
        <f>VLOOKUP(A229,合同台帐!$A$4:$E$195,5,1)</f>
        <v>天津市蓟县宏拓建筑有限公司</v>
      </c>
      <c r="H229" s="590"/>
      <c r="I229" s="318" t="str">
        <f>IF(A229&lt;&gt;0,VLOOKUP(A229,合同台帐!$A$4:$C$893,3,0),"")</f>
        <v>建环外</v>
      </c>
    </row>
    <row r="230" spans="1:9" s="591" customFormat="1" ht="15.75" customHeight="1">
      <c r="A230" s="378" t="s">
        <v>1366</v>
      </c>
      <c r="B230" s="629">
        <v>2016.1</v>
      </c>
      <c r="C230" s="364">
        <v>400000</v>
      </c>
      <c r="D230" s="587">
        <f>SUMIF(A$2:A230,A230,C$2:C230)</f>
        <v>1232374</v>
      </c>
      <c r="E230" s="588">
        <f>IF(VLOOKUP(A230,合同台帐!$A$4:$K$195,7,1)&gt;0,VLOOKUP(A230,合同台帐!$A$4:$K$195,7,1)-D230,VLOOKUP(A230,合同台帐!$A$4:$F$195,6,1)-D230)</f>
        <v>5569013</v>
      </c>
      <c r="F230" s="589" t="str">
        <f>VLOOKUP(A230,合同台帐!$A$4:$D$195,4,1)</f>
        <v>一期断桥铝合金门窗安装</v>
      </c>
      <c r="G230" s="589" t="str">
        <f>VLOOKUP(A230,合同台帐!$A$4:$E$195,5,1)</f>
        <v>天津江胜建筑工程有限公司</v>
      </c>
      <c r="H230" s="590"/>
      <c r="I230" s="318" t="str">
        <f>IF(A230&lt;&gt;0,VLOOKUP(A230,合同台帐!$A$4:$C$893,3,0),"")</f>
        <v>建主</v>
      </c>
    </row>
    <row r="231" spans="1:9" s="591" customFormat="1" ht="15.75" customHeight="1">
      <c r="A231" s="378" t="s">
        <v>117</v>
      </c>
      <c r="B231" s="629">
        <v>2016.1</v>
      </c>
      <c r="C231" s="364">
        <v>100000</v>
      </c>
      <c r="D231" s="587">
        <f>SUMIF(A$2:A231,A231,C$2:C231)</f>
        <v>100000</v>
      </c>
      <c r="E231" s="588">
        <f>IF(VLOOKUP(A231,合同台帐!$A$4:$K$195,7,1)&gt;0,VLOOKUP(A231,合同台帐!$A$4:$K$195,7,1)-D231,VLOOKUP(A231,合同台帐!$A$4:$F$195,6,1)-D231)</f>
        <v>0</v>
      </c>
      <c r="F231" s="589" t="str">
        <f>VLOOKUP(A231,合同台帐!$A$4:$D$195,4,1)</f>
        <v>维修改建工程（集团办公室精装）</v>
      </c>
      <c r="G231" s="589" t="str">
        <f>VLOOKUP(A231,合同台帐!$A$4:$E$195,5,1)</f>
        <v>天津市锦适名研装饰设计有限公司</v>
      </c>
      <c r="H231" s="590"/>
      <c r="I231" s="318" t="str">
        <f>IF(A231&lt;&gt;0,VLOOKUP(A231,合同台帐!$A$4:$C$893,3,0),"")</f>
        <v>建安</v>
      </c>
    </row>
    <row r="232" spans="1:9" s="591" customFormat="1" ht="15.75" customHeight="1">
      <c r="A232" s="378" t="s">
        <v>1277</v>
      </c>
      <c r="B232" s="629">
        <v>2016.1</v>
      </c>
      <c r="C232" s="364">
        <v>100000</v>
      </c>
      <c r="D232" s="587">
        <f>SUMIF(A$2:A232,A232,C$2:C232)</f>
        <v>807870</v>
      </c>
      <c r="E232" s="588">
        <f>IF(VLOOKUP(A232,合同台帐!$A$4:$K$195,7,1)&gt;0,VLOOKUP(A232,合同台帐!$A$4:$K$195,7,1)-D232,VLOOKUP(A232,合同台帐!$A$4:$F$195,6,1)-D232)</f>
        <v>160080</v>
      </c>
      <c r="F232" s="589" t="str">
        <f>VLOOKUP(A232,合同台帐!$A$4:$D$195,4,1)</f>
        <v>一期强夯工程补充合同</v>
      </c>
      <c r="G232" s="589" t="str">
        <f>VLOOKUP(A232,合同台帐!$A$4:$E$195,5,1)</f>
        <v>天津华勘集团有限公司</v>
      </c>
      <c r="H232" s="590"/>
      <c r="I232" s="318" t="str">
        <f>IF(A232&lt;&gt;0,VLOOKUP(A232,合同台帐!$A$4:$C$893,3,0),"")</f>
        <v>建基</v>
      </c>
    </row>
    <row r="233" spans="1:9" s="591" customFormat="1" ht="15.75" customHeight="1">
      <c r="A233" s="378" t="s">
        <v>118</v>
      </c>
      <c r="B233" s="629">
        <v>2016.1</v>
      </c>
      <c r="C233" s="364">
        <v>40000</v>
      </c>
      <c r="D233" s="587">
        <f>SUMIF(A$2:A233,A233,C$2:C233)</f>
        <v>40000</v>
      </c>
      <c r="E233" s="588">
        <f>IF(VLOOKUP(A233,合同台帐!$A$4:$K$195,7,1)&gt;0,VLOOKUP(A233,合同台帐!$A$4:$K$195,7,1)-D233,VLOOKUP(A233,合同台帐!$A$4:$F$195,6,1)-D233)</f>
        <v>0</v>
      </c>
      <c r="F233" s="589" t="str">
        <f>VLOOKUP(A233,合同台帐!$A$4:$D$195,4,1)</f>
        <v>现场扬尘监测设备</v>
      </c>
      <c r="G233" s="589" t="str">
        <f>VLOOKUP(A233,合同台帐!$A$4:$E$195,5,1)</f>
        <v>天津同阳科技发展有限公司</v>
      </c>
      <c r="H233" s="590"/>
      <c r="I233" s="318" t="str">
        <f>IF(A233&lt;&gt;0,VLOOKUP(A233,合同台帐!$A$4:$C$893,3,0),"")</f>
        <v>不可预见</v>
      </c>
    </row>
    <row r="234" spans="1:9" s="591" customFormat="1" ht="15.75" customHeight="1">
      <c r="A234" s="378" t="s">
        <v>119</v>
      </c>
      <c r="B234" s="629">
        <v>2016.2</v>
      </c>
      <c r="C234" s="364">
        <v>150000</v>
      </c>
      <c r="D234" s="587">
        <f>SUMIF(A$2:A234,A234,C$2:C234)</f>
        <v>150000</v>
      </c>
      <c r="E234" s="588">
        <f>IF(VLOOKUP(A234,合同台帐!$A$4:$K$195,7,1)&gt;0,VLOOKUP(A234,合同台帐!$A$4:$K$195,7,1)-D234,VLOOKUP(A234,合同台帐!$A$4:$F$195,6,1)-D234)</f>
        <v>363000</v>
      </c>
      <c r="F234" s="589" t="str">
        <f>VLOOKUP(A234,合同台帐!$A$4:$D$195,4,1)</f>
        <v>示范区智能化工程</v>
      </c>
      <c r="G234" s="589" t="str">
        <f>VLOOKUP(A234,合同台帐!$A$4:$E$195,5,1)</f>
        <v>天津荣润世纪科技有限公司</v>
      </c>
      <c r="H234" s="590"/>
      <c r="I234" s="318" t="str">
        <f>IF(A234&lt;&gt;0,VLOOKUP(A234,合同台帐!$A$4:$C$893,3,0),"")</f>
        <v>建主</v>
      </c>
    </row>
    <row r="235" spans="1:9" s="591" customFormat="1" ht="15.75" customHeight="1">
      <c r="A235" s="378" t="s">
        <v>108</v>
      </c>
      <c r="B235" s="629">
        <v>2016.2</v>
      </c>
      <c r="C235" s="364">
        <v>70759.199999999997</v>
      </c>
      <c r="D235" s="587">
        <f>SUMIF(A$2:A235,A235,C$2:C235)</f>
        <v>170759.2</v>
      </c>
      <c r="E235" s="588">
        <f>IF(VLOOKUP(A235,合同台帐!$A$4:$K$195,7,1)&gt;0,VLOOKUP(A235,合同台帐!$A$4:$K$195,7,1)-D235,VLOOKUP(A235,合同台帐!$A$4:$F$195,6,1)-D235)</f>
        <v>42689.799999999988</v>
      </c>
      <c r="F235" s="589" t="str">
        <f>VLOOKUP(A235,合同台帐!$A$4:$D$195,4,1)</f>
        <v>示范区夜景照明</v>
      </c>
      <c r="G235" s="589" t="str">
        <f>VLOOKUP(A235,合同台帐!$A$4:$E$195,5,1)</f>
        <v>天津鑫润达建筑工程有限公司</v>
      </c>
      <c r="H235" s="590"/>
      <c r="I235" s="318" t="str">
        <f>IF(A235&lt;&gt;0,VLOOKUP(A235,合同台帐!$A$4:$C$893,3,0),"")</f>
        <v>建环</v>
      </c>
    </row>
    <row r="236" spans="1:9" s="591" customFormat="1" ht="15.75" customHeight="1">
      <c r="A236" s="378" t="s">
        <v>1463</v>
      </c>
      <c r="B236" s="629">
        <v>2016.2</v>
      </c>
      <c r="C236" s="364">
        <v>50000</v>
      </c>
      <c r="D236" s="587">
        <f>SUMIF(A$2:A236,A236,C$2:C236)</f>
        <v>124507</v>
      </c>
      <c r="E236" s="588">
        <f>IF(VLOOKUP(A236,合同台帐!$A$4:$K$195,7,1)&gt;0,VLOOKUP(A236,合同台帐!$A$4:$K$195,7,1)-D236,VLOOKUP(A236,合同台帐!$A$4:$F$195,6,1)-D236)</f>
        <v>24507</v>
      </c>
      <c r="F236" s="589" t="str">
        <f>VLOOKUP(A236,合同台帐!$A$4:$D$195,4,1)</f>
        <v>33#楼公共部位精装修、门卫精装修</v>
      </c>
      <c r="G236" s="589" t="str">
        <f>VLOOKUP(A236,合同台帐!$A$4:$E$195,5,1)</f>
        <v>天津市三鼎建筑工程有限公司</v>
      </c>
      <c r="H236" s="590"/>
      <c r="I236" s="318" t="str">
        <f>IF(A236&lt;&gt;0,VLOOKUP(A236,合同台帐!$A$4:$C$893,3,0),"")</f>
        <v>建主</v>
      </c>
    </row>
    <row r="237" spans="1:9" s="591" customFormat="1" ht="15.75" customHeight="1">
      <c r="A237" s="378" t="s">
        <v>1417</v>
      </c>
      <c r="B237" s="629">
        <v>2016.2</v>
      </c>
      <c r="C237" s="364">
        <v>250000</v>
      </c>
      <c r="D237" s="587">
        <f>SUMIF(A$2:A237,A237,C$2:C237)</f>
        <v>2130397</v>
      </c>
      <c r="E237" s="588">
        <f>IF(VLOOKUP(A237,合同台帐!$A$4:$K$195,7,1)&gt;0,VLOOKUP(A237,合同台帐!$A$4:$K$195,7,1)-D237,VLOOKUP(A237,合同台帐!$A$4:$F$195,6,1)-D237)</f>
        <v>1630397</v>
      </c>
      <c r="F237" s="589" t="str">
        <f>VLOOKUP(A237,合同台帐!$A$4:$D$195,4,1)</f>
        <v>售楼处样板间精装修工程</v>
      </c>
      <c r="G237" s="589" t="str">
        <f>VLOOKUP(A237,合同台帐!$A$4:$E$195,5,1)</f>
        <v>天津磊德建筑装饰工程有限公司</v>
      </c>
      <c r="H237" s="590"/>
      <c r="I237" s="318" t="str">
        <f>IF(A237&lt;&gt;0,VLOOKUP(A237,合同台帐!$A$4:$C$893,3,0),"")</f>
        <v>建主</v>
      </c>
    </row>
    <row r="238" spans="1:9" s="591" customFormat="1" ht="15.75" customHeight="1">
      <c r="A238" s="378" t="s">
        <v>1566</v>
      </c>
      <c r="B238" s="629">
        <v>2016.2</v>
      </c>
      <c r="C238" s="364">
        <v>164082</v>
      </c>
      <c r="D238" s="587">
        <f>SUMIF(A$2:A238,A238,C$2:C238)</f>
        <v>164082</v>
      </c>
      <c r="E238" s="588">
        <f>IF(VLOOKUP(A238,合同台帐!$A$4:$K$195,7,1)&gt;0,VLOOKUP(A238,合同台帐!$A$4:$K$195,7,1)-D238,VLOOKUP(A238,合同台帐!$A$4:$F$195,6,1)-D238)</f>
        <v>0</v>
      </c>
      <c r="F238" s="589" t="str">
        <f>VLOOKUP(A238,合同台帐!$A$4:$D$195,4,1)</f>
        <v>示范区现场垃圾清运（结签证）</v>
      </c>
      <c r="G238" s="589" t="str">
        <f>VLOOKUP(A238,合同台帐!$A$4:$E$195,5,1)</f>
        <v>天津市蓟县宏拓建筑有限公司</v>
      </c>
      <c r="H238" s="590"/>
      <c r="I238" s="318" t="str">
        <f>IF(A238&lt;&gt;0,VLOOKUP(A238,合同台帐!$A$4:$C$893,3,0),"")</f>
        <v>建主</v>
      </c>
    </row>
    <row r="239" spans="1:9" s="591" customFormat="1" ht="15.75" customHeight="1">
      <c r="A239" s="378" t="s">
        <v>74</v>
      </c>
      <c r="B239" s="629">
        <v>2016.2</v>
      </c>
      <c r="C239" s="364">
        <v>50000</v>
      </c>
      <c r="D239" s="587">
        <f>SUMIF(A$2:A239,A239,C$2:C239)</f>
        <v>140000</v>
      </c>
      <c r="E239" s="588">
        <f>IF(VLOOKUP(A239,合同台帐!$A$4:$K$195,7,1)&gt;0,VLOOKUP(A239,合同台帐!$A$4:$K$195,7,1)-D239,VLOOKUP(A239,合同台帐!$A$4:$F$195,6,1)-D239)</f>
        <v>160000</v>
      </c>
      <c r="F239" s="589" t="str">
        <f>VLOOKUP(A239,合同台帐!$A$4:$D$195,4,1)</f>
        <v>（一、三期）造价咨询合同</v>
      </c>
      <c r="G239" s="589" t="str">
        <f>VLOOKUP(A239,合同台帐!$A$4:$E$195,5,1)</f>
        <v>天津中天华建工程咨询有限公司</v>
      </c>
      <c r="H239" s="590"/>
      <c r="I239" s="318" t="str">
        <f>IF(A239&lt;&gt;0,VLOOKUP(A239,合同台帐!$A$4:$C$893,3,0),"")</f>
        <v>前标咨</v>
      </c>
    </row>
    <row r="240" spans="1:9" s="591" customFormat="1" ht="15.75" customHeight="1">
      <c r="A240" s="378" t="s">
        <v>77</v>
      </c>
      <c r="B240" s="629">
        <v>2016.2</v>
      </c>
      <c r="C240" s="364">
        <v>5000000</v>
      </c>
      <c r="D240" s="587">
        <f>SUMIF(A$2:A240,A240,C$2:C240)</f>
        <v>33863610</v>
      </c>
      <c r="E240" s="588">
        <f>IF(VLOOKUP(A240,合同台帐!$A$4:$K$195,7,1)&gt;0,VLOOKUP(A240,合同台帐!$A$4:$K$195,7,1)-D240,VLOOKUP(A240,合同台帐!$A$4:$F$195,6,1)-D240)</f>
        <v>76136390</v>
      </c>
      <c r="F240" s="589" t="str">
        <f>VLOOKUP(A240,合同台帐!$A$4:$D$195,4,1)</f>
        <v>总包一期工程</v>
      </c>
      <c r="G240" s="589" t="str">
        <f>VLOOKUP(A240,合同台帐!$A$4:$E$195,5,1)</f>
        <v>天津泉州建设工程集团有限公司</v>
      </c>
      <c r="H240" s="590"/>
      <c r="I240" s="318">
        <f>IF(A240&lt;&gt;0,VLOOKUP(A240,合同台帐!$A$4:$C$893,3,0),"")</f>
        <v>0</v>
      </c>
    </row>
    <row r="241" spans="1:9" s="591" customFormat="1" ht="15.75" customHeight="1">
      <c r="A241" s="378" t="s">
        <v>1480</v>
      </c>
      <c r="B241" s="629">
        <v>2016.2</v>
      </c>
      <c r="C241" s="364">
        <v>11623</v>
      </c>
      <c r="D241" s="587">
        <f>SUMIF(A$2:A241,A241,C$2:C241)</f>
        <v>11623</v>
      </c>
      <c r="E241" s="588">
        <f>IF(VLOOKUP(A241,合同台帐!$A$4:$K$195,7,1)&gt;0,VLOOKUP(A241,合同台帐!$A$4:$K$195,7,1)-D241,VLOOKUP(A241,合同台帐!$A$4:$F$195,6,1)-D241)</f>
        <v>612</v>
      </c>
      <c r="F241" s="589" t="str">
        <f>VLOOKUP(A241,合同台帐!$A$4:$D$195,4,1)</f>
        <v>33#楼空调铁艺护栏</v>
      </c>
      <c r="G241" s="589" t="str">
        <f>VLOOKUP(A241,合同台帐!$A$4:$E$195,5,1)</f>
        <v>天津德须泰钢结构工程有限公司</v>
      </c>
      <c r="H241" s="590"/>
      <c r="I241" s="318" t="str">
        <f>IF(A241&lt;&gt;0,VLOOKUP(A241,合同台帐!$A$4:$C$893,3,0),"")</f>
        <v>建主</v>
      </c>
    </row>
    <row r="242" spans="1:9" s="591" customFormat="1" ht="15.75" customHeight="1">
      <c r="A242" s="585"/>
      <c r="B242" s="629"/>
      <c r="C242" s="364"/>
      <c r="D242" s="587">
        <f>SUMIF(A$2:A242,A242,C$2:C242)</f>
        <v>0</v>
      </c>
      <c r="E242" s="588" t="e">
        <f>IF(VLOOKUP(A242,合同台帐!$A$4:$K$195,7,1)&gt;0,VLOOKUP(A242,合同台帐!$A$4:$K$195,7,1)-D242,VLOOKUP(A242,合同台帐!$A$4:$F$195,6,1)-D242)</f>
        <v>#N/A</v>
      </c>
      <c r="F242" s="589" t="e">
        <f>VLOOKUP(A242,合同台帐!$A$4:$D$195,4,1)</f>
        <v>#N/A</v>
      </c>
      <c r="G242" s="589" t="e">
        <f>VLOOKUP(A242,合同台帐!$A$4:$E$195,5,1)</f>
        <v>#N/A</v>
      </c>
      <c r="H242" s="590"/>
      <c r="I242" s="318" t="str">
        <f>IF(A242&lt;&gt;0,VLOOKUP(A242,合同台帐!$A$4:$C$893,3,0),"")</f>
        <v/>
      </c>
    </row>
    <row r="243" spans="1:9" s="591" customFormat="1" ht="15.75" customHeight="1">
      <c r="A243" s="585"/>
      <c r="B243" s="586"/>
      <c r="C243" s="364"/>
      <c r="D243" s="587">
        <f>SUMIF(A$2:A243,A243,C$2:C243)</f>
        <v>0</v>
      </c>
      <c r="E243" s="588" t="e">
        <f>IF(VLOOKUP(A243,合同台帐!$A$4:$K$195,7,1)&gt;0,VLOOKUP(A243,合同台帐!$A$4:$K$195,7,1)-D243,VLOOKUP(A243,合同台帐!$A$4:$F$195,6,1)-D243)</f>
        <v>#N/A</v>
      </c>
      <c r="F243" s="589" t="e">
        <f>VLOOKUP(A243,合同台帐!$A$4:$D$195,4,1)</f>
        <v>#N/A</v>
      </c>
      <c r="G243" s="589" t="e">
        <f>VLOOKUP(A243,合同台帐!$A$4:$E$195,5,1)</f>
        <v>#N/A</v>
      </c>
      <c r="H243" s="590"/>
      <c r="I243" s="318" t="str">
        <f>IF(A243&lt;&gt;0,VLOOKUP(A243,合同台帐!$A$4:$C$893,3,0),"")</f>
        <v/>
      </c>
    </row>
    <row r="244" spans="1:9" s="591" customFormat="1" ht="15.75" customHeight="1">
      <c r="A244" s="585"/>
      <c r="B244" s="586"/>
      <c r="C244" s="364"/>
      <c r="D244" s="587">
        <f>SUMIF(A$2:A244,A244,C$2:C244)</f>
        <v>0</v>
      </c>
      <c r="E244" s="588" t="e">
        <f>IF(VLOOKUP(A244,合同台帐!$A$4:$K$195,7,1)&gt;0,VLOOKUP(A244,合同台帐!$A$4:$K$195,7,1)-D244,VLOOKUP(A244,合同台帐!$A$4:$F$195,6,1)-D244)</f>
        <v>#N/A</v>
      </c>
      <c r="F244" s="589" t="e">
        <f>VLOOKUP(A244,合同台帐!$A$4:$D$195,4,1)</f>
        <v>#N/A</v>
      </c>
      <c r="G244" s="589" t="e">
        <f>VLOOKUP(A244,合同台帐!$A$4:$E$195,5,1)</f>
        <v>#N/A</v>
      </c>
      <c r="H244" s="590"/>
      <c r="I244" s="318" t="str">
        <f>IF(A244&lt;&gt;0,VLOOKUP(A244,合同台帐!$A$4:$C$893,3,0),"")</f>
        <v/>
      </c>
    </row>
    <row r="245" spans="1:9" s="591" customFormat="1" ht="15.75" customHeight="1">
      <c r="A245" s="585"/>
      <c r="B245" s="586"/>
      <c r="C245" s="364"/>
      <c r="D245" s="587">
        <f>SUMIF(A$2:A245,A245,C$2:C245)</f>
        <v>0</v>
      </c>
      <c r="E245" s="588" t="e">
        <f>IF(VLOOKUP(A245,合同台帐!$A$4:$K$195,7,1)&gt;0,VLOOKUP(A245,合同台帐!$A$4:$K$195,7,1)-D245,VLOOKUP(A245,合同台帐!$A$4:$F$195,6,1)-D245)</f>
        <v>#N/A</v>
      </c>
      <c r="F245" s="589" t="e">
        <f>VLOOKUP(A245,合同台帐!$A$4:$D$195,4,1)</f>
        <v>#N/A</v>
      </c>
      <c r="G245" s="589" t="e">
        <f>VLOOKUP(A245,合同台帐!$A$4:$E$195,5,1)</f>
        <v>#N/A</v>
      </c>
      <c r="H245" s="590"/>
      <c r="I245" s="318" t="str">
        <f>IF(A245&lt;&gt;0,VLOOKUP(A245,合同台帐!$A$4:$C$893,3,0),"")</f>
        <v/>
      </c>
    </row>
    <row r="246" spans="1:9" s="591" customFormat="1" ht="15.75" customHeight="1">
      <c r="A246" s="585"/>
      <c r="B246" s="586"/>
      <c r="C246" s="364"/>
      <c r="D246" s="587">
        <f>SUMIF(A$2:A246,A246,C$2:C246)</f>
        <v>0</v>
      </c>
      <c r="E246" s="588" t="e">
        <f>IF(VLOOKUP(A246,合同台帐!$A$4:$K$195,7,1)&gt;0,VLOOKUP(A246,合同台帐!$A$4:$K$195,7,1)-D246,VLOOKUP(A246,合同台帐!$A$4:$F$195,6,1)-D246)</f>
        <v>#N/A</v>
      </c>
      <c r="F246" s="589" t="e">
        <f>VLOOKUP(A246,合同台帐!$A$4:$D$195,4,1)</f>
        <v>#N/A</v>
      </c>
      <c r="G246" s="589" t="e">
        <f>VLOOKUP(A246,合同台帐!$A$4:$E$195,5,1)</f>
        <v>#N/A</v>
      </c>
      <c r="H246" s="590"/>
      <c r="I246" s="318" t="str">
        <f>IF(A246&lt;&gt;0,VLOOKUP(A246,合同台帐!$A$4:$C$893,3,0),"")</f>
        <v/>
      </c>
    </row>
    <row r="247" spans="1:9" s="591" customFormat="1" ht="15.75" customHeight="1">
      <c r="A247" s="585"/>
      <c r="B247" s="586"/>
      <c r="C247" s="364"/>
      <c r="D247" s="587">
        <f>SUMIF(A$2:A247,A247,C$2:C247)</f>
        <v>0</v>
      </c>
      <c r="E247" s="588" t="e">
        <f>IF(VLOOKUP(A247,合同台帐!$A$4:$K$195,7,1)&gt;0,VLOOKUP(A247,合同台帐!$A$4:$K$195,7,1)-D247,VLOOKUP(A247,合同台帐!$A$4:$F$195,6,1)-D247)</f>
        <v>#N/A</v>
      </c>
      <c r="F247" s="589" t="e">
        <f>VLOOKUP(A247,合同台帐!$A$4:$D$195,4,1)</f>
        <v>#N/A</v>
      </c>
      <c r="G247" s="589" t="e">
        <f>VLOOKUP(A247,合同台帐!$A$4:$E$195,5,1)</f>
        <v>#N/A</v>
      </c>
      <c r="H247" s="590"/>
      <c r="I247" s="318" t="str">
        <f>IF(A247&lt;&gt;0,VLOOKUP(A247,合同台帐!$A$4:$C$893,3,0),"")</f>
        <v/>
      </c>
    </row>
    <row r="248" spans="1:9" s="591" customFormat="1" ht="15.75" customHeight="1">
      <c r="A248" s="585"/>
      <c r="B248" s="586"/>
      <c r="C248" s="364"/>
      <c r="D248" s="587">
        <f>SUMIF(A$2:A248,A248,C$2:C248)</f>
        <v>0</v>
      </c>
      <c r="E248" s="588" t="e">
        <f>IF(VLOOKUP(A248,合同台帐!$A$4:$K$195,7,1)&gt;0,VLOOKUP(A248,合同台帐!$A$4:$K$195,7,1)-D248,VLOOKUP(A248,合同台帐!$A$4:$F$195,6,1)-D248)</f>
        <v>#N/A</v>
      </c>
      <c r="F248" s="589" t="e">
        <f>VLOOKUP(A248,合同台帐!$A$4:$D$195,4,1)</f>
        <v>#N/A</v>
      </c>
      <c r="G248" s="589" t="e">
        <f>VLOOKUP(A248,合同台帐!$A$4:$E$195,5,1)</f>
        <v>#N/A</v>
      </c>
      <c r="H248" s="590"/>
      <c r="I248" s="318" t="str">
        <f>IF(A248&lt;&gt;0,VLOOKUP(A248,合同台帐!$A$4:$C$893,3,0),"")</f>
        <v/>
      </c>
    </row>
    <row r="249" spans="1:9" s="591" customFormat="1" ht="15.75" customHeight="1">
      <c r="A249" s="585"/>
      <c r="B249" s="586"/>
      <c r="C249" s="364"/>
      <c r="D249" s="587">
        <f>SUMIF(A$2:A249,A249,C$2:C249)</f>
        <v>0</v>
      </c>
      <c r="E249" s="588" t="e">
        <f>IF(VLOOKUP(A249,合同台帐!$A$4:$K$195,7,1)&gt;0,VLOOKUP(A249,合同台帐!$A$4:$K$195,7,1)-D249,VLOOKUP(A249,合同台帐!$A$4:$F$195,6,1)-D249)</f>
        <v>#N/A</v>
      </c>
      <c r="F249" s="589" t="e">
        <f>VLOOKUP(A249,合同台帐!$A$4:$D$195,4,1)</f>
        <v>#N/A</v>
      </c>
      <c r="G249" s="589" t="e">
        <f>VLOOKUP(A249,合同台帐!$A$4:$E$195,5,1)</f>
        <v>#N/A</v>
      </c>
      <c r="H249" s="590"/>
      <c r="I249" s="318" t="str">
        <f>IF(A249&lt;&gt;0,VLOOKUP(A249,合同台帐!$A$4:$C$893,3,0),"")</f>
        <v/>
      </c>
    </row>
    <row r="250" spans="1:9" s="591" customFormat="1" ht="15.75" customHeight="1">
      <c r="A250" s="585"/>
      <c r="B250" s="586"/>
      <c r="C250" s="364"/>
      <c r="D250" s="587">
        <f>SUMIF(A$2:A250,A250,C$2:C250)</f>
        <v>0</v>
      </c>
      <c r="E250" s="588" t="e">
        <f>IF(VLOOKUP(A250,合同台帐!$A$4:$K$195,7,1)&gt;0,VLOOKUP(A250,合同台帐!$A$4:$K$195,7,1)-D250,VLOOKUP(A250,合同台帐!$A$4:$F$195,6,1)-D250)</f>
        <v>#N/A</v>
      </c>
      <c r="F250" s="589" t="e">
        <f>VLOOKUP(A250,合同台帐!$A$4:$D$195,4,1)</f>
        <v>#N/A</v>
      </c>
      <c r="G250" s="589" t="e">
        <f>VLOOKUP(A250,合同台帐!$A$4:$E$195,5,1)</f>
        <v>#N/A</v>
      </c>
      <c r="H250" s="590"/>
      <c r="I250" s="318" t="str">
        <f>IF(A250&lt;&gt;0,VLOOKUP(A250,合同台帐!$A$4:$C$893,3,0),"")</f>
        <v/>
      </c>
    </row>
    <row r="251" spans="1:9" s="591" customFormat="1" ht="15.75" customHeight="1">
      <c r="A251" s="585"/>
      <c r="B251" s="586"/>
      <c r="C251" s="364"/>
      <c r="D251" s="587">
        <f>SUMIF(A$2:A251,A251,C$2:C251)</f>
        <v>0</v>
      </c>
      <c r="E251" s="588" t="e">
        <f>IF(VLOOKUP(A251,合同台帐!$A$4:$K$195,7,1)&gt;0,VLOOKUP(A251,合同台帐!$A$4:$K$195,7,1)-D251,VLOOKUP(A251,合同台帐!$A$4:$F$195,6,1)-D251)</f>
        <v>#N/A</v>
      </c>
      <c r="F251" s="589" t="e">
        <f>VLOOKUP(A251,合同台帐!$A$4:$D$195,4,1)</f>
        <v>#N/A</v>
      </c>
      <c r="G251" s="589" t="e">
        <f>VLOOKUP(A251,合同台帐!$A$4:$E$195,5,1)</f>
        <v>#N/A</v>
      </c>
      <c r="H251" s="590"/>
      <c r="I251" s="318" t="str">
        <f>IF(A251&lt;&gt;0,VLOOKUP(A251,合同台帐!$A$4:$C$893,3,0),"")</f>
        <v/>
      </c>
    </row>
    <row r="252" spans="1:9" s="591" customFormat="1" ht="15.75" customHeight="1">
      <c r="A252" s="585"/>
      <c r="B252" s="586"/>
      <c r="C252" s="364"/>
      <c r="D252" s="587">
        <f>SUMIF(A$2:A252,A252,C$2:C252)</f>
        <v>0</v>
      </c>
      <c r="E252" s="588" t="e">
        <f>IF(VLOOKUP(A252,合同台帐!$A$4:$K$195,7,1)&gt;0,VLOOKUP(A252,合同台帐!$A$4:$K$195,7,1)-D252,VLOOKUP(A252,合同台帐!$A$4:$F$195,6,1)-D252)</f>
        <v>#N/A</v>
      </c>
      <c r="F252" s="589" t="e">
        <f>VLOOKUP(A252,合同台帐!$A$4:$D$195,4,1)</f>
        <v>#N/A</v>
      </c>
      <c r="G252" s="589" t="e">
        <f>VLOOKUP(A252,合同台帐!$A$4:$E$195,5,1)</f>
        <v>#N/A</v>
      </c>
      <c r="H252" s="590"/>
      <c r="I252" s="318" t="str">
        <f>IF(A252&lt;&gt;0,VLOOKUP(A252,合同台帐!$A$4:$C$893,3,0),"")</f>
        <v/>
      </c>
    </row>
    <row r="253" spans="1:9" s="591" customFormat="1" ht="15.75" customHeight="1">
      <c r="A253" s="585"/>
      <c r="B253" s="586"/>
      <c r="C253" s="364"/>
      <c r="D253" s="587">
        <f>SUMIF(A$2:A253,A253,C$2:C253)</f>
        <v>0</v>
      </c>
      <c r="E253" s="588" t="e">
        <f>IF(VLOOKUP(A253,合同台帐!$A$4:$K$195,7,1)&gt;0,VLOOKUP(A253,合同台帐!$A$4:$K$195,7,1)-D253,VLOOKUP(A253,合同台帐!$A$4:$F$195,6,1)-D253)</f>
        <v>#N/A</v>
      </c>
      <c r="F253" s="589" t="e">
        <f>VLOOKUP(A253,合同台帐!$A$4:$D$195,4,1)</f>
        <v>#N/A</v>
      </c>
      <c r="G253" s="589" t="e">
        <f>VLOOKUP(A253,合同台帐!$A$4:$E$195,5,1)</f>
        <v>#N/A</v>
      </c>
      <c r="H253" s="590"/>
      <c r="I253" s="318" t="str">
        <f>IF(A253&lt;&gt;0,VLOOKUP(A253,合同台帐!$A$4:$C$893,3,0),"")</f>
        <v/>
      </c>
    </row>
    <row r="254" spans="1:9" s="591" customFormat="1" ht="15.75" customHeight="1">
      <c r="A254" s="585"/>
      <c r="B254" s="586"/>
      <c r="C254" s="364"/>
      <c r="D254" s="587">
        <f>SUMIF(A$2:A254,A254,C$2:C254)</f>
        <v>0</v>
      </c>
      <c r="E254" s="588" t="e">
        <f>IF(VLOOKUP(A254,合同台帐!$A$4:$K$195,7,1)&gt;0,VLOOKUP(A254,合同台帐!$A$4:$K$195,7,1)-D254,VLOOKUP(A254,合同台帐!$A$4:$F$195,6,1)-D254)</f>
        <v>#N/A</v>
      </c>
      <c r="F254" s="589" t="e">
        <f>VLOOKUP(A254,合同台帐!$A$4:$D$195,4,1)</f>
        <v>#N/A</v>
      </c>
      <c r="G254" s="589" t="e">
        <f>VLOOKUP(A254,合同台帐!$A$4:$E$195,5,1)</f>
        <v>#N/A</v>
      </c>
      <c r="H254" s="590"/>
      <c r="I254" s="318" t="str">
        <f>IF(A254&lt;&gt;0,VLOOKUP(A254,合同台帐!$A$4:$C$893,3,0),"")</f>
        <v/>
      </c>
    </row>
    <row r="255" spans="1:9" s="591" customFormat="1" ht="15.75" customHeight="1">
      <c r="A255" s="585"/>
      <c r="B255" s="586"/>
      <c r="C255" s="364"/>
      <c r="D255" s="587">
        <f>SUMIF(A$2:A255,A255,C$2:C255)</f>
        <v>0</v>
      </c>
      <c r="E255" s="588" t="e">
        <f>IF(VLOOKUP(A255,合同台帐!$A$4:$K$195,7,1)&gt;0,VLOOKUP(A255,合同台帐!$A$4:$K$195,7,1)-D255,VLOOKUP(A255,合同台帐!$A$4:$F$195,6,1)-D255)</f>
        <v>#N/A</v>
      </c>
      <c r="F255" s="589" t="e">
        <f>VLOOKUP(A255,合同台帐!$A$4:$D$195,4,1)</f>
        <v>#N/A</v>
      </c>
      <c r="G255" s="589" t="e">
        <f>VLOOKUP(A255,合同台帐!$A$4:$E$195,5,1)</f>
        <v>#N/A</v>
      </c>
      <c r="H255" s="590"/>
      <c r="I255" s="318" t="str">
        <f>IF(A255&lt;&gt;0,VLOOKUP(A255,合同台帐!$A$4:$C$893,3,0),"")</f>
        <v/>
      </c>
    </row>
    <row r="256" spans="1:9" s="591" customFormat="1" ht="15.75" customHeight="1">
      <c r="A256" s="585"/>
      <c r="B256" s="586"/>
      <c r="C256" s="364"/>
      <c r="D256" s="587">
        <f>SUMIF(A$2:A256,A256,C$2:C256)</f>
        <v>0</v>
      </c>
      <c r="E256" s="588" t="e">
        <f>IF(VLOOKUP(A256,合同台帐!$A$4:$K$195,7,1)&gt;0,VLOOKUP(A256,合同台帐!$A$4:$K$195,7,1)-D256,VLOOKUP(A256,合同台帐!$A$4:$F$195,6,1)-D256)</f>
        <v>#N/A</v>
      </c>
      <c r="F256" s="589" t="e">
        <f>VLOOKUP(A256,合同台帐!$A$4:$D$195,4,1)</f>
        <v>#N/A</v>
      </c>
      <c r="G256" s="589" t="e">
        <f>VLOOKUP(A256,合同台帐!$A$4:$E$195,5,1)</f>
        <v>#N/A</v>
      </c>
      <c r="H256" s="590"/>
      <c r="I256" s="318" t="str">
        <f>IF(A256&lt;&gt;0,VLOOKUP(A256,合同台帐!$A$4:$C$893,3,0),"")</f>
        <v/>
      </c>
    </row>
    <row r="257" spans="1:9" s="635" customFormat="1" ht="15.75" customHeight="1">
      <c r="A257" s="630"/>
      <c r="B257" s="586"/>
      <c r="C257" s="631">
        <f>SUM(C2:C256)</f>
        <v>538812008.25999987</v>
      </c>
      <c r="D257" s="631">
        <f t="shared" ref="D257:E257" si="0">SUM(D2:D256)</f>
        <v>1167224982.3099997</v>
      </c>
      <c r="E257" s="631" t="e">
        <f t="shared" si="0"/>
        <v>#N/A</v>
      </c>
      <c r="F257" s="632">
        <f>SUM(F2:F26)</f>
        <v>0</v>
      </c>
      <c r="G257" s="632"/>
      <c r="H257" s="633"/>
      <c r="I257" s="634"/>
    </row>
    <row r="258" spans="1:9">
      <c r="B258" s="637"/>
      <c r="C258" s="638"/>
      <c r="D258" s="639"/>
    </row>
    <row r="259" spans="1:9">
      <c r="C259" s="643">
        <f>C107+C175+C185</f>
        <v>11943610</v>
      </c>
    </row>
    <row r="260" spans="1:9">
      <c r="C260" s="643" t="e">
        <f>D201-C259-C104-C134+[1]往来款台账!E6+[1]往来款台账!E11</f>
        <v>#REF!</v>
      </c>
    </row>
    <row r="262" spans="1:9">
      <c r="A262" s="571"/>
      <c r="C262" s="644"/>
      <c r="D262" s="645"/>
      <c r="F262" s="571"/>
      <c r="G262" s="571"/>
      <c r="H262" s="571"/>
    </row>
    <row r="265" spans="1:9">
      <c r="A265" s="571"/>
      <c r="C265" s="644"/>
      <c r="D265" s="640" t="s">
        <v>1596</v>
      </c>
      <c r="F265" s="571"/>
      <c r="G265" s="571"/>
      <c r="H265" s="571"/>
    </row>
    <row r="266" spans="1:9">
      <c r="A266" s="571"/>
      <c r="C266" s="644"/>
      <c r="D266" s="645"/>
      <c r="F266" s="571"/>
      <c r="G266" s="571"/>
      <c r="H266" s="571"/>
    </row>
    <row r="268" spans="1:9">
      <c r="A268" s="571"/>
      <c r="C268" s="644"/>
      <c r="E268" s="646"/>
      <c r="F268" s="571"/>
      <c r="G268" s="571"/>
      <c r="H268" s="571"/>
    </row>
  </sheetData>
  <autoFilter ref="A1:IU257"/>
  <phoneticPr fontId="4" type="noConversion"/>
  <pageMargins left="0" right="0.196527777777778" top="0.196527777777778" bottom="0.15625" header="0.15625" footer="0.15625"/>
  <pageSetup paperSize="9" scale="85" orientation="landscape" useFirstPageNumber="1"/>
  <headerFooter alignWithMargins="0">
    <oddFooter>&amp;C第&amp;"Times New Roman,常规"&amp;P&amp;"宋体,常规"页&amp;"Times New Roman,常规"        &amp;"宋体,常规"共&amp;"Times New Roman,常规"&amp;N&amp;"宋体,常规"页</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A1:R230"/>
  <sheetViews>
    <sheetView view="pageBreakPreview" zoomScaleNormal="100" zoomScaleSheetLayoutView="100" workbookViewId="0">
      <pane xSplit="3" ySplit="3" topLeftCell="D176" activePane="bottomRight" state="frozen"/>
      <selection pane="topRight"/>
      <selection pane="bottomLeft"/>
      <selection pane="bottomRight" activeCell="C94" sqref="C94"/>
    </sheetView>
  </sheetViews>
  <sheetFormatPr defaultColWidth="9" defaultRowHeight="14.25"/>
  <cols>
    <col min="1" max="1" width="10.125" style="433" customWidth="1"/>
    <col min="2" max="2" width="13.5" style="272" customWidth="1"/>
    <col min="3" max="3" width="9.5" style="272" customWidth="1"/>
    <col min="4" max="4" width="30.875" style="275" customWidth="1"/>
    <col min="5" max="5" width="26.125" style="399" customWidth="1"/>
    <col min="6" max="6" width="13.5" style="407" customWidth="1"/>
    <col min="7" max="7" width="13.5" style="401" customWidth="1"/>
    <col min="8" max="9" width="16.125" style="275" customWidth="1"/>
    <col min="10" max="10" width="14.125" style="275" customWidth="1"/>
    <col min="11" max="11" width="20.125" style="275" customWidth="1"/>
    <col min="12" max="12" width="9.875" style="275" customWidth="1"/>
    <col min="13" max="13" width="13.125" style="275" customWidth="1"/>
    <col min="14" max="14" width="9.125" style="272" customWidth="1"/>
    <col min="15" max="15" width="34" style="273" customWidth="1"/>
    <col min="16" max="16" width="12.625" style="274" customWidth="1"/>
    <col min="17" max="17" width="12.125" style="274" customWidth="1"/>
    <col min="18" max="16384" width="9" style="275"/>
  </cols>
  <sheetData>
    <row r="1" spans="1:18" ht="25.5">
      <c r="A1" s="703" t="s">
        <v>982</v>
      </c>
      <c r="B1" s="703"/>
      <c r="C1" s="703"/>
      <c r="D1" s="703"/>
      <c r="E1" s="703"/>
      <c r="F1" s="270"/>
      <c r="G1" s="270"/>
      <c r="H1" s="271"/>
      <c r="I1" s="271"/>
      <c r="J1" s="271"/>
      <c r="K1" s="271"/>
      <c r="L1" s="271"/>
      <c r="M1" s="271"/>
    </row>
    <row r="2" spans="1:18" ht="16.5" customHeight="1" thickBot="1">
      <c r="A2" s="704"/>
      <c r="B2" s="704"/>
      <c r="C2" s="276"/>
      <c r="D2" s="277"/>
      <c r="E2" s="278"/>
      <c r="F2" s="279"/>
      <c r="G2" s="280"/>
      <c r="H2" s="277"/>
      <c r="I2" s="277"/>
      <c r="J2" s="277"/>
      <c r="K2" s="277"/>
      <c r="L2" s="705"/>
      <c r="M2" s="706"/>
    </row>
    <row r="3" spans="1:18" s="289" customFormat="1" ht="21" customHeight="1">
      <c r="A3" s="281" t="s">
        <v>983</v>
      </c>
      <c r="B3" s="282" t="s">
        <v>984</v>
      </c>
      <c r="C3" s="282" t="s">
        <v>1741</v>
      </c>
      <c r="D3" s="282" t="s">
        <v>985</v>
      </c>
      <c r="E3" s="283" t="s">
        <v>986</v>
      </c>
      <c r="F3" s="282" t="s">
        <v>987</v>
      </c>
      <c r="G3" s="282" t="s">
        <v>1743</v>
      </c>
      <c r="H3" s="282" t="s">
        <v>988</v>
      </c>
      <c r="I3" s="282" t="s">
        <v>989</v>
      </c>
      <c r="J3" s="282" t="s">
        <v>990</v>
      </c>
      <c r="K3" s="282" t="s">
        <v>991</v>
      </c>
      <c r="L3" s="284" t="s">
        <v>992</v>
      </c>
      <c r="M3" s="284" t="s">
        <v>993</v>
      </c>
      <c r="N3" s="285" t="s">
        <v>994</v>
      </c>
      <c r="O3" s="286" t="s">
        <v>995</v>
      </c>
      <c r="P3" s="287" t="s">
        <v>996</v>
      </c>
      <c r="Q3" s="287" t="s">
        <v>997</v>
      </c>
      <c r="R3" s="288" t="s">
        <v>998</v>
      </c>
    </row>
    <row r="4" spans="1:18" s="301" customFormat="1" ht="16.5" customHeight="1">
      <c r="A4" s="290" t="s">
        <v>12</v>
      </c>
      <c r="B4" s="291" t="s">
        <v>999</v>
      </c>
      <c r="C4" s="292" t="s">
        <v>1000</v>
      </c>
      <c r="D4" s="293" t="s">
        <v>1001</v>
      </c>
      <c r="E4" s="293" t="s">
        <v>1002</v>
      </c>
      <c r="F4" s="294">
        <v>12055.17</v>
      </c>
      <c r="G4" s="295">
        <f t="shared" ref="G4:G18" si="0">F4+J4</f>
        <v>12055.17</v>
      </c>
      <c r="H4" s="296">
        <f t="shared" ref="H4:H67" ca="1" si="1">SUMIF(INDIRECT($K$213),A4,INDIRECT($K$214))</f>
        <v>12055.17</v>
      </c>
      <c r="I4" s="296">
        <f t="shared" ref="I4:I67" si="2">IF(G4&lt;&gt;0,G4,F4)</f>
        <v>12055.17</v>
      </c>
      <c r="J4" s="296">
        <v>0</v>
      </c>
      <c r="K4" s="297">
        <f t="shared" ref="K4:K67" ca="1" si="3">SUMIF(INDIRECT($K$216),A4,INDIRECT($K$217))</f>
        <v>12055.17</v>
      </c>
      <c r="L4" s="298">
        <f t="shared" ref="L4:L67" ca="1" si="4">IF(G4&gt;0,K4/G4,K4/F4)</f>
        <v>1</v>
      </c>
      <c r="M4" s="299">
        <f t="shared" ref="M4:M67" ca="1" si="5">IF(G4&gt;0,G4-K4,F4-K4)</f>
        <v>0</v>
      </c>
      <c r="N4" s="300" t="s">
        <v>1003</v>
      </c>
      <c r="O4" s="293" t="s">
        <v>1004</v>
      </c>
    </row>
    <row r="5" spans="1:18" s="301" customFormat="1" ht="16.5" customHeight="1">
      <c r="A5" s="290" t="s">
        <v>13</v>
      </c>
      <c r="B5" s="291" t="s">
        <v>999</v>
      </c>
      <c r="C5" s="292" t="s">
        <v>1005</v>
      </c>
      <c r="D5" s="293" t="s">
        <v>1006</v>
      </c>
      <c r="E5" s="293" t="s">
        <v>1002</v>
      </c>
      <c r="F5" s="294">
        <v>44110</v>
      </c>
      <c r="G5" s="295">
        <f t="shared" si="0"/>
        <v>44110</v>
      </c>
      <c r="H5" s="296">
        <f t="shared" ca="1" si="1"/>
        <v>44110</v>
      </c>
      <c r="I5" s="296">
        <f t="shared" si="2"/>
        <v>44110</v>
      </c>
      <c r="J5" s="296">
        <v>0</v>
      </c>
      <c r="K5" s="297">
        <f t="shared" ca="1" si="3"/>
        <v>44110</v>
      </c>
      <c r="L5" s="298">
        <f t="shared" ca="1" si="4"/>
        <v>1</v>
      </c>
      <c r="M5" s="299">
        <f t="shared" ca="1" si="5"/>
        <v>0</v>
      </c>
      <c r="N5" s="300" t="s">
        <v>1003</v>
      </c>
      <c r="O5" s="293" t="s">
        <v>1007</v>
      </c>
    </row>
    <row r="6" spans="1:18" s="301" customFormat="1" ht="16.5" customHeight="1">
      <c r="A6" s="290" t="s">
        <v>14</v>
      </c>
      <c r="B6" s="291" t="s">
        <v>1008</v>
      </c>
      <c r="C6" s="292" t="s">
        <v>1009</v>
      </c>
      <c r="D6" s="293" t="s">
        <v>1010</v>
      </c>
      <c r="E6" s="293" t="s">
        <v>1011</v>
      </c>
      <c r="F6" s="294">
        <v>71820</v>
      </c>
      <c r="G6" s="295">
        <f t="shared" si="0"/>
        <v>102375</v>
      </c>
      <c r="H6" s="296">
        <f t="shared" ca="1" si="1"/>
        <v>102375</v>
      </c>
      <c r="I6" s="296">
        <f t="shared" si="2"/>
        <v>102375</v>
      </c>
      <c r="J6" s="296">
        <v>30555</v>
      </c>
      <c r="K6" s="297">
        <f t="shared" ca="1" si="3"/>
        <v>102375</v>
      </c>
      <c r="L6" s="298">
        <f t="shared" ca="1" si="4"/>
        <v>1</v>
      </c>
      <c r="M6" s="299">
        <f t="shared" ca="1" si="5"/>
        <v>0</v>
      </c>
      <c r="N6" s="300" t="s">
        <v>1003</v>
      </c>
      <c r="O6" s="293" t="s">
        <v>1012</v>
      </c>
    </row>
    <row r="7" spans="1:18" s="301" customFormat="1" ht="16.5" customHeight="1">
      <c r="A7" s="290" t="s">
        <v>15</v>
      </c>
      <c r="B7" s="291" t="s">
        <v>1013</v>
      </c>
      <c r="C7" s="292" t="s">
        <v>1014</v>
      </c>
      <c r="D7" s="293" t="s">
        <v>1015</v>
      </c>
      <c r="E7" s="293" t="s">
        <v>1016</v>
      </c>
      <c r="F7" s="294">
        <v>7800000</v>
      </c>
      <c r="G7" s="295">
        <f t="shared" si="0"/>
        <v>7800000</v>
      </c>
      <c r="H7" s="296">
        <f t="shared" ca="1" si="1"/>
        <v>6327629</v>
      </c>
      <c r="I7" s="296">
        <f t="shared" si="2"/>
        <v>7800000</v>
      </c>
      <c r="J7" s="296">
        <v>0</v>
      </c>
      <c r="K7" s="297">
        <f t="shared" ca="1" si="3"/>
        <v>6327629</v>
      </c>
      <c r="L7" s="298">
        <f t="shared" ca="1" si="4"/>
        <v>0.81123448717948721</v>
      </c>
      <c r="M7" s="299">
        <f t="shared" ca="1" si="5"/>
        <v>1472371</v>
      </c>
      <c r="N7" s="300" t="s">
        <v>1003</v>
      </c>
      <c r="O7" s="293" t="s">
        <v>1017</v>
      </c>
    </row>
    <row r="8" spans="1:18" s="301" customFormat="1" ht="16.5" customHeight="1">
      <c r="A8" s="290" t="s">
        <v>16</v>
      </c>
      <c r="B8" s="291" t="s">
        <v>1013</v>
      </c>
      <c r="C8" s="292" t="s">
        <v>1018</v>
      </c>
      <c r="D8" s="293" t="s">
        <v>1019</v>
      </c>
      <c r="E8" s="293" t="s">
        <v>1020</v>
      </c>
      <c r="F8" s="294">
        <v>366100000</v>
      </c>
      <c r="G8" s="295">
        <f t="shared" si="0"/>
        <v>366100000</v>
      </c>
      <c r="H8" s="296">
        <f t="shared" ca="1" si="1"/>
        <v>366100000</v>
      </c>
      <c r="I8" s="296">
        <f t="shared" si="2"/>
        <v>366100000</v>
      </c>
      <c r="J8" s="296">
        <v>0</v>
      </c>
      <c r="K8" s="297">
        <f t="shared" ca="1" si="3"/>
        <v>366100000</v>
      </c>
      <c r="L8" s="298">
        <f t="shared" ca="1" si="4"/>
        <v>1</v>
      </c>
      <c r="M8" s="299">
        <f t="shared" ca="1" si="5"/>
        <v>0</v>
      </c>
      <c r="N8" s="300" t="s">
        <v>1021</v>
      </c>
      <c r="O8" s="293" t="s">
        <v>1022</v>
      </c>
    </row>
    <row r="9" spans="1:18" s="301" customFormat="1" ht="16.5" customHeight="1">
      <c r="A9" s="290" t="s">
        <v>17</v>
      </c>
      <c r="B9" s="291" t="s">
        <v>1023</v>
      </c>
      <c r="C9" s="292" t="s">
        <v>1024</v>
      </c>
      <c r="D9" s="293" t="s">
        <v>1025</v>
      </c>
      <c r="E9" s="293" t="s">
        <v>1020</v>
      </c>
      <c r="F9" s="294">
        <v>366100</v>
      </c>
      <c r="G9" s="295">
        <f t="shared" si="0"/>
        <v>366100</v>
      </c>
      <c r="H9" s="296">
        <f t="shared" ca="1" si="1"/>
        <v>366100</v>
      </c>
      <c r="I9" s="296">
        <f t="shared" si="2"/>
        <v>366100</v>
      </c>
      <c r="J9" s="296">
        <v>0</v>
      </c>
      <c r="K9" s="297">
        <f t="shared" ca="1" si="3"/>
        <v>366100</v>
      </c>
      <c r="L9" s="298">
        <f t="shared" ca="1" si="4"/>
        <v>1</v>
      </c>
      <c r="M9" s="299">
        <f t="shared" ca="1" si="5"/>
        <v>0</v>
      </c>
      <c r="N9" s="300" t="s">
        <v>1021</v>
      </c>
      <c r="O9" s="293" t="s">
        <v>1026</v>
      </c>
    </row>
    <row r="10" spans="1:18" s="301" customFormat="1" ht="16.5" customHeight="1">
      <c r="A10" s="290" t="s">
        <v>18</v>
      </c>
      <c r="B10" s="291" t="s">
        <v>1027</v>
      </c>
      <c r="C10" s="292" t="s">
        <v>1028</v>
      </c>
      <c r="D10" s="293" t="s">
        <v>1029</v>
      </c>
      <c r="E10" s="293" t="s">
        <v>1030</v>
      </c>
      <c r="F10" s="294">
        <v>10000</v>
      </c>
      <c r="G10" s="295">
        <f t="shared" si="0"/>
        <v>10000</v>
      </c>
      <c r="H10" s="296">
        <f t="shared" ca="1" si="1"/>
        <v>10000</v>
      </c>
      <c r="I10" s="296">
        <f t="shared" si="2"/>
        <v>10000</v>
      </c>
      <c r="J10" s="296">
        <v>0</v>
      </c>
      <c r="K10" s="297">
        <f t="shared" ca="1" si="3"/>
        <v>10000</v>
      </c>
      <c r="L10" s="298">
        <f t="shared" ca="1" si="4"/>
        <v>1</v>
      </c>
      <c r="M10" s="299">
        <f t="shared" ca="1" si="5"/>
        <v>0</v>
      </c>
      <c r="N10" s="300" t="s">
        <v>1021</v>
      </c>
      <c r="O10" s="293" t="s">
        <v>1026</v>
      </c>
    </row>
    <row r="11" spans="1:18" s="301" customFormat="1" ht="16.5" customHeight="1">
      <c r="A11" s="290" t="s">
        <v>19</v>
      </c>
      <c r="B11" s="291" t="s">
        <v>1031</v>
      </c>
      <c r="C11" s="292" t="s">
        <v>1024</v>
      </c>
      <c r="D11" s="293" t="s">
        <v>1032</v>
      </c>
      <c r="E11" s="293" t="s">
        <v>1033</v>
      </c>
      <c r="F11" s="294">
        <v>1464400</v>
      </c>
      <c r="G11" s="295">
        <f t="shared" si="0"/>
        <v>1464400</v>
      </c>
      <c r="H11" s="296">
        <f t="shared" ca="1" si="1"/>
        <v>1464400</v>
      </c>
      <c r="I11" s="296">
        <f t="shared" si="2"/>
        <v>1464400</v>
      </c>
      <c r="J11" s="296">
        <v>0</v>
      </c>
      <c r="K11" s="297">
        <f t="shared" ca="1" si="3"/>
        <v>1464400</v>
      </c>
      <c r="L11" s="298">
        <f t="shared" ca="1" si="4"/>
        <v>1</v>
      </c>
      <c r="M11" s="299">
        <f t="shared" ca="1" si="5"/>
        <v>0</v>
      </c>
      <c r="N11" s="300" t="s">
        <v>1021</v>
      </c>
      <c r="O11" s="293" t="s">
        <v>1026</v>
      </c>
    </row>
    <row r="12" spans="1:18" s="301" customFormat="1" ht="16.5" customHeight="1">
      <c r="A12" s="290" t="s">
        <v>20</v>
      </c>
      <c r="B12" s="291" t="s">
        <v>1031</v>
      </c>
      <c r="C12" s="292" t="s">
        <v>1024</v>
      </c>
      <c r="D12" s="293" t="s">
        <v>1034</v>
      </c>
      <c r="E12" s="293" t="s">
        <v>1033</v>
      </c>
      <c r="F12" s="294">
        <v>732200</v>
      </c>
      <c r="G12" s="295">
        <f t="shared" si="0"/>
        <v>732200</v>
      </c>
      <c r="H12" s="296">
        <f t="shared" ca="1" si="1"/>
        <v>732200</v>
      </c>
      <c r="I12" s="296">
        <f t="shared" si="2"/>
        <v>732200</v>
      </c>
      <c r="J12" s="296">
        <v>0</v>
      </c>
      <c r="K12" s="297">
        <f t="shared" ca="1" si="3"/>
        <v>732200</v>
      </c>
      <c r="L12" s="298">
        <f t="shared" ca="1" si="4"/>
        <v>1</v>
      </c>
      <c r="M12" s="299">
        <f t="shared" ca="1" si="5"/>
        <v>0</v>
      </c>
      <c r="N12" s="300" t="s">
        <v>1021</v>
      </c>
      <c r="O12" s="293" t="s">
        <v>1026</v>
      </c>
    </row>
    <row r="13" spans="1:18" s="301" customFormat="1" ht="16.5" customHeight="1">
      <c r="A13" s="290" t="s">
        <v>21</v>
      </c>
      <c r="B13" s="291" t="s">
        <v>1035</v>
      </c>
      <c r="C13" s="292" t="s">
        <v>1036</v>
      </c>
      <c r="D13" s="293" t="s">
        <v>1037</v>
      </c>
      <c r="E13" s="293" t="s">
        <v>1038</v>
      </c>
      <c r="F13" s="294">
        <v>14644000</v>
      </c>
      <c r="G13" s="295">
        <f t="shared" si="0"/>
        <v>14644000</v>
      </c>
      <c r="H13" s="296">
        <f t="shared" ca="1" si="1"/>
        <v>14644000</v>
      </c>
      <c r="I13" s="296">
        <f t="shared" si="2"/>
        <v>14644000</v>
      </c>
      <c r="J13" s="296">
        <v>0</v>
      </c>
      <c r="K13" s="297">
        <f t="shared" ca="1" si="3"/>
        <v>14644000</v>
      </c>
      <c r="L13" s="298">
        <f t="shared" ca="1" si="4"/>
        <v>1</v>
      </c>
      <c r="M13" s="299">
        <f t="shared" ca="1" si="5"/>
        <v>0</v>
      </c>
      <c r="N13" s="300" t="s">
        <v>1021</v>
      </c>
      <c r="O13" s="293" t="s">
        <v>1026</v>
      </c>
    </row>
    <row r="14" spans="1:18" s="301" customFormat="1" ht="16.5" customHeight="1">
      <c r="A14" s="290" t="s">
        <v>22</v>
      </c>
      <c r="B14" s="291" t="s">
        <v>1039</v>
      </c>
      <c r="C14" s="292" t="s">
        <v>1005</v>
      </c>
      <c r="D14" s="293" t="s">
        <v>1040</v>
      </c>
      <c r="E14" s="293" t="s">
        <v>1041</v>
      </c>
      <c r="F14" s="294">
        <v>12600</v>
      </c>
      <c r="G14" s="295">
        <f t="shared" si="0"/>
        <v>12600</v>
      </c>
      <c r="H14" s="296">
        <f t="shared" ca="1" si="1"/>
        <v>12600</v>
      </c>
      <c r="I14" s="296">
        <f t="shared" si="2"/>
        <v>12600</v>
      </c>
      <c r="J14" s="296">
        <v>0</v>
      </c>
      <c r="K14" s="297">
        <f t="shared" ca="1" si="3"/>
        <v>12600</v>
      </c>
      <c r="L14" s="298">
        <f t="shared" ca="1" si="4"/>
        <v>1</v>
      </c>
      <c r="M14" s="299">
        <f t="shared" ca="1" si="5"/>
        <v>0</v>
      </c>
      <c r="N14" s="300" t="s">
        <v>1021</v>
      </c>
      <c r="O14" s="293" t="s">
        <v>1026</v>
      </c>
    </row>
    <row r="15" spans="1:18" s="301" customFormat="1" ht="16.5" customHeight="1">
      <c r="A15" s="290" t="s">
        <v>23</v>
      </c>
      <c r="B15" s="291" t="s">
        <v>1042</v>
      </c>
      <c r="C15" s="292" t="s">
        <v>1005</v>
      </c>
      <c r="D15" s="293" t="s">
        <v>1043</v>
      </c>
      <c r="E15" s="293" t="s">
        <v>1002</v>
      </c>
      <c r="F15" s="294">
        <v>61713</v>
      </c>
      <c r="G15" s="295">
        <f t="shared" si="0"/>
        <v>61713</v>
      </c>
      <c r="H15" s="296">
        <f t="shared" ca="1" si="1"/>
        <v>61713</v>
      </c>
      <c r="I15" s="296">
        <f t="shared" si="2"/>
        <v>61713</v>
      </c>
      <c r="J15" s="296">
        <v>0</v>
      </c>
      <c r="K15" s="297">
        <f t="shared" ca="1" si="3"/>
        <v>61713</v>
      </c>
      <c r="L15" s="298">
        <f t="shared" ca="1" si="4"/>
        <v>1</v>
      </c>
      <c r="M15" s="299">
        <f t="shared" ca="1" si="5"/>
        <v>0</v>
      </c>
      <c r="N15" s="300" t="s">
        <v>1021</v>
      </c>
      <c r="O15" s="293" t="s">
        <v>1026</v>
      </c>
    </row>
    <row r="16" spans="1:18" s="301" customFormat="1" ht="16.5" customHeight="1">
      <c r="A16" s="290" t="s">
        <v>24</v>
      </c>
      <c r="B16" s="291" t="s">
        <v>1044</v>
      </c>
      <c r="C16" s="292" t="s">
        <v>1045</v>
      </c>
      <c r="D16" s="293" t="s">
        <v>1046</v>
      </c>
      <c r="E16" s="293" t="s">
        <v>1047</v>
      </c>
      <c r="F16" s="294">
        <v>8280192</v>
      </c>
      <c r="G16" s="295">
        <f t="shared" si="0"/>
        <v>8280192</v>
      </c>
      <c r="H16" s="296">
        <f t="shared" ca="1" si="1"/>
        <v>3312076.7999999998</v>
      </c>
      <c r="I16" s="296">
        <f t="shared" si="2"/>
        <v>8280192</v>
      </c>
      <c r="J16" s="296">
        <v>0</v>
      </c>
      <c r="K16" s="297">
        <f t="shared" ca="1" si="3"/>
        <v>3312076.7999999998</v>
      </c>
      <c r="L16" s="298">
        <f t="shared" ca="1" si="4"/>
        <v>0.39999999999999997</v>
      </c>
      <c r="M16" s="299">
        <f t="shared" ca="1" si="5"/>
        <v>4968115.2</v>
      </c>
      <c r="N16" s="300" t="s">
        <v>1021</v>
      </c>
      <c r="O16" s="293" t="s">
        <v>1048</v>
      </c>
      <c r="R16" s="302" t="s">
        <v>1049</v>
      </c>
    </row>
    <row r="17" spans="1:17" s="301" customFormat="1" ht="16.5" customHeight="1">
      <c r="A17" s="290" t="s">
        <v>25</v>
      </c>
      <c r="B17" s="291" t="s">
        <v>1050</v>
      </c>
      <c r="C17" s="292" t="s">
        <v>1051</v>
      </c>
      <c r="D17" s="293" t="s">
        <v>1052</v>
      </c>
      <c r="E17" s="293" t="s">
        <v>1053</v>
      </c>
      <c r="F17" s="294">
        <v>1000</v>
      </c>
      <c r="G17" s="295">
        <f t="shared" si="0"/>
        <v>1000</v>
      </c>
      <c r="H17" s="296">
        <f t="shared" ca="1" si="1"/>
        <v>1000</v>
      </c>
      <c r="I17" s="296">
        <f t="shared" si="2"/>
        <v>1000</v>
      </c>
      <c r="J17" s="296">
        <v>0</v>
      </c>
      <c r="K17" s="297">
        <f t="shared" ca="1" si="3"/>
        <v>1000</v>
      </c>
      <c r="L17" s="298">
        <f t="shared" ca="1" si="4"/>
        <v>1</v>
      </c>
      <c r="M17" s="299">
        <f t="shared" ca="1" si="5"/>
        <v>0</v>
      </c>
      <c r="N17" s="300" t="s">
        <v>1021</v>
      </c>
      <c r="O17" s="293" t="s">
        <v>1026</v>
      </c>
    </row>
    <row r="18" spans="1:17" s="301" customFormat="1" ht="25.5" customHeight="1">
      <c r="A18" s="290" t="s">
        <v>74</v>
      </c>
      <c r="B18" s="291" t="s">
        <v>1054</v>
      </c>
      <c r="C18" s="292" t="s">
        <v>1055</v>
      </c>
      <c r="D18" s="293" t="s">
        <v>1056</v>
      </c>
      <c r="E18" s="293" t="s">
        <v>1057</v>
      </c>
      <c r="F18" s="294">
        <v>300000</v>
      </c>
      <c r="G18" s="295">
        <f t="shared" si="0"/>
        <v>300000</v>
      </c>
      <c r="H18" s="296">
        <f t="shared" ca="1" si="1"/>
        <v>140000</v>
      </c>
      <c r="I18" s="296">
        <f t="shared" si="2"/>
        <v>300000</v>
      </c>
      <c r="J18" s="296">
        <v>0</v>
      </c>
      <c r="K18" s="297">
        <f t="shared" ca="1" si="3"/>
        <v>140000</v>
      </c>
      <c r="L18" s="298">
        <f t="shared" ca="1" si="4"/>
        <v>0.46666666666666667</v>
      </c>
      <c r="M18" s="299">
        <f t="shared" ca="1" si="5"/>
        <v>160000</v>
      </c>
      <c r="N18" s="300" t="s">
        <v>1058</v>
      </c>
      <c r="O18" s="293" t="s">
        <v>1059</v>
      </c>
    </row>
    <row r="19" spans="1:17" s="301" customFormat="1" ht="16.5" customHeight="1">
      <c r="A19" s="290" t="s">
        <v>26</v>
      </c>
      <c r="B19" s="291" t="s">
        <v>1060</v>
      </c>
      <c r="C19" s="292" t="s">
        <v>1061</v>
      </c>
      <c r="D19" s="293" t="s">
        <v>1062</v>
      </c>
      <c r="E19" s="293" t="s">
        <v>1063</v>
      </c>
      <c r="F19" s="294">
        <v>6750000</v>
      </c>
      <c r="G19" s="295">
        <v>6750000</v>
      </c>
      <c r="H19" s="296">
        <f t="shared" ca="1" si="1"/>
        <v>4649988</v>
      </c>
      <c r="I19" s="296">
        <f t="shared" si="2"/>
        <v>6750000</v>
      </c>
      <c r="J19" s="296">
        <v>0</v>
      </c>
      <c r="K19" s="297">
        <f t="shared" ca="1" si="3"/>
        <v>4649988</v>
      </c>
      <c r="L19" s="298">
        <f t="shared" ca="1" si="4"/>
        <v>0.68888711111111112</v>
      </c>
      <c r="M19" s="299">
        <f t="shared" ca="1" si="5"/>
        <v>2100012</v>
      </c>
      <c r="N19" s="300" t="s">
        <v>1003</v>
      </c>
      <c r="O19" s="293"/>
    </row>
    <row r="20" spans="1:17" s="301" customFormat="1" ht="16.5" customHeight="1">
      <c r="A20" s="290" t="s">
        <v>27</v>
      </c>
      <c r="B20" s="291" t="s">
        <v>1064</v>
      </c>
      <c r="C20" s="292" t="s">
        <v>1065</v>
      </c>
      <c r="D20" s="293" t="s">
        <v>120</v>
      </c>
      <c r="E20" s="293" t="s">
        <v>1066</v>
      </c>
      <c r="F20" s="294">
        <v>11967564.17</v>
      </c>
      <c r="G20" s="295">
        <f>F20+J20</f>
        <v>11967564.17</v>
      </c>
      <c r="H20" s="296">
        <f t="shared" ca="1" si="1"/>
        <v>11967564.17</v>
      </c>
      <c r="I20" s="296">
        <f t="shared" si="2"/>
        <v>11967564.17</v>
      </c>
      <c r="J20" s="296">
        <v>0</v>
      </c>
      <c r="K20" s="297">
        <f t="shared" ca="1" si="3"/>
        <v>11967564.17</v>
      </c>
      <c r="L20" s="298">
        <f t="shared" ca="1" si="4"/>
        <v>1</v>
      </c>
      <c r="M20" s="299">
        <f t="shared" ca="1" si="5"/>
        <v>0</v>
      </c>
      <c r="N20" s="300" t="s">
        <v>1067</v>
      </c>
      <c r="O20" s="293" t="s">
        <v>1026</v>
      </c>
    </row>
    <row r="21" spans="1:17" s="301" customFormat="1" ht="16.5" customHeight="1">
      <c r="A21" s="303" t="s">
        <v>1068</v>
      </c>
      <c r="B21" s="304" t="s">
        <v>1069</v>
      </c>
      <c r="C21" s="305" t="s">
        <v>1070</v>
      </c>
      <c r="D21" s="306" t="s">
        <v>1071</v>
      </c>
      <c r="E21" s="306" t="s">
        <v>1072</v>
      </c>
      <c r="F21" s="307">
        <v>0</v>
      </c>
      <c r="G21" s="308">
        <v>0</v>
      </c>
      <c r="H21" s="309">
        <f t="shared" ca="1" si="1"/>
        <v>0</v>
      </c>
      <c r="I21" s="296">
        <f t="shared" si="2"/>
        <v>0</v>
      </c>
      <c r="J21" s="296">
        <v>0</v>
      </c>
      <c r="K21" s="297">
        <f t="shared" ca="1" si="3"/>
        <v>0</v>
      </c>
      <c r="L21" s="298" t="e">
        <f t="shared" ca="1" si="4"/>
        <v>#DIV/0!</v>
      </c>
      <c r="M21" s="299">
        <f t="shared" ca="1" si="5"/>
        <v>0</v>
      </c>
      <c r="N21" s="300" t="s">
        <v>1073</v>
      </c>
      <c r="O21" s="293" t="s">
        <v>1026</v>
      </c>
    </row>
    <row r="22" spans="1:17" s="301" customFormat="1" ht="16.5" customHeight="1">
      <c r="A22" s="290" t="s">
        <v>28</v>
      </c>
      <c r="B22" s="291" t="s">
        <v>1074</v>
      </c>
      <c r="C22" s="292" t="s">
        <v>1070</v>
      </c>
      <c r="D22" s="293" t="s">
        <v>1075</v>
      </c>
      <c r="E22" s="293" t="s">
        <v>1076</v>
      </c>
      <c r="F22" s="294">
        <v>320</v>
      </c>
      <c r="G22" s="295">
        <v>320</v>
      </c>
      <c r="H22" s="296">
        <f t="shared" ca="1" si="1"/>
        <v>320</v>
      </c>
      <c r="I22" s="296">
        <f t="shared" si="2"/>
        <v>320</v>
      </c>
      <c r="J22" s="296">
        <v>0</v>
      </c>
      <c r="K22" s="297">
        <f t="shared" ca="1" si="3"/>
        <v>320</v>
      </c>
      <c r="L22" s="298">
        <f t="shared" ca="1" si="4"/>
        <v>1</v>
      </c>
      <c r="M22" s="299">
        <f t="shared" ca="1" si="5"/>
        <v>0</v>
      </c>
      <c r="N22" s="300" t="s">
        <v>1077</v>
      </c>
      <c r="O22" s="293" t="s">
        <v>1026</v>
      </c>
    </row>
    <row r="23" spans="1:17" s="301" customFormat="1" ht="16.5" customHeight="1">
      <c r="A23" s="290" t="s">
        <v>29</v>
      </c>
      <c r="B23" s="291" t="s">
        <v>1078</v>
      </c>
      <c r="C23" s="292" t="s">
        <v>1070</v>
      </c>
      <c r="D23" s="293" t="s">
        <v>1079</v>
      </c>
      <c r="E23" s="293" t="s">
        <v>1080</v>
      </c>
      <c r="F23" s="294">
        <v>840</v>
      </c>
      <c r="G23" s="295">
        <v>840</v>
      </c>
      <c r="H23" s="296">
        <f t="shared" ca="1" si="1"/>
        <v>840</v>
      </c>
      <c r="I23" s="296">
        <f t="shared" si="2"/>
        <v>840</v>
      </c>
      <c r="J23" s="296">
        <v>0</v>
      </c>
      <c r="K23" s="297">
        <f t="shared" ca="1" si="3"/>
        <v>840</v>
      </c>
      <c r="L23" s="298">
        <f t="shared" ca="1" si="4"/>
        <v>1</v>
      </c>
      <c r="M23" s="299">
        <f t="shared" ca="1" si="5"/>
        <v>0</v>
      </c>
      <c r="N23" s="300" t="s">
        <v>1077</v>
      </c>
      <c r="O23" s="293" t="s">
        <v>1026</v>
      </c>
    </row>
    <row r="24" spans="1:17" s="301" customFormat="1" ht="16.5" customHeight="1">
      <c r="A24" s="290" t="s">
        <v>30</v>
      </c>
      <c r="B24" s="291" t="s">
        <v>1081</v>
      </c>
      <c r="C24" s="292" t="s">
        <v>1051</v>
      </c>
      <c r="D24" s="293" t="s">
        <v>1082</v>
      </c>
      <c r="E24" s="293" t="s">
        <v>1083</v>
      </c>
      <c r="F24" s="294">
        <v>390</v>
      </c>
      <c r="G24" s="295">
        <v>390</v>
      </c>
      <c r="H24" s="296">
        <f t="shared" ca="1" si="1"/>
        <v>390</v>
      </c>
      <c r="I24" s="296">
        <f t="shared" si="2"/>
        <v>390</v>
      </c>
      <c r="J24" s="296">
        <v>0</v>
      </c>
      <c r="K24" s="297">
        <f t="shared" ca="1" si="3"/>
        <v>390</v>
      </c>
      <c r="L24" s="298">
        <f t="shared" ca="1" si="4"/>
        <v>1</v>
      </c>
      <c r="M24" s="299">
        <f t="shared" ca="1" si="5"/>
        <v>0</v>
      </c>
      <c r="N24" s="300" t="s">
        <v>1084</v>
      </c>
      <c r="O24" s="293" t="s">
        <v>1026</v>
      </c>
      <c r="P24" s="310"/>
      <c r="Q24" s="310"/>
    </row>
    <row r="25" spans="1:17" ht="16.5" customHeight="1">
      <c r="A25" s="290" t="s">
        <v>31</v>
      </c>
      <c r="B25" s="291" t="s">
        <v>1085</v>
      </c>
      <c r="C25" s="292" t="s">
        <v>1051</v>
      </c>
      <c r="D25" s="293" t="s">
        <v>1052</v>
      </c>
      <c r="E25" s="293" t="s">
        <v>1086</v>
      </c>
      <c r="F25" s="294">
        <v>1000</v>
      </c>
      <c r="G25" s="295">
        <f t="shared" ref="G25:G88" si="6">F25+J25</f>
        <v>1000</v>
      </c>
      <c r="H25" s="296">
        <f t="shared" ca="1" si="1"/>
        <v>1000</v>
      </c>
      <c r="I25" s="296">
        <f t="shared" si="2"/>
        <v>1000</v>
      </c>
      <c r="J25" s="296">
        <v>0</v>
      </c>
      <c r="K25" s="297">
        <f t="shared" ca="1" si="3"/>
        <v>1000</v>
      </c>
      <c r="L25" s="298">
        <f t="shared" ca="1" si="4"/>
        <v>1</v>
      </c>
      <c r="M25" s="299">
        <f t="shared" ca="1" si="5"/>
        <v>0</v>
      </c>
      <c r="N25" s="300" t="s">
        <v>1021</v>
      </c>
      <c r="O25" s="293" t="s">
        <v>1026</v>
      </c>
    </row>
    <row r="26" spans="1:17" ht="16.5" customHeight="1">
      <c r="A26" s="290" t="s">
        <v>59</v>
      </c>
      <c r="B26" s="291" t="s">
        <v>1087</v>
      </c>
      <c r="C26" s="292" t="s">
        <v>1088</v>
      </c>
      <c r="D26" s="293" t="s">
        <v>1089</v>
      </c>
      <c r="E26" s="293" t="s">
        <v>1090</v>
      </c>
      <c r="F26" s="294">
        <v>30000</v>
      </c>
      <c r="G26" s="295">
        <f t="shared" si="6"/>
        <v>30000</v>
      </c>
      <c r="H26" s="296">
        <f t="shared" ca="1" si="1"/>
        <v>30000</v>
      </c>
      <c r="I26" s="296">
        <f t="shared" si="2"/>
        <v>30000</v>
      </c>
      <c r="J26" s="296">
        <v>0</v>
      </c>
      <c r="K26" s="297">
        <f t="shared" ca="1" si="3"/>
        <v>30000</v>
      </c>
      <c r="L26" s="298">
        <f t="shared" ca="1" si="4"/>
        <v>1</v>
      </c>
      <c r="M26" s="299">
        <f t="shared" ca="1" si="5"/>
        <v>0</v>
      </c>
      <c r="N26" s="300" t="s">
        <v>1021</v>
      </c>
      <c r="O26" s="293" t="s">
        <v>1026</v>
      </c>
    </row>
    <row r="27" spans="1:17" s="301" customFormat="1" ht="16.5" customHeight="1">
      <c r="A27" s="290" t="s">
        <v>106</v>
      </c>
      <c r="B27" s="291" t="s">
        <v>1091</v>
      </c>
      <c r="C27" s="292" t="s">
        <v>1045</v>
      </c>
      <c r="D27" s="293" t="s">
        <v>1092</v>
      </c>
      <c r="E27" s="293" t="s">
        <v>1047</v>
      </c>
      <c r="F27" s="295">
        <v>477650</v>
      </c>
      <c r="G27" s="295">
        <f t="shared" si="6"/>
        <v>477650</v>
      </c>
      <c r="H27" s="296">
        <f t="shared" ca="1" si="1"/>
        <v>280000</v>
      </c>
      <c r="I27" s="296">
        <f t="shared" si="2"/>
        <v>477650</v>
      </c>
      <c r="J27" s="296">
        <v>0</v>
      </c>
      <c r="K27" s="297">
        <f t="shared" ca="1" si="3"/>
        <v>280000</v>
      </c>
      <c r="L27" s="298">
        <f t="shared" ca="1" si="4"/>
        <v>0.58620328692557311</v>
      </c>
      <c r="M27" s="299">
        <f t="shared" ca="1" si="5"/>
        <v>197650</v>
      </c>
      <c r="N27" s="300"/>
      <c r="O27" s="293" t="s">
        <v>1026</v>
      </c>
      <c r="P27" s="310"/>
      <c r="Q27" s="310"/>
    </row>
    <row r="28" spans="1:17" s="301" customFormat="1" ht="16.5" customHeight="1">
      <c r="A28" s="290" t="s">
        <v>121</v>
      </c>
      <c r="B28" s="291" t="s">
        <v>1093</v>
      </c>
      <c r="C28" s="292" t="s">
        <v>1094</v>
      </c>
      <c r="D28" s="293" t="s">
        <v>1095</v>
      </c>
      <c r="E28" s="311" t="s">
        <v>1096</v>
      </c>
      <c r="F28" s="295">
        <v>131400</v>
      </c>
      <c r="G28" s="295">
        <f t="shared" si="6"/>
        <v>131400</v>
      </c>
      <c r="H28" s="296">
        <f t="shared" ca="1" si="1"/>
        <v>131400</v>
      </c>
      <c r="I28" s="296">
        <f t="shared" si="2"/>
        <v>131400</v>
      </c>
      <c r="J28" s="296">
        <v>0</v>
      </c>
      <c r="K28" s="297">
        <f t="shared" ca="1" si="3"/>
        <v>131400</v>
      </c>
      <c r="L28" s="298">
        <f t="shared" ca="1" si="4"/>
        <v>1</v>
      </c>
      <c r="M28" s="299">
        <f t="shared" ca="1" si="5"/>
        <v>0</v>
      </c>
      <c r="N28" s="300" t="s">
        <v>1021</v>
      </c>
      <c r="O28" s="293" t="s">
        <v>1026</v>
      </c>
      <c r="P28" s="310"/>
      <c r="Q28" s="310"/>
    </row>
    <row r="29" spans="1:17" s="301" customFormat="1" ht="16.5" customHeight="1">
      <c r="A29" s="290" t="s">
        <v>122</v>
      </c>
      <c r="B29" s="291" t="s">
        <v>1093</v>
      </c>
      <c r="C29" s="292" t="s">
        <v>1094</v>
      </c>
      <c r="D29" s="293" t="s">
        <v>1097</v>
      </c>
      <c r="E29" s="311" t="s">
        <v>1096</v>
      </c>
      <c r="F29" s="295">
        <v>264625</v>
      </c>
      <c r="G29" s="295">
        <f t="shared" si="6"/>
        <v>264625</v>
      </c>
      <c r="H29" s="296">
        <f t="shared" ca="1" si="1"/>
        <v>264625</v>
      </c>
      <c r="I29" s="296">
        <f t="shared" si="2"/>
        <v>264625</v>
      </c>
      <c r="J29" s="296">
        <v>0</v>
      </c>
      <c r="K29" s="297">
        <f t="shared" ca="1" si="3"/>
        <v>264625</v>
      </c>
      <c r="L29" s="298">
        <f t="shared" ca="1" si="4"/>
        <v>1</v>
      </c>
      <c r="M29" s="299">
        <f t="shared" ca="1" si="5"/>
        <v>0</v>
      </c>
      <c r="N29" s="300" t="s">
        <v>1021</v>
      </c>
      <c r="O29" s="293" t="s">
        <v>1026</v>
      </c>
      <c r="P29" s="310"/>
      <c r="Q29" s="310"/>
    </row>
    <row r="30" spans="1:17" s="301" customFormat="1" ht="16.5" customHeight="1">
      <c r="A30" s="312" t="s">
        <v>1098</v>
      </c>
      <c r="B30" s="291" t="s">
        <v>1099</v>
      </c>
      <c r="C30" s="292" t="s">
        <v>1070</v>
      </c>
      <c r="D30" s="293" t="s">
        <v>1100</v>
      </c>
      <c r="E30" s="311" t="s">
        <v>1101</v>
      </c>
      <c r="F30" s="295">
        <v>0</v>
      </c>
      <c r="G30" s="295">
        <f t="shared" si="6"/>
        <v>0</v>
      </c>
      <c r="H30" s="296">
        <f t="shared" ca="1" si="1"/>
        <v>0</v>
      </c>
      <c r="I30" s="296">
        <f t="shared" si="2"/>
        <v>0</v>
      </c>
      <c r="J30" s="296">
        <v>0</v>
      </c>
      <c r="K30" s="297">
        <f t="shared" ca="1" si="3"/>
        <v>0</v>
      </c>
      <c r="L30" s="298" t="e">
        <f t="shared" ca="1" si="4"/>
        <v>#DIV/0!</v>
      </c>
      <c r="M30" s="299">
        <f t="shared" ca="1" si="5"/>
        <v>0</v>
      </c>
      <c r="N30" s="300"/>
      <c r="O30" s="293"/>
      <c r="P30" s="310"/>
      <c r="Q30" s="310"/>
    </row>
    <row r="31" spans="1:17" s="301" customFormat="1" ht="16.5" customHeight="1">
      <c r="A31" s="313" t="s">
        <v>78</v>
      </c>
      <c r="B31" s="291" t="s">
        <v>1099</v>
      </c>
      <c r="C31" s="292" t="s">
        <v>1051</v>
      </c>
      <c r="D31" s="293" t="s">
        <v>1102</v>
      </c>
      <c r="E31" s="311" t="s">
        <v>1103</v>
      </c>
      <c r="F31" s="295">
        <v>240</v>
      </c>
      <c r="G31" s="295">
        <f t="shared" si="6"/>
        <v>240</v>
      </c>
      <c r="H31" s="296">
        <f t="shared" ca="1" si="1"/>
        <v>240</v>
      </c>
      <c r="I31" s="296">
        <f t="shared" si="2"/>
        <v>240</v>
      </c>
      <c r="J31" s="296">
        <v>0</v>
      </c>
      <c r="K31" s="297">
        <f t="shared" ca="1" si="3"/>
        <v>240</v>
      </c>
      <c r="L31" s="298">
        <f t="shared" ca="1" si="4"/>
        <v>1</v>
      </c>
      <c r="M31" s="299">
        <f t="shared" ca="1" si="5"/>
        <v>0</v>
      </c>
      <c r="N31" s="300"/>
      <c r="O31" s="293" t="s">
        <v>1026</v>
      </c>
      <c r="P31" s="310"/>
      <c r="Q31" s="310"/>
    </row>
    <row r="32" spans="1:17" s="301" customFormat="1" ht="16.5" customHeight="1">
      <c r="A32" s="313" t="s">
        <v>79</v>
      </c>
      <c r="B32" s="291" t="s">
        <v>1099</v>
      </c>
      <c r="C32" s="292" t="s">
        <v>1104</v>
      </c>
      <c r="D32" s="293" t="s">
        <v>1105</v>
      </c>
      <c r="E32" s="311" t="s">
        <v>1106</v>
      </c>
      <c r="F32" s="295">
        <v>2000</v>
      </c>
      <c r="G32" s="295">
        <f t="shared" si="6"/>
        <v>2000</v>
      </c>
      <c r="H32" s="296">
        <f t="shared" ca="1" si="1"/>
        <v>2000</v>
      </c>
      <c r="I32" s="296">
        <f t="shared" si="2"/>
        <v>2000</v>
      </c>
      <c r="J32" s="296">
        <v>0</v>
      </c>
      <c r="K32" s="297">
        <f t="shared" ca="1" si="3"/>
        <v>2000</v>
      </c>
      <c r="L32" s="298">
        <f t="shared" ca="1" si="4"/>
        <v>1</v>
      </c>
      <c r="M32" s="299">
        <f t="shared" ca="1" si="5"/>
        <v>0</v>
      </c>
      <c r="N32" s="300"/>
      <c r="O32" s="293" t="s">
        <v>1026</v>
      </c>
      <c r="P32" s="310"/>
      <c r="Q32" s="310"/>
    </row>
    <row r="33" spans="1:17" s="301" customFormat="1" ht="16.5" customHeight="1">
      <c r="A33" s="313" t="s">
        <v>1107</v>
      </c>
      <c r="B33" s="291" t="s">
        <v>1099</v>
      </c>
      <c r="C33" s="292" t="s">
        <v>1051</v>
      </c>
      <c r="D33" s="293" t="s">
        <v>1108</v>
      </c>
      <c r="E33" s="311" t="s">
        <v>1109</v>
      </c>
      <c r="F33" s="295">
        <v>120</v>
      </c>
      <c r="G33" s="295">
        <f t="shared" si="6"/>
        <v>120</v>
      </c>
      <c r="H33" s="296">
        <f t="shared" ca="1" si="1"/>
        <v>120</v>
      </c>
      <c r="I33" s="296">
        <f t="shared" si="2"/>
        <v>120</v>
      </c>
      <c r="J33" s="296">
        <v>0</v>
      </c>
      <c r="K33" s="297">
        <f t="shared" ca="1" si="3"/>
        <v>120</v>
      </c>
      <c r="L33" s="298">
        <f t="shared" ca="1" si="4"/>
        <v>1</v>
      </c>
      <c r="M33" s="299">
        <f t="shared" ca="1" si="5"/>
        <v>0</v>
      </c>
      <c r="N33" s="300"/>
      <c r="O33" s="293" t="s">
        <v>1026</v>
      </c>
      <c r="P33" s="310"/>
      <c r="Q33" s="310"/>
    </row>
    <row r="34" spans="1:17" s="301" customFormat="1" ht="26.25" customHeight="1">
      <c r="A34" s="312" t="s">
        <v>1110</v>
      </c>
      <c r="B34" s="291" t="s">
        <v>1111</v>
      </c>
      <c r="C34" s="292" t="s">
        <v>1070</v>
      </c>
      <c r="D34" s="293" t="s">
        <v>1112</v>
      </c>
      <c r="E34" s="311" t="s">
        <v>1113</v>
      </c>
      <c r="F34" s="295">
        <v>0</v>
      </c>
      <c r="G34" s="295">
        <f t="shared" si="6"/>
        <v>0</v>
      </c>
      <c r="H34" s="296">
        <f t="shared" ca="1" si="1"/>
        <v>0</v>
      </c>
      <c r="I34" s="296">
        <f t="shared" si="2"/>
        <v>0</v>
      </c>
      <c r="J34" s="296">
        <v>0</v>
      </c>
      <c r="K34" s="297">
        <f t="shared" ca="1" si="3"/>
        <v>0</v>
      </c>
      <c r="L34" s="298" t="e">
        <f t="shared" ca="1" si="4"/>
        <v>#DIV/0!</v>
      </c>
      <c r="M34" s="299">
        <f t="shared" ca="1" si="5"/>
        <v>0</v>
      </c>
      <c r="N34" s="300" t="s">
        <v>1114</v>
      </c>
      <c r="O34" s="293" t="s">
        <v>1026</v>
      </c>
      <c r="P34" s="310"/>
      <c r="Q34" s="310"/>
    </row>
    <row r="35" spans="1:17" s="301" customFormat="1" ht="16.5" customHeight="1">
      <c r="A35" s="312" t="s">
        <v>1115</v>
      </c>
      <c r="B35" s="291" t="s">
        <v>1116</v>
      </c>
      <c r="C35" s="292" t="s">
        <v>1070</v>
      </c>
      <c r="D35" s="293" t="s">
        <v>1117</v>
      </c>
      <c r="E35" s="311" t="s">
        <v>1118</v>
      </c>
      <c r="F35" s="295">
        <v>0</v>
      </c>
      <c r="G35" s="295">
        <f t="shared" si="6"/>
        <v>0</v>
      </c>
      <c r="H35" s="296">
        <f t="shared" ca="1" si="1"/>
        <v>0</v>
      </c>
      <c r="I35" s="296">
        <f t="shared" si="2"/>
        <v>0</v>
      </c>
      <c r="J35" s="296">
        <v>0</v>
      </c>
      <c r="K35" s="297">
        <f t="shared" ca="1" si="3"/>
        <v>0</v>
      </c>
      <c r="L35" s="298" t="e">
        <f t="shared" ca="1" si="4"/>
        <v>#DIV/0!</v>
      </c>
      <c r="M35" s="299">
        <f t="shared" ca="1" si="5"/>
        <v>0</v>
      </c>
      <c r="N35" s="300"/>
      <c r="O35" s="293" t="s">
        <v>1026</v>
      </c>
      <c r="P35" s="310"/>
      <c r="Q35" s="310"/>
    </row>
    <row r="36" spans="1:17" s="301" customFormat="1" ht="16.5" customHeight="1">
      <c r="A36" s="313" t="s">
        <v>117</v>
      </c>
      <c r="B36" s="291" t="s">
        <v>1119</v>
      </c>
      <c r="C36" s="292" t="s">
        <v>1120</v>
      </c>
      <c r="D36" s="293" t="s">
        <v>1121</v>
      </c>
      <c r="E36" s="311" t="s">
        <v>1122</v>
      </c>
      <c r="F36" s="295">
        <v>100000</v>
      </c>
      <c r="G36" s="295">
        <f t="shared" si="6"/>
        <v>100000</v>
      </c>
      <c r="H36" s="296">
        <f t="shared" ca="1" si="1"/>
        <v>100000</v>
      </c>
      <c r="I36" s="296">
        <f t="shared" si="2"/>
        <v>100000</v>
      </c>
      <c r="J36" s="296">
        <v>0</v>
      </c>
      <c r="K36" s="297">
        <f t="shared" ca="1" si="3"/>
        <v>100000</v>
      </c>
      <c r="L36" s="298">
        <f t="shared" ca="1" si="4"/>
        <v>1</v>
      </c>
      <c r="M36" s="299">
        <f t="shared" ca="1" si="5"/>
        <v>0</v>
      </c>
      <c r="N36" s="300"/>
      <c r="O36" s="293"/>
      <c r="P36" s="310"/>
      <c r="Q36" s="310"/>
    </row>
    <row r="37" spans="1:17" ht="16.5" customHeight="1">
      <c r="A37" s="290" t="s">
        <v>32</v>
      </c>
      <c r="B37" s="291" t="s">
        <v>1123</v>
      </c>
      <c r="C37" s="292" t="s">
        <v>1051</v>
      </c>
      <c r="D37" s="314" t="s">
        <v>1052</v>
      </c>
      <c r="E37" s="315"/>
      <c r="F37" s="316">
        <v>3685</v>
      </c>
      <c r="G37" s="295">
        <f t="shared" si="6"/>
        <v>3685</v>
      </c>
      <c r="H37" s="296">
        <f t="shared" ca="1" si="1"/>
        <v>3685</v>
      </c>
      <c r="I37" s="296">
        <f t="shared" si="2"/>
        <v>3685</v>
      </c>
      <c r="J37" s="296">
        <v>0</v>
      </c>
      <c r="K37" s="297">
        <f t="shared" ca="1" si="3"/>
        <v>3685</v>
      </c>
      <c r="L37" s="298">
        <f t="shared" ca="1" si="4"/>
        <v>1</v>
      </c>
      <c r="M37" s="299">
        <f t="shared" ca="1" si="5"/>
        <v>0</v>
      </c>
      <c r="N37" s="300"/>
      <c r="O37" s="293"/>
    </row>
    <row r="38" spans="1:17" ht="16.5" customHeight="1">
      <c r="A38" s="290" t="s">
        <v>33</v>
      </c>
      <c r="B38" s="291" t="s">
        <v>1124</v>
      </c>
      <c r="C38" s="292" t="s">
        <v>1009</v>
      </c>
      <c r="D38" s="314" t="s">
        <v>1125</v>
      </c>
      <c r="E38" s="315" t="s">
        <v>1126</v>
      </c>
      <c r="F38" s="316">
        <v>1030000</v>
      </c>
      <c r="G38" s="295">
        <f t="shared" si="6"/>
        <v>1030000</v>
      </c>
      <c r="H38" s="296">
        <f t="shared" ca="1" si="1"/>
        <v>721000</v>
      </c>
      <c r="I38" s="296">
        <f t="shared" si="2"/>
        <v>1030000</v>
      </c>
      <c r="J38" s="296">
        <v>0</v>
      </c>
      <c r="K38" s="297">
        <f t="shared" ca="1" si="3"/>
        <v>721000</v>
      </c>
      <c r="L38" s="298">
        <f t="shared" ca="1" si="4"/>
        <v>0.7</v>
      </c>
      <c r="M38" s="299">
        <f t="shared" ca="1" si="5"/>
        <v>309000</v>
      </c>
      <c r="N38" s="300" t="s">
        <v>1021</v>
      </c>
      <c r="O38" s="293" t="s">
        <v>1127</v>
      </c>
    </row>
    <row r="39" spans="1:17" ht="16.5" customHeight="1">
      <c r="A39" s="290" t="s">
        <v>50</v>
      </c>
      <c r="B39" s="291" t="s">
        <v>1128</v>
      </c>
      <c r="C39" s="292" t="s">
        <v>1129</v>
      </c>
      <c r="D39" s="314" t="s">
        <v>1130</v>
      </c>
      <c r="E39" s="315" t="s">
        <v>1063</v>
      </c>
      <c r="F39" s="316">
        <v>3098815</v>
      </c>
      <c r="G39" s="308">
        <f t="shared" si="6"/>
        <v>1243479</v>
      </c>
      <c r="H39" s="296">
        <f t="shared" ca="1" si="1"/>
        <v>1243479</v>
      </c>
      <c r="I39" s="296">
        <f t="shared" si="2"/>
        <v>1243479</v>
      </c>
      <c r="J39" s="296">
        <v>-1855336</v>
      </c>
      <c r="K39" s="297">
        <f t="shared" ca="1" si="3"/>
        <v>1243479</v>
      </c>
      <c r="L39" s="298">
        <f t="shared" ca="1" si="4"/>
        <v>1</v>
      </c>
      <c r="M39" s="299">
        <f t="shared" ca="1" si="5"/>
        <v>0</v>
      </c>
      <c r="N39" s="300" t="s">
        <v>1003</v>
      </c>
      <c r="O39" s="293" t="s">
        <v>1131</v>
      </c>
    </row>
    <row r="40" spans="1:17" s="328" customFormat="1" ht="22.5" customHeight="1">
      <c r="A40" s="290" t="s">
        <v>36</v>
      </c>
      <c r="B40" s="317" t="s">
        <v>1132</v>
      </c>
      <c r="C40" s="318" t="s">
        <v>1133</v>
      </c>
      <c r="D40" s="319" t="s">
        <v>1134</v>
      </c>
      <c r="E40" s="320" t="s">
        <v>1135</v>
      </c>
      <c r="F40" s="321">
        <v>449680</v>
      </c>
      <c r="G40" s="308">
        <f t="shared" si="6"/>
        <v>449680</v>
      </c>
      <c r="H40" s="322">
        <f t="shared" ca="1" si="1"/>
        <v>338650</v>
      </c>
      <c r="I40" s="322">
        <f t="shared" si="2"/>
        <v>449680</v>
      </c>
      <c r="J40" s="322"/>
      <c r="K40" s="323">
        <f t="shared" ca="1" si="3"/>
        <v>338650</v>
      </c>
      <c r="L40" s="324">
        <f t="shared" ca="1" si="4"/>
        <v>0.75309108699519656</v>
      </c>
      <c r="M40" s="325">
        <f t="shared" ca="1" si="5"/>
        <v>111030</v>
      </c>
      <c r="N40" s="326" t="s">
        <v>1003</v>
      </c>
      <c r="O40" s="319" t="s">
        <v>1136</v>
      </c>
      <c r="P40" s="327"/>
      <c r="Q40" s="327"/>
    </row>
    <row r="41" spans="1:17" s="328" customFormat="1" ht="21" customHeight="1">
      <c r="A41" s="290" t="s">
        <v>35</v>
      </c>
      <c r="B41" s="317" t="s">
        <v>1137</v>
      </c>
      <c r="C41" s="318" t="s">
        <v>1138</v>
      </c>
      <c r="D41" s="319" t="s">
        <v>1139</v>
      </c>
      <c r="E41" s="329" t="s">
        <v>1140</v>
      </c>
      <c r="F41" s="321">
        <v>2683575</v>
      </c>
      <c r="G41" s="321">
        <f t="shared" si="6"/>
        <v>2683575</v>
      </c>
      <c r="H41" s="322">
        <f t="shared" ca="1" si="1"/>
        <v>1744323.75</v>
      </c>
      <c r="I41" s="322">
        <f t="shared" si="2"/>
        <v>2683575</v>
      </c>
      <c r="J41" s="322">
        <v>0</v>
      </c>
      <c r="K41" s="323">
        <f t="shared" ca="1" si="3"/>
        <v>1744323.75</v>
      </c>
      <c r="L41" s="324">
        <f t="shared" ca="1" si="4"/>
        <v>0.65</v>
      </c>
      <c r="M41" s="325">
        <f t="shared" ca="1" si="5"/>
        <v>939251.25</v>
      </c>
      <c r="N41" s="326" t="s">
        <v>1073</v>
      </c>
      <c r="O41" s="319" t="s">
        <v>1141</v>
      </c>
      <c r="P41" s="327"/>
      <c r="Q41" s="327"/>
    </row>
    <row r="42" spans="1:17" s="328" customFormat="1" ht="16.5" customHeight="1">
      <c r="A42" s="290" t="s">
        <v>41</v>
      </c>
      <c r="B42" s="317" t="s">
        <v>1142</v>
      </c>
      <c r="C42" s="292" t="s">
        <v>1104</v>
      </c>
      <c r="D42" s="319" t="s">
        <v>1143</v>
      </c>
      <c r="E42" s="329" t="s">
        <v>1041</v>
      </c>
      <c r="F42" s="321">
        <v>16200</v>
      </c>
      <c r="G42" s="321">
        <f t="shared" si="6"/>
        <v>16200</v>
      </c>
      <c r="H42" s="322">
        <f t="shared" ca="1" si="1"/>
        <v>16200</v>
      </c>
      <c r="I42" s="322">
        <f t="shared" si="2"/>
        <v>16200</v>
      </c>
      <c r="J42" s="322">
        <v>0</v>
      </c>
      <c r="K42" s="323">
        <f t="shared" ca="1" si="3"/>
        <v>16200</v>
      </c>
      <c r="L42" s="324">
        <f t="shared" ca="1" si="4"/>
        <v>1</v>
      </c>
      <c r="M42" s="325">
        <f t="shared" ca="1" si="5"/>
        <v>0</v>
      </c>
      <c r="N42" s="326" t="s">
        <v>1144</v>
      </c>
      <c r="O42" s="319"/>
      <c r="P42" s="327"/>
      <c r="Q42" s="327"/>
    </row>
    <row r="43" spans="1:17" s="328" customFormat="1" ht="21" customHeight="1">
      <c r="A43" s="290" t="s">
        <v>105</v>
      </c>
      <c r="B43" s="317" t="s">
        <v>1145</v>
      </c>
      <c r="C43" s="318" t="s">
        <v>1146</v>
      </c>
      <c r="D43" s="319" t="s">
        <v>1147</v>
      </c>
      <c r="E43" s="329" t="s">
        <v>1148</v>
      </c>
      <c r="F43" s="321">
        <v>200000</v>
      </c>
      <c r="G43" s="321">
        <f t="shared" si="6"/>
        <v>200000</v>
      </c>
      <c r="H43" s="322">
        <f t="shared" ca="1" si="1"/>
        <v>200000</v>
      </c>
      <c r="I43" s="322">
        <f t="shared" si="2"/>
        <v>200000</v>
      </c>
      <c r="J43" s="322">
        <v>0</v>
      </c>
      <c r="K43" s="323">
        <f t="shared" ca="1" si="3"/>
        <v>200000</v>
      </c>
      <c r="L43" s="324">
        <f t="shared" ca="1" si="4"/>
        <v>1</v>
      </c>
      <c r="M43" s="325">
        <f t="shared" ca="1" si="5"/>
        <v>0</v>
      </c>
      <c r="N43" s="326" t="s">
        <v>1003</v>
      </c>
      <c r="O43" s="319" t="s">
        <v>1149</v>
      </c>
      <c r="P43" s="327"/>
      <c r="Q43" s="327"/>
    </row>
    <row r="44" spans="1:17" s="328" customFormat="1" ht="16.5" customHeight="1">
      <c r="A44" s="290" t="s">
        <v>34</v>
      </c>
      <c r="B44" s="317" t="s">
        <v>1150</v>
      </c>
      <c r="C44" s="318" t="s">
        <v>1151</v>
      </c>
      <c r="D44" s="319" t="s">
        <v>1152</v>
      </c>
      <c r="E44" s="329" t="s">
        <v>1153</v>
      </c>
      <c r="F44" s="321">
        <v>6013035</v>
      </c>
      <c r="G44" s="321">
        <f t="shared" si="6"/>
        <v>6013035</v>
      </c>
      <c r="H44" s="322">
        <f t="shared" ca="1" si="1"/>
        <v>5411731.5</v>
      </c>
      <c r="I44" s="322">
        <f t="shared" si="2"/>
        <v>6013035</v>
      </c>
      <c r="J44" s="322">
        <v>0</v>
      </c>
      <c r="K44" s="323">
        <f t="shared" ca="1" si="3"/>
        <v>5411731.5</v>
      </c>
      <c r="L44" s="324">
        <f t="shared" ca="1" si="4"/>
        <v>0.9</v>
      </c>
      <c r="M44" s="325">
        <f t="shared" ca="1" si="5"/>
        <v>601303.5</v>
      </c>
      <c r="N44" s="326" t="s">
        <v>1144</v>
      </c>
      <c r="O44" s="319"/>
      <c r="P44" s="327"/>
      <c r="Q44" s="327"/>
    </row>
    <row r="45" spans="1:17" s="332" customFormat="1" ht="22.5" customHeight="1">
      <c r="A45" s="290" t="s">
        <v>70</v>
      </c>
      <c r="B45" s="291" t="s">
        <v>1154</v>
      </c>
      <c r="C45" s="292" t="s">
        <v>1155</v>
      </c>
      <c r="D45" s="293" t="s">
        <v>1156</v>
      </c>
      <c r="E45" s="311" t="s">
        <v>1157</v>
      </c>
      <c r="F45" s="295">
        <v>150733</v>
      </c>
      <c r="G45" s="295">
        <f t="shared" si="6"/>
        <v>150733</v>
      </c>
      <c r="H45" s="296">
        <f t="shared" ca="1" si="1"/>
        <v>150733</v>
      </c>
      <c r="I45" s="296">
        <f t="shared" si="2"/>
        <v>150733</v>
      </c>
      <c r="J45" s="296">
        <v>0</v>
      </c>
      <c r="K45" s="297">
        <f t="shared" ca="1" si="3"/>
        <v>150733</v>
      </c>
      <c r="L45" s="298">
        <f t="shared" ca="1" si="4"/>
        <v>1</v>
      </c>
      <c r="M45" s="299">
        <f t="shared" ca="1" si="5"/>
        <v>0</v>
      </c>
      <c r="N45" s="300" t="s">
        <v>1144</v>
      </c>
      <c r="O45" s="330" t="s">
        <v>1158</v>
      </c>
      <c r="P45" s="331"/>
      <c r="Q45" s="331"/>
    </row>
    <row r="46" spans="1:17" s="336" customFormat="1" ht="16.5" customHeight="1">
      <c r="A46" s="290" t="s">
        <v>46</v>
      </c>
      <c r="B46" s="317" t="s">
        <v>1132</v>
      </c>
      <c r="C46" s="318" t="s">
        <v>1159</v>
      </c>
      <c r="D46" s="319" t="s">
        <v>1160</v>
      </c>
      <c r="E46" s="333" t="s">
        <v>1161</v>
      </c>
      <c r="F46" s="321">
        <v>105000</v>
      </c>
      <c r="G46" s="321">
        <f t="shared" si="6"/>
        <v>105000</v>
      </c>
      <c r="H46" s="322">
        <f t="shared" ca="1" si="1"/>
        <v>105000</v>
      </c>
      <c r="I46" s="322">
        <f t="shared" si="2"/>
        <v>105000</v>
      </c>
      <c r="J46" s="322">
        <v>0</v>
      </c>
      <c r="K46" s="323">
        <f t="shared" ca="1" si="3"/>
        <v>105000</v>
      </c>
      <c r="L46" s="324">
        <f t="shared" ca="1" si="4"/>
        <v>1</v>
      </c>
      <c r="M46" s="325">
        <f t="shared" ca="1" si="5"/>
        <v>0</v>
      </c>
      <c r="N46" s="326" t="s">
        <v>1144</v>
      </c>
      <c r="O46" s="334" t="s">
        <v>1162</v>
      </c>
      <c r="P46" s="335"/>
      <c r="Q46" s="335"/>
    </row>
    <row r="47" spans="1:17" s="336" customFormat="1" ht="16.5" customHeight="1">
      <c r="A47" s="290" t="s">
        <v>44</v>
      </c>
      <c r="B47" s="317" t="s">
        <v>1132</v>
      </c>
      <c r="C47" s="318" t="s">
        <v>1163</v>
      </c>
      <c r="D47" s="319" t="s">
        <v>1164</v>
      </c>
      <c r="E47" s="333" t="s">
        <v>1165</v>
      </c>
      <c r="F47" s="321">
        <v>165000</v>
      </c>
      <c r="G47" s="321">
        <f t="shared" si="6"/>
        <v>165000</v>
      </c>
      <c r="H47" s="322">
        <f t="shared" ca="1" si="1"/>
        <v>165000</v>
      </c>
      <c r="I47" s="322">
        <f t="shared" si="2"/>
        <v>165000</v>
      </c>
      <c r="J47" s="322">
        <v>0</v>
      </c>
      <c r="K47" s="323">
        <f t="shared" ca="1" si="3"/>
        <v>165000</v>
      </c>
      <c r="L47" s="324">
        <f t="shared" ca="1" si="4"/>
        <v>1</v>
      </c>
      <c r="M47" s="325">
        <f t="shared" ca="1" si="5"/>
        <v>0</v>
      </c>
      <c r="N47" s="326" t="s">
        <v>1144</v>
      </c>
      <c r="O47" s="319" t="s">
        <v>1166</v>
      </c>
      <c r="P47" s="335"/>
      <c r="Q47" s="335"/>
    </row>
    <row r="48" spans="1:17" s="332" customFormat="1" ht="16.5" customHeight="1">
      <c r="A48" s="290" t="s">
        <v>38</v>
      </c>
      <c r="B48" s="291" t="s">
        <v>1167</v>
      </c>
      <c r="C48" s="292" t="s">
        <v>1005</v>
      </c>
      <c r="D48" s="293" t="s">
        <v>1168</v>
      </c>
      <c r="E48" s="337" t="s">
        <v>1002</v>
      </c>
      <c r="F48" s="295">
        <v>40165</v>
      </c>
      <c r="G48" s="295">
        <f t="shared" si="6"/>
        <v>40165</v>
      </c>
      <c r="H48" s="296">
        <f t="shared" ca="1" si="1"/>
        <v>40165</v>
      </c>
      <c r="I48" s="296">
        <f t="shared" si="2"/>
        <v>40165</v>
      </c>
      <c r="J48" s="296">
        <v>0</v>
      </c>
      <c r="K48" s="297">
        <f t="shared" ca="1" si="3"/>
        <v>40165</v>
      </c>
      <c r="L48" s="298">
        <f t="shared" ca="1" si="4"/>
        <v>1</v>
      </c>
      <c r="M48" s="299">
        <f t="shared" ca="1" si="5"/>
        <v>0</v>
      </c>
      <c r="N48" s="300" t="s">
        <v>1144</v>
      </c>
      <c r="O48" s="293"/>
      <c r="P48" s="331"/>
      <c r="Q48" s="331"/>
    </row>
    <row r="49" spans="1:17" s="332" customFormat="1" ht="21" customHeight="1">
      <c r="A49" s="313" t="s">
        <v>92</v>
      </c>
      <c r="B49" s="291" t="s">
        <v>1169</v>
      </c>
      <c r="C49" s="292" t="s">
        <v>1151</v>
      </c>
      <c r="D49" s="293" t="s">
        <v>1170</v>
      </c>
      <c r="E49" s="337" t="s">
        <v>1153</v>
      </c>
      <c r="F49" s="295">
        <v>647955</v>
      </c>
      <c r="G49" s="295">
        <f t="shared" si="6"/>
        <v>647955</v>
      </c>
      <c r="H49" s="296">
        <f t="shared" ca="1" si="1"/>
        <v>583159.5</v>
      </c>
      <c r="I49" s="296">
        <f t="shared" si="2"/>
        <v>647955</v>
      </c>
      <c r="J49" s="296">
        <v>0</v>
      </c>
      <c r="K49" s="297">
        <f t="shared" ca="1" si="3"/>
        <v>583159.5</v>
      </c>
      <c r="L49" s="298">
        <f t="shared" ca="1" si="4"/>
        <v>0.9</v>
      </c>
      <c r="M49" s="299">
        <f t="shared" ca="1" si="5"/>
        <v>64795.5</v>
      </c>
      <c r="N49" s="300"/>
      <c r="O49" s="293"/>
      <c r="P49" s="331"/>
      <c r="Q49" s="331"/>
    </row>
    <row r="50" spans="1:17" s="336" customFormat="1" ht="16.5" customHeight="1">
      <c r="A50" s="290" t="s">
        <v>37</v>
      </c>
      <c r="B50" s="317" t="s">
        <v>1171</v>
      </c>
      <c r="C50" s="318" t="s">
        <v>1172</v>
      </c>
      <c r="D50" s="319" t="s">
        <v>1173</v>
      </c>
      <c r="E50" s="333" t="s">
        <v>1174</v>
      </c>
      <c r="F50" s="321">
        <v>20285</v>
      </c>
      <c r="G50" s="321">
        <f t="shared" si="6"/>
        <v>20285</v>
      </c>
      <c r="H50" s="322">
        <f t="shared" ca="1" si="1"/>
        <v>20285</v>
      </c>
      <c r="I50" s="322">
        <f t="shared" si="2"/>
        <v>20285</v>
      </c>
      <c r="J50" s="322">
        <v>0</v>
      </c>
      <c r="K50" s="323">
        <f t="shared" ca="1" si="3"/>
        <v>20285</v>
      </c>
      <c r="L50" s="324">
        <f t="shared" ca="1" si="4"/>
        <v>1</v>
      </c>
      <c r="M50" s="325">
        <f t="shared" ca="1" si="5"/>
        <v>0</v>
      </c>
      <c r="N50" s="326" t="s">
        <v>1144</v>
      </c>
      <c r="O50" s="319" t="s">
        <v>1175</v>
      </c>
      <c r="P50" s="335"/>
      <c r="Q50" s="335"/>
    </row>
    <row r="51" spans="1:17" s="332" customFormat="1" ht="19.5" customHeight="1">
      <c r="A51" s="290" t="s">
        <v>76</v>
      </c>
      <c r="B51" s="291" t="s">
        <v>1176</v>
      </c>
      <c r="C51" s="292" t="s">
        <v>1177</v>
      </c>
      <c r="D51" s="293" t="s">
        <v>1178</v>
      </c>
      <c r="E51" s="337" t="s">
        <v>1179</v>
      </c>
      <c r="F51" s="295">
        <v>2571257</v>
      </c>
      <c r="G51" s="295">
        <f t="shared" si="6"/>
        <v>2571257</v>
      </c>
      <c r="H51" s="296">
        <f t="shared" ca="1" si="1"/>
        <v>385687.7</v>
      </c>
      <c r="I51" s="296">
        <f t="shared" si="2"/>
        <v>2571257</v>
      </c>
      <c r="J51" s="296">
        <v>0</v>
      </c>
      <c r="K51" s="297">
        <f t="shared" ca="1" si="3"/>
        <v>385687.7</v>
      </c>
      <c r="L51" s="298">
        <f t="shared" ca="1" si="4"/>
        <v>0.14999966942238757</v>
      </c>
      <c r="M51" s="299">
        <f t="shared" ca="1" si="5"/>
        <v>2185569.2999999998</v>
      </c>
      <c r="N51" s="300" t="s">
        <v>1144</v>
      </c>
      <c r="O51" s="293" t="s">
        <v>1180</v>
      </c>
      <c r="P51" s="331"/>
      <c r="Q51" s="331"/>
    </row>
    <row r="52" spans="1:17" s="332" customFormat="1" ht="16.5" customHeight="1">
      <c r="A52" s="290" t="s">
        <v>45</v>
      </c>
      <c r="B52" s="291" t="s">
        <v>1181</v>
      </c>
      <c r="C52" s="292" t="s">
        <v>1146</v>
      </c>
      <c r="D52" s="293" t="s">
        <v>1182</v>
      </c>
      <c r="E52" s="338" t="s">
        <v>1148</v>
      </c>
      <c r="F52" s="295">
        <v>138000</v>
      </c>
      <c r="G52" s="295">
        <f t="shared" si="6"/>
        <v>138000</v>
      </c>
      <c r="H52" s="296">
        <f t="shared" ca="1" si="1"/>
        <v>138000</v>
      </c>
      <c r="I52" s="296">
        <f t="shared" si="2"/>
        <v>138000</v>
      </c>
      <c r="J52" s="296">
        <v>0</v>
      </c>
      <c r="K52" s="297">
        <f t="shared" ca="1" si="3"/>
        <v>138000</v>
      </c>
      <c r="L52" s="298">
        <f t="shared" ca="1" si="4"/>
        <v>1</v>
      </c>
      <c r="M52" s="299">
        <f t="shared" ca="1" si="5"/>
        <v>0</v>
      </c>
      <c r="N52" s="300" t="s">
        <v>1003</v>
      </c>
      <c r="O52" s="339" t="s">
        <v>1183</v>
      </c>
      <c r="P52" s="331"/>
      <c r="Q52" s="331"/>
    </row>
    <row r="53" spans="1:17" s="332" customFormat="1" ht="16.5" customHeight="1">
      <c r="A53" s="290" t="s">
        <v>51</v>
      </c>
      <c r="B53" s="291" t="s">
        <v>1176</v>
      </c>
      <c r="C53" s="292" t="s">
        <v>1088</v>
      </c>
      <c r="D53" s="293" t="s">
        <v>1184</v>
      </c>
      <c r="E53" s="337" t="s">
        <v>1185</v>
      </c>
      <c r="F53" s="295">
        <v>120000</v>
      </c>
      <c r="G53" s="295">
        <f t="shared" si="6"/>
        <v>120000</v>
      </c>
      <c r="H53" s="296">
        <f t="shared" ca="1" si="1"/>
        <v>120000</v>
      </c>
      <c r="I53" s="296">
        <f t="shared" si="2"/>
        <v>120000</v>
      </c>
      <c r="J53" s="296">
        <v>0</v>
      </c>
      <c r="K53" s="297">
        <f t="shared" ca="1" si="3"/>
        <v>120000</v>
      </c>
      <c r="L53" s="298">
        <f t="shared" ca="1" si="4"/>
        <v>1</v>
      </c>
      <c r="M53" s="299">
        <f t="shared" ca="1" si="5"/>
        <v>0</v>
      </c>
      <c r="N53" s="300" t="s">
        <v>1003</v>
      </c>
      <c r="O53" s="293" t="s">
        <v>1186</v>
      </c>
      <c r="P53" s="331"/>
      <c r="Q53" s="331"/>
    </row>
    <row r="54" spans="1:17" s="332" customFormat="1" ht="16.5" customHeight="1">
      <c r="A54" s="290" t="s">
        <v>40</v>
      </c>
      <c r="B54" s="291" t="s">
        <v>1187</v>
      </c>
      <c r="C54" s="292" t="s">
        <v>1172</v>
      </c>
      <c r="D54" s="293" t="s">
        <v>1188</v>
      </c>
      <c r="E54" s="337" t="s">
        <v>1189</v>
      </c>
      <c r="F54" s="295">
        <v>430000</v>
      </c>
      <c r="G54" s="295">
        <f t="shared" si="6"/>
        <v>430000</v>
      </c>
      <c r="H54" s="296">
        <f t="shared" ca="1" si="1"/>
        <v>430000</v>
      </c>
      <c r="I54" s="296">
        <f t="shared" si="2"/>
        <v>430000</v>
      </c>
      <c r="J54" s="296">
        <v>0</v>
      </c>
      <c r="K54" s="297">
        <f t="shared" ca="1" si="3"/>
        <v>430000</v>
      </c>
      <c r="L54" s="298">
        <f t="shared" ca="1" si="4"/>
        <v>1</v>
      </c>
      <c r="M54" s="299">
        <f t="shared" ca="1" si="5"/>
        <v>0</v>
      </c>
      <c r="N54" s="300" t="s">
        <v>1144</v>
      </c>
      <c r="O54" s="293" t="s">
        <v>1190</v>
      </c>
      <c r="P54" s="331"/>
      <c r="Q54" s="331"/>
    </row>
    <row r="55" spans="1:17" s="332" customFormat="1" ht="28.5" customHeight="1">
      <c r="A55" s="290" t="s">
        <v>39</v>
      </c>
      <c r="B55" s="291" t="s">
        <v>1187</v>
      </c>
      <c r="C55" s="292" t="s">
        <v>1191</v>
      </c>
      <c r="D55" s="293" t="s">
        <v>1192</v>
      </c>
      <c r="E55" s="337" t="s">
        <v>1193</v>
      </c>
      <c r="F55" s="295">
        <v>43800</v>
      </c>
      <c r="G55" s="295">
        <f t="shared" si="6"/>
        <v>43800</v>
      </c>
      <c r="H55" s="296">
        <f t="shared" ca="1" si="1"/>
        <v>43800</v>
      </c>
      <c r="I55" s="296">
        <f t="shared" si="2"/>
        <v>43800</v>
      </c>
      <c r="J55" s="296">
        <v>0</v>
      </c>
      <c r="K55" s="297">
        <f t="shared" ca="1" si="3"/>
        <v>43800</v>
      </c>
      <c r="L55" s="298">
        <f t="shared" ca="1" si="4"/>
        <v>1</v>
      </c>
      <c r="M55" s="299">
        <f t="shared" ca="1" si="5"/>
        <v>0</v>
      </c>
      <c r="N55" s="300"/>
      <c r="O55" s="293"/>
      <c r="P55" s="331"/>
      <c r="Q55" s="331"/>
    </row>
    <row r="56" spans="1:17" s="301" customFormat="1" ht="15.75" customHeight="1">
      <c r="A56" s="290" t="s">
        <v>83</v>
      </c>
      <c r="B56" s="291" t="s">
        <v>1091</v>
      </c>
      <c r="C56" s="292" t="s">
        <v>1129</v>
      </c>
      <c r="D56" s="293" t="s">
        <v>1194</v>
      </c>
      <c r="E56" s="311" t="s">
        <v>1195</v>
      </c>
      <c r="F56" s="295">
        <v>3138486</v>
      </c>
      <c r="G56" s="295">
        <f t="shared" si="6"/>
        <v>3138486</v>
      </c>
      <c r="H56" s="296">
        <f t="shared" ca="1" si="1"/>
        <v>2033890</v>
      </c>
      <c r="I56" s="296">
        <f t="shared" si="2"/>
        <v>3138486</v>
      </c>
      <c r="J56" s="296">
        <v>0</v>
      </c>
      <c r="K56" s="297">
        <f t="shared" ca="1" si="3"/>
        <v>2033890</v>
      </c>
      <c r="L56" s="298">
        <f t="shared" ca="1" si="4"/>
        <v>0.64804813531110228</v>
      </c>
      <c r="M56" s="299">
        <f t="shared" ca="1" si="5"/>
        <v>1104596</v>
      </c>
      <c r="N56" s="300"/>
      <c r="O56" s="293" t="s">
        <v>1196</v>
      </c>
      <c r="P56" s="310"/>
      <c r="Q56" s="310"/>
    </row>
    <row r="57" spans="1:17" s="332" customFormat="1" ht="16.5" customHeight="1">
      <c r="A57" s="290" t="s">
        <v>42</v>
      </c>
      <c r="B57" s="291" t="s">
        <v>1197</v>
      </c>
      <c r="C57" s="292" t="s">
        <v>1172</v>
      </c>
      <c r="D57" s="293" t="s">
        <v>1198</v>
      </c>
      <c r="E57" s="337" t="s">
        <v>1199</v>
      </c>
      <c r="F57" s="295">
        <v>40682</v>
      </c>
      <c r="G57" s="295">
        <f t="shared" si="6"/>
        <v>40682</v>
      </c>
      <c r="H57" s="296">
        <f t="shared" ca="1" si="1"/>
        <v>40682</v>
      </c>
      <c r="I57" s="296">
        <f t="shared" si="2"/>
        <v>40682</v>
      </c>
      <c r="J57" s="296">
        <v>0</v>
      </c>
      <c r="K57" s="297">
        <f t="shared" ca="1" si="3"/>
        <v>40682</v>
      </c>
      <c r="L57" s="298">
        <f t="shared" ca="1" si="4"/>
        <v>1</v>
      </c>
      <c r="M57" s="299">
        <f t="shared" ca="1" si="5"/>
        <v>0</v>
      </c>
      <c r="N57" s="300" t="s">
        <v>1144</v>
      </c>
      <c r="O57" s="293"/>
      <c r="P57" s="331"/>
      <c r="Q57" s="331"/>
    </row>
    <row r="58" spans="1:17" s="332" customFormat="1" ht="16.5" customHeight="1">
      <c r="A58" s="290" t="s">
        <v>43</v>
      </c>
      <c r="B58" s="291" t="s">
        <v>1197</v>
      </c>
      <c r="C58" s="292" t="s">
        <v>1172</v>
      </c>
      <c r="D58" s="293" t="s">
        <v>1200</v>
      </c>
      <c r="E58" s="337" t="s">
        <v>1201</v>
      </c>
      <c r="F58" s="295">
        <v>15210</v>
      </c>
      <c r="G58" s="295">
        <f t="shared" si="6"/>
        <v>15210</v>
      </c>
      <c r="H58" s="296">
        <f t="shared" ca="1" si="1"/>
        <v>15210</v>
      </c>
      <c r="I58" s="296">
        <f t="shared" si="2"/>
        <v>15210</v>
      </c>
      <c r="J58" s="296">
        <v>0</v>
      </c>
      <c r="K58" s="297">
        <f t="shared" ca="1" si="3"/>
        <v>15210</v>
      </c>
      <c r="L58" s="298">
        <f t="shared" ca="1" si="4"/>
        <v>1</v>
      </c>
      <c r="M58" s="299">
        <f t="shared" ca="1" si="5"/>
        <v>0</v>
      </c>
      <c r="N58" s="300" t="s">
        <v>1144</v>
      </c>
      <c r="O58" s="293"/>
      <c r="P58" s="331"/>
      <c r="Q58" s="331"/>
    </row>
    <row r="59" spans="1:17" s="332" customFormat="1" ht="16.5" customHeight="1">
      <c r="A59" s="313" t="s">
        <v>123</v>
      </c>
      <c r="B59" s="291" t="s">
        <v>1202</v>
      </c>
      <c r="C59" s="292" t="s">
        <v>1172</v>
      </c>
      <c r="D59" s="293" t="s">
        <v>1203</v>
      </c>
      <c r="E59" s="333" t="s">
        <v>1204</v>
      </c>
      <c r="F59" s="295">
        <v>150000</v>
      </c>
      <c r="G59" s="295">
        <f t="shared" si="6"/>
        <v>150000</v>
      </c>
      <c r="H59" s="296">
        <f t="shared" ca="1" si="1"/>
        <v>0</v>
      </c>
      <c r="I59" s="296">
        <f t="shared" si="2"/>
        <v>150000</v>
      </c>
      <c r="J59" s="296">
        <v>0</v>
      </c>
      <c r="K59" s="297">
        <f t="shared" ca="1" si="3"/>
        <v>0</v>
      </c>
      <c r="L59" s="298">
        <f t="shared" ca="1" si="4"/>
        <v>0</v>
      </c>
      <c r="M59" s="299">
        <f t="shared" ca="1" si="5"/>
        <v>150000</v>
      </c>
      <c r="N59" s="300"/>
      <c r="O59" s="293" t="s">
        <v>1205</v>
      </c>
      <c r="P59" s="331"/>
      <c r="Q59" s="331"/>
    </row>
    <row r="60" spans="1:17" s="332" customFormat="1" ht="16.5" customHeight="1">
      <c r="A60" s="313" t="s">
        <v>1206</v>
      </c>
      <c r="B60" s="291" t="s">
        <v>1207</v>
      </c>
      <c r="C60" s="292" t="s">
        <v>1208</v>
      </c>
      <c r="D60" s="293" t="s">
        <v>1209</v>
      </c>
      <c r="E60" s="333" t="s">
        <v>1195</v>
      </c>
      <c r="F60" s="295">
        <v>135990</v>
      </c>
      <c r="G60" s="295">
        <f t="shared" si="6"/>
        <v>135990</v>
      </c>
      <c r="H60" s="296">
        <f t="shared" ca="1" si="1"/>
        <v>95000</v>
      </c>
      <c r="I60" s="296">
        <f t="shared" si="2"/>
        <v>135990</v>
      </c>
      <c r="J60" s="296">
        <v>0</v>
      </c>
      <c r="K60" s="297">
        <f t="shared" ca="1" si="3"/>
        <v>95000</v>
      </c>
      <c r="L60" s="298">
        <f t="shared" ca="1" si="4"/>
        <v>0.69858077799838225</v>
      </c>
      <c r="M60" s="299">
        <f t="shared" ca="1" si="5"/>
        <v>40990</v>
      </c>
      <c r="N60" s="300"/>
      <c r="O60" s="340" t="s">
        <v>1210</v>
      </c>
      <c r="P60" s="331"/>
      <c r="Q60" s="331"/>
    </row>
    <row r="61" spans="1:17" s="332" customFormat="1" ht="16.5" customHeight="1">
      <c r="A61" s="312" t="s">
        <v>1211</v>
      </c>
      <c r="B61" s="291" t="s">
        <v>1212</v>
      </c>
      <c r="C61" s="292" t="s">
        <v>1070</v>
      </c>
      <c r="D61" s="293" t="s">
        <v>1213</v>
      </c>
      <c r="E61" s="337" t="s">
        <v>1101</v>
      </c>
      <c r="F61" s="295">
        <v>0</v>
      </c>
      <c r="G61" s="295">
        <f t="shared" si="6"/>
        <v>0</v>
      </c>
      <c r="H61" s="296">
        <f t="shared" ca="1" si="1"/>
        <v>0</v>
      </c>
      <c r="I61" s="296">
        <f t="shared" si="2"/>
        <v>0</v>
      </c>
      <c r="J61" s="296">
        <v>0</v>
      </c>
      <c r="K61" s="297">
        <f t="shared" ca="1" si="3"/>
        <v>0</v>
      </c>
      <c r="L61" s="298" t="e">
        <f t="shared" ca="1" si="4"/>
        <v>#DIV/0!</v>
      </c>
      <c r="M61" s="299">
        <f t="shared" ca="1" si="5"/>
        <v>0</v>
      </c>
      <c r="N61" s="300" t="s">
        <v>1144</v>
      </c>
      <c r="O61" s="293" t="s">
        <v>1214</v>
      </c>
      <c r="P61" s="331"/>
      <c r="Q61" s="331"/>
    </row>
    <row r="62" spans="1:17" s="352" customFormat="1" ht="16.5" customHeight="1">
      <c r="A62" s="290" t="s">
        <v>124</v>
      </c>
      <c r="B62" s="341" t="s">
        <v>1215</v>
      </c>
      <c r="C62" s="342" t="s">
        <v>1172</v>
      </c>
      <c r="D62" s="343" t="s">
        <v>1216</v>
      </c>
      <c r="E62" s="344" t="s">
        <v>1217</v>
      </c>
      <c r="F62" s="345">
        <v>0</v>
      </c>
      <c r="G62" s="345">
        <f t="shared" si="6"/>
        <v>0</v>
      </c>
      <c r="H62" s="346">
        <f t="shared" ca="1" si="1"/>
        <v>0</v>
      </c>
      <c r="I62" s="346">
        <f t="shared" si="2"/>
        <v>0</v>
      </c>
      <c r="J62" s="346">
        <v>0</v>
      </c>
      <c r="K62" s="347">
        <f t="shared" ca="1" si="3"/>
        <v>0</v>
      </c>
      <c r="L62" s="348" t="e">
        <f t="shared" ca="1" si="4"/>
        <v>#DIV/0!</v>
      </c>
      <c r="M62" s="349">
        <f t="shared" ca="1" si="5"/>
        <v>0</v>
      </c>
      <c r="N62" s="350" t="s">
        <v>1144</v>
      </c>
      <c r="O62" s="343" t="s">
        <v>1218</v>
      </c>
      <c r="P62" s="351"/>
      <c r="Q62" s="351"/>
    </row>
    <row r="63" spans="1:17" s="336" customFormat="1" ht="16.5" customHeight="1">
      <c r="A63" s="290" t="s">
        <v>1219</v>
      </c>
      <c r="B63" s="317" t="s">
        <v>1220</v>
      </c>
      <c r="C63" s="292" t="s">
        <v>1221</v>
      </c>
      <c r="D63" s="319" t="s">
        <v>1222</v>
      </c>
      <c r="E63" s="333" t="s">
        <v>1002</v>
      </c>
      <c r="F63" s="321">
        <v>137711</v>
      </c>
      <c r="G63" s="295">
        <f t="shared" si="6"/>
        <v>137711</v>
      </c>
      <c r="H63" s="296">
        <f t="shared" ca="1" si="1"/>
        <v>137711</v>
      </c>
      <c r="I63" s="296">
        <f t="shared" si="2"/>
        <v>137711</v>
      </c>
      <c r="J63" s="296">
        <v>0</v>
      </c>
      <c r="K63" s="297">
        <f t="shared" ca="1" si="3"/>
        <v>137711</v>
      </c>
      <c r="L63" s="298">
        <f t="shared" ca="1" si="4"/>
        <v>1</v>
      </c>
      <c r="M63" s="299">
        <f t="shared" ca="1" si="5"/>
        <v>0</v>
      </c>
      <c r="N63" s="326" t="s">
        <v>1003</v>
      </c>
      <c r="O63" s="319" t="s">
        <v>1214</v>
      </c>
      <c r="P63" s="335"/>
      <c r="Q63" s="335"/>
    </row>
    <row r="64" spans="1:17" s="332" customFormat="1" ht="16.5" customHeight="1">
      <c r="A64" s="313" t="s">
        <v>86</v>
      </c>
      <c r="B64" s="291" t="s">
        <v>1223</v>
      </c>
      <c r="C64" s="292" t="s">
        <v>1224</v>
      </c>
      <c r="D64" s="293" t="s">
        <v>1225</v>
      </c>
      <c r="E64" s="337" t="s">
        <v>1226</v>
      </c>
      <c r="F64" s="295">
        <v>20000</v>
      </c>
      <c r="G64" s="295">
        <f t="shared" si="6"/>
        <v>20000</v>
      </c>
      <c r="H64" s="296">
        <f t="shared" ca="1" si="1"/>
        <v>20000</v>
      </c>
      <c r="I64" s="296">
        <f t="shared" si="2"/>
        <v>20000</v>
      </c>
      <c r="J64" s="296">
        <v>0</v>
      </c>
      <c r="K64" s="297">
        <f t="shared" ca="1" si="3"/>
        <v>20000</v>
      </c>
      <c r="L64" s="298">
        <f t="shared" ca="1" si="4"/>
        <v>1</v>
      </c>
      <c r="M64" s="299">
        <f t="shared" ca="1" si="5"/>
        <v>0</v>
      </c>
      <c r="N64" s="300"/>
      <c r="O64" s="293" t="s">
        <v>1214</v>
      </c>
      <c r="P64" s="331"/>
      <c r="Q64" s="331"/>
    </row>
    <row r="65" spans="1:17" s="336" customFormat="1" ht="16.5" customHeight="1">
      <c r="A65" s="290" t="s">
        <v>47</v>
      </c>
      <c r="B65" s="317" t="s">
        <v>1220</v>
      </c>
      <c r="C65" s="292" t="s">
        <v>1227</v>
      </c>
      <c r="D65" s="319" t="s">
        <v>1228</v>
      </c>
      <c r="E65" s="333" t="s">
        <v>1229</v>
      </c>
      <c r="F65" s="321">
        <v>3907038.37</v>
      </c>
      <c r="G65" s="295">
        <f t="shared" si="6"/>
        <v>3907038.37</v>
      </c>
      <c r="H65" s="296">
        <f t="shared" ca="1" si="1"/>
        <v>3907038.37</v>
      </c>
      <c r="I65" s="296">
        <f t="shared" si="2"/>
        <v>3907038.37</v>
      </c>
      <c r="J65" s="296">
        <v>0</v>
      </c>
      <c r="K65" s="297">
        <f t="shared" ca="1" si="3"/>
        <v>3907038.37</v>
      </c>
      <c r="L65" s="298">
        <f t="shared" ca="1" si="4"/>
        <v>1</v>
      </c>
      <c r="M65" s="299">
        <f t="shared" ca="1" si="5"/>
        <v>0</v>
      </c>
      <c r="N65" s="326" t="s">
        <v>1144</v>
      </c>
      <c r="O65" s="319" t="s">
        <v>1214</v>
      </c>
      <c r="P65" s="335"/>
      <c r="Q65" s="335"/>
    </row>
    <row r="66" spans="1:17" s="336" customFormat="1" ht="16.5" customHeight="1">
      <c r="A66" s="290" t="s">
        <v>48</v>
      </c>
      <c r="B66" s="317" t="s">
        <v>1220</v>
      </c>
      <c r="C66" s="292" t="s">
        <v>1230</v>
      </c>
      <c r="D66" s="319" t="s">
        <v>1231</v>
      </c>
      <c r="E66" s="333" t="s">
        <v>1229</v>
      </c>
      <c r="F66" s="321">
        <v>137377.49</v>
      </c>
      <c r="G66" s="295">
        <f t="shared" si="6"/>
        <v>137377.49</v>
      </c>
      <c r="H66" s="296">
        <f t="shared" ca="1" si="1"/>
        <v>137377.49</v>
      </c>
      <c r="I66" s="296">
        <f t="shared" si="2"/>
        <v>137377.49</v>
      </c>
      <c r="J66" s="296">
        <v>0</v>
      </c>
      <c r="K66" s="297">
        <f t="shared" ca="1" si="3"/>
        <v>137377.49</v>
      </c>
      <c r="L66" s="298">
        <f t="shared" ca="1" si="4"/>
        <v>1</v>
      </c>
      <c r="M66" s="299">
        <f t="shared" ca="1" si="5"/>
        <v>0</v>
      </c>
      <c r="N66" s="326" t="s">
        <v>1144</v>
      </c>
      <c r="O66" s="319" t="s">
        <v>1214</v>
      </c>
      <c r="P66" s="335"/>
      <c r="Q66" s="335"/>
    </row>
    <row r="67" spans="1:17" s="332" customFormat="1" ht="16.5" customHeight="1">
      <c r="A67" s="290" t="s">
        <v>1232</v>
      </c>
      <c r="B67" s="291" t="s">
        <v>1233</v>
      </c>
      <c r="C67" s="292" t="s">
        <v>1221</v>
      </c>
      <c r="D67" s="293" t="s">
        <v>1234</v>
      </c>
      <c r="E67" s="337" t="s">
        <v>1002</v>
      </c>
      <c r="F67" s="295">
        <v>37738</v>
      </c>
      <c r="G67" s="295">
        <f t="shared" si="6"/>
        <v>37738</v>
      </c>
      <c r="H67" s="296">
        <f t="shared" ca="1" si="1"/>
        <v>37738</v>
      </c>
      <c r="I67" s="296">
        <f t="shared" si="2"/>
        <v>37738</v>
      </c>
      <c r="J67" s="296">
        <v>0</v>
      </c>
      <c r="K67" s="297">
        <f t="shared" ca="1" si="3"/>
        <v>37738</v>
      </c>
      <c r="L67" s="298">
        <f t="shared" ca="1" si="4"/>
        <v>1</v>
      </c>
      <c r="M67" s="299">
        <f t="shared" ca="1" si="5"/>
        <v>0</v>
      </c>
      <c r="N67" s="300"/>
      <c r="O67" s="293"/>
      <c r="P67" s="331"/>
      <c r="Q67" s="331"/>
    </row>
    <row r="68" spans="1:17" s="336" customFormat="1" ht="16.5" customHeight="1">
      <c r="A68" s="290" t="s">
        <v>49</v>
      </c>
      <c r="B68" s="317" t="s">
        <v>1235</v>
      </c>
      <c r="C68" s="292" t="s">
        <v>1236</v>
      </c>
      <c r="D68" s="319" t="s">
        <v>1237</v>
      </c>
      <c r="E68" s="333" t="s">
        <v>1238</v>
      </c>
      <c r="F68" s="321">
        <v>339000</v>
      </c>
      <c r="G68" s="295">
        <f t="shared" si="6"/>
        <v>339000</v>
      </c>
      <c r="H68" s="296">
        <f t="shared" ref="H68:H131" ca="1" si="7">SUMIF(INDIRECT($K$213),A68,INDIRECT($K$214))</f>
        <v>339000</v>
      </c>
      <c r="I68" s="296">
        <f t="shared" ref="I68:I131" si="8">IF(G68&lt;&gt;0,G68,F68)</f>
        <v>339000</v>
      </c>
      <c r="J68" s="296">
        <v>0</v>
      </c>
      <c r="K68" s="297">
        <f t="shared" ref="K68:K131" ca="1" si="9">SUMIF(INDIRECT($K$216),A68,INDIRECT($K$217))</f>
        <v>339000</v>
      </c>
      <c r="L68" s="298">
        <f t="shared" ref="L68:L131" ca="1" si="10">IF(G68&gt;0,K68/G68,K68/F68)</f>
        <v>1</v>
      </c>
      <c r="M68" s="299">
        <f t="shared" ref="M68:M131" ca="1" si="11">IF(G68&gt;0,G68-K68,F68-K68)</f>
        <v>0</v>
      </c>
      <c r="N68" s="326" t="s">
        <v>1144</v>
      </c>
      <c r="O68" s="319" t="s">
        <v>1214</v>
      </c>
      <c r="P68" s="335"/>
      <c r="Q68" s="335"/>
    </row>
    <row r="69" spans="1:17" s="336" customFormat="1" ht="16.5" customHeight="1">
      <c r="A69" s="290" t="s">
        <v>53</v>
      </c>
      <c r="B69" s="317" t="s">
        <v>1239</v>
      </c>
      <c r="C69" s="292" t="s">
        <v>1240</v>
      </c>
      <c r="D69" s="319" t="s">
        <v>1241</v>
      </c>
      <c r="E69" s="333" t="s">
        <v>1242</v>
      </c>
      <c r="F69" s="321">
        <v>19645</v>
      </c>
      <c r="G69" s="295">
        <f t="shared" si="6"/>
        <v>19645</v>
      </c>
      <c r="H69" s="296">
        <f t="shared" ca="1" si="7"/>
        <v>19645</v>
      </c>
      <c r="I69" s="296">
        <f t="shared" si="8"/>
        <v>19645</v>
      </c>
      <c r="J69" s="296">
        <v>0</v>
      </c>
      <c r="K69" s="297">
        <f t="shared" ca="1" si="9"/>
        <v>19645</v>
      </c>
      <c r="L69" s="298">
        <f t="shared" ca="1" si="10"/>
        <v>1</v>
      </c>
      <c r="M69" s="299">
        <f t="shared" ca="1" si="11"/>
        <v>0</v>
      </c>
      <c r="N69" s="326" t="s">
        <v>1144</v>
      </c>
      <c r="O69" s="319" t="s">
        <v>1214</v>
      </c>
      <c r="P69" s="335"/>
      <c r="Q69" s="335"/>
    </row>
    <row r="70" spans="1:17" s="336" customFormat="1" ht="16.5" customHeight="1">
      <c r="A70" s="290" t="s">
        <v>52</v>
      </c>
      <c r="B70" s="317" t="s">
        <v>1239</v>
      </c>
      <c r="C70" s="292" t="s">
        <v>1243</v>
      </c>
      <c r="D70" s="319" t="s">
        <v>1244</v>
      </c>
      <c r="E70" s="333" t="s">
        <v>1245</v>
      </c>
      <c r="F70" s="321">
        <v>83164.149999999994</v>
      </c>
      <c r="G70" s="295">
        <f t="shared" si="6"/>
        <v>83164.149999999994</v>
      </c>
      <c r="H70" s="296">
        <f t="shared" ca="1" si="7"/>
        <v>83164.149999999994</v>
      </c>
      <c r="I70" s="296">
        <f t="shared" si="8"/>
        <v>83164.149999999994</v>
      </c>
      <c r="J70" s="296">
        <v>0</v>
      </c>
      <c r="K70" s="297">
        <f t="shared" ca="1" si="9"/>
        <v>83164.149999999994</v>
      </c>
      <c r="L70" s="298">
        <f t="shared" ca="1" si="10"/>
        <v>1</v>
      </c>
      <c r="M70" s="299">
        <f t="shared" ca="1" si="11"/>
        <v>0</v>
      </c>
      <c r="N70" s="326" t="s">
        <v>1144</v>
      </c>
      <c r="O70" s="319" t="s">
        <v>1214</v>
      </c>
      <c r="P70" s="335"/>
      <c r="Q70" s="335"/>
    </row>
    <row r="71" spans="1:17" s="336" customFormat="1" ht="16.5" customHeight="1">
      <c r="A71" s="290" t="s">
        <v>54</v>
      </c>
      <c r="B71" s="317" t="s">
        <v>1239</v>
      </c>
      <c r="C71" s="292" t="s">
        <v>1246</v>
      </c>
      <c r="D71" s="319" t="s">
        <v>1247</v>
      </c>
      <c r="E71" s="333" t="s">
        <v>1248</v>
      </c>
      <c r="F71" s="321">
        <v>65619</v>
      </c>
      <c r="G71" s="295">
        <f t="shared" si="6"/>
        <v>65619</v>
      </c>
      <c r="H71" s="296">
        <f t="shared" ca="1" si="7"/>
        <v>65619</v>
      </c>
      <c r="I71" s="296">
        <f t="shared" si="8"/>
        <v>65619</v>
      </c>
      <c r="J71" s="296">
        <v>0</v>
      </c>
      <c r="K71" s="297">
        <f t="shared" ca="1" si="9"/>
        <v>65619</v>
      </c>
      <c r="L71" s="298">
        <f t="shared" ca="1" si="10"/>
        <v>1</v>
      </c>
      <c r="M71" s="299">
        <f t="shared" ca="1" si="11"/>
        <v>0</v>
      </c>
      <c r="N71" s="326" t="s">
        <v>1144</v>
      </c>
      <c r="O71" s="319" t="s">
        <v>1214</v>
      </c>
      <c r="P71" s="335"/>
      <c r="Q71" s="335"/>
    </row>
    <row r="72" spans="1:17" s="301" customFormat="1" ht="16.5" customHeight="1">
      <c r="A72" s="313" t="s">
        <v>85</v>
      </c>
      <c r="B72" s="291" t="s">
        <v>1249</v>
      </c>
      <c r="C72" s="292" t="s">
        <v>1246</v>
      </c>
      <c r="D72" s="293" t="s">
        <v>1250</v>
      </c>
      <c r="E72" s="311" t="s">
        <v>1248</v>
      </c>
      <c r="F72" s="295">
        <v>9381</v>
      </c>
      <c r="G72" s="295">
        <f t="shared" si="6"/>
        <v>9381</v>
      </c>
      <c r="H72" s="296">
        <f t="shared" ca="1" si="7"/>
        <v>9381</v>
      </c>
      <c r="I72" s="296">
        <f t="shared" si="8"/>
        <v>9381</v>
      </c>
      <c r="J72" s="296">
        <v>0</v>
      </c>
      <c r="K72" s="297">
        <f t="shared" ca="1" si="9"/>
        <v>9381</v>
      </c>
      <c r="L72" s="298">
        <f t="shared" ca="1" si="10"/>
        <v>1</v>
      </c>
      <c r="M72" s="299">
        <f t="shared" ca="1" si="11"/>
        <v>0</v>
      </c>
      <c r="N72" s="300"/>
      <c r="O72" s="319" t="s">
        <v>1214</v>
      </c>
      <c r="P72" s="310"/>
      <c r="Q72" s="310"/>
    </row>
    <row r="73" spans="1:17" s="301" customFormat="1" ht="16.5" customHeight="1">
      <c r="A73" s="313" t="s">
        <v>97</v>
      </c>
      <c r="B73" s="291" t="s">
        <v>1251</v>
      </c>
      <c r="C73" s="292" t="s">
        <v>1246</v>
      </c>
      <c r="D73" s="293" t="s">
        <v>1252</v>
      </c>
      <c r="E73" s="311" t="s">
        <v>1248</v>
      </c>
      <c r="F73" s="295">
        <v>2100</v>
      </c>
      <c r="G73" s="295">
        <f t="shared" si="6"/>
        <v>2100</v>
      </c>
      <c r="H73" s="296">
        <f t="shared" ca="1" si="7"/>
        <v>2100</v>
      </c>
      <c r="I73" s="296">
        <f t="shared" si="8"/>
        <v>2100</v>
      </c>
      <c r="J73" s="296">
        <v>0</v>
      </c>
      <c r="K73" s="297">
        <f t="shared" ca="1" si="9"/>
        <v>2100</v>
      </c>
      <c r="L73" s="298">
        <f t="shared" ca="1" si="10"/>
        <v>1</v>
      </c>
      <c r="M73" s="299">
        <f t="shared" ca="1" si="11"/>
        <v>0</v>
      </c>
      <c r="N73" s="300"/>
      <c r="O73" s="319" t="s">
        <v>1214</v>
      </c>
      <c r="P73" s="310"/>
      <c r="Q73" s="310"/>
    </row>
    <row r="74" spans="1:17" s="301" customFormat="1" ht="16.5" customHeight="1">
      <c r="A74" s="313" t="s">
        <v>107</v>
      </c>
      <c r="B74" s="291" t="s">
        <v>1253</v>
      </c>
      <c r="C74" s="292" t="s">
        <v>1246</v>
      </c>
      <c r="D74" s="293" t="s">
        <v>1254</v>
      </c>
      <c r="E74" s="311" t="s">
        <v>1248</v>
      </c>
      <c r="F74" s="295">
        <v>2326</v>
      </c>
      <c r="G74" s="295">
        <f t="shared" si="6"/>
        <v>2326</v>
      </c>
      <c r="H74" s="296">
        <f t="shared" ca="1" si="7"/>
        <v>2326</v>
      </c>
      <c r="I74" s="296">
        <f t="shared" si="8"/>
        <v>2326</v>
      </c>
      <c r="J74" s="296">
        <v>0</v>
      </c>
      <c r="K74" s="297">
        <f t="shared" ca="1" si="9"/>
        <v>2326</v>
      </c>
      <c r="L74" s="298">
        <f t="shared" ca="1" si="10"/>
        <v>1</v>
      </c>
      <c r="M74" s="299">
        <f t="shared" ca="1" si="11"/>
        <v>0</v>
      </c>
      <c r="N74" s="300"/>
      <c r="O74" s="319" t="s">
        <v>1214</v>
      </c>
      <c r="P74" s="310"/>
      <c r="Q74" s="310"/>
    </row>
    <row r="75" spans="1:17" s="336" customFormat="1" ht="16.5" customHeight="1">
      <c r="A75" s="290" t="s">
        <v>1255</v>
      </c>
      <c r="B75" s="317" t="s">
        <v>1239</v>
      </c>
      <c r="C75" s="292" t="s">
        <v>1256</v>
      </c>
      <c r="D75" s="319" t="s">
        <v>1257</v>
      </c>
      <c r="E75" s="333" t="s">
        <v>1258</v>
      </c>
      <c r="F75" s="321">
        <v>13252746.24</v>
      </c>
      <c r="G75" s="295">
        <f t="shared" si="6"/>
        <v>13252746.24</v>
      </c>
      <c r="H75" s="296">
        <f t="shared" ca="1" si="7"/>
        <v>6771382</v>
      </c>
      <c r="I75" s="296">
        <f t="shared" si="8"/>
        <v>13252746.24</v>
      </c>
      <c r="J75" s="296">
        <v>0</v>
      </c>
      <c r="K75" s="297">
        <f t="shared" ca="1" si="9"/>
        <v>6771382</v>
      </c>
      <c r="L75" s="298">
        <f t="shared" ca="1" si="10"/>
        <v>0.51094179858075961</v>
      </c>
      <c r="M75" s="299">
        <f t="shared" ca="1" si="11"/>
        <v>6481364.2400000002</v>
      </c>
      <c r="N75" s="326" t="s">
        <v>1144</v>
      </c>
      <c r="O75" s="319" t="s">
        <v>1214</v>
      </c>
      <c r="P75" s="335"/>
      <c r="Q75" s="335"/>
    </row>
    <row r="76" spans="1:17" s="336" customFormat="1" ht="16.5" customHeight="1">
      <c r="A76" s="290" t="s">
        <v>1259</v>
      </c>
      <c r="B76" s="317" t="s">
        <v>1239</v>
      </c>
      <c r="C76" s="292" t="s">
        <v>1260</v>
      </c>
      <c r="D76" s="319" t="s">
        <v>1261</v>
      </c>
      <c r="E76" s="333" t="s">
        <v>1258</v>
      </c>
      <c r="F76" s="321">
        <v>1149400</v>
      </c>
      <c r="G76" s="353">
        <f t="shared" si="6"/>
        <v>1149400</v>
      </c>
      <c r="H76" s="296">
        <f t="shared" ca="1" si="7"/>
        <v>0</v>
      </c>
      <c r="I76" s="296">
        <f t="shared" si="8"/>
        <v>1149400</v>
      </c>
      <c r="J76" s="296">
        <v>0</v>
      </c>
      <c r="K76" s="297">
        <f t="shared" ca="1" si="9"/>
        <v>0</v>
      </c>
      <c r="L76" s="298">
        <f t="shared" ca="1" si="10"/>
        <v>0</v>
      </c>
      <c r="M76" s="299">
        <f t="shared" ca="1" si="11"/>
        <v>1149400</v>
      </c>
      <c r="N76" s="326" t="s">
        <v>1144</v>
      </c>
      <c r="O76" s="319" t="s">
        <v>1214</v>
      </c>
      <c r="P76" s="335"/>
      <c r="Q76" s="335"/>
    </row>
    <row r="77" spans="1:17" s="336" customFormat="1" ht="16.5" customHeight="1">
      <c r="A77" s="354" t="s">
        <v>87</v>
      </c>
      <c r="B77" s="355" t="s">
        <v>1262</v>
      </c>
      <c r="C77" s="356" t="s">
        <v>1263</v>
      </c>
      <c r="D77" s="357" t="s">
        <v>1264</v>
      </c>
      <c r="E77" s="358" t="s">
        <v>1265</v>
      </c>
      <c r="F77" s="359">
        <v>2673069.73</v>
      </c>
      <c r="G77" s="353">
        <f t="shared" si="6"/>
        <v>2673069.73</v>
      </c>
      <c r="H77" s="360">
        <f t="shared" ca="1" si="7"/>
        <v>1900000</v>
      </c>
      <c r="I77" s="360">
        <f t="shared" si="8"/>
        <v>2673069.73</v>
      </c>
      <c r="J77" s="296">
        <v>0</v>
      </c>
      <c r="K77" s="361">
        <f t="shared" ca="1" si="9"/>
        <v>1900000</v>
      </c>
      <c r="L77" s="362">
        <f t="shared" ca="1" si="10"/>
        <v>0.71079327960516769</v>
      </c>
      <c r="M77" s="363">
        <f t="shared" ca="1" si="11"/>
        <v>773069.73</v>
      </c>
      <c r="N77" s="326" t="s">
        <v>1144</v>
      </c>
      <c r="O77" s="319" t="s">
        <v>1214</v>
      </c>
      <c r="P77" s="335"/>
      <c r="Q77" s="335"/>
    </row>
    <row r="78" spans="1:17" s="365" customFormat="1" ht="16.5" customHeight="1">
      <c r="A78" s="290" t="s">
        <v>55</v>
      </c>
      <c r="B78" s="355" t="s">
        <v>1266</v>
      </c>
      <c r="C78" s="292" t="s">
        <v>1267</v>
      </c>
      <c r="D78" s="319" t="s">
        <v>1268</v>
      </c>
      <c r="E78" s="333" t="s">
        <v>1269</v>
      </c>
      <c r="F78" s="321">
        <v>380000</v>
      </c>
      <c r="G78" s="353">
        <f t="shared" si="6"/>
        <v>380000</v>
      </c>
      <c r="H78" s="360">
        <f t="shared" ca="1" si="7"/>
        <v>380000</v>
      </c>
      <c r="I78" s="360">
        <f t="shared" si="8"/>
        <v>380000</v>
      </c>
      <c r="J78" s="296">
        <v>0</v>
      </c>
      <c r="K78" s="361">
        <f t="shared" ca="1" si="9"/>
        <v>380000</v>
      </c>
      <c r="L78" s="362">
        <f t="shared" ca="1" si="10"/>
        <v>1</v>
      </c>
      <c r="M78" s="363">
        <f t="shared" ca="1" si="11"/>
        <v>0</v>
      </c>
      <c r="N78" s="326" t="s">
        <v>1144</v>
      </c>
      <c r="O78" s="319" t="s">
        <v>1214</v>
      </c>
      <c r="P78" s="364"/>
      <c r="Q78" s="364"/>
    </row>
    <row r="79" spans="1:17" s="365" customFormat="1" ht="16.5" customHeight="1">
      <c r="A79" s="290" t="s">
        <v>56</v>
      </c>
      <c r="B79" s="317" t="s">
        <v>1262</v>
      </c>
      <c r="C79" s="292" t="s">
        <v>1270</v>
      </c>
      <c r="D79" s="319" t="s">
        <v>1271</v>
      </c>
      <c r="E79" s="333" t="s">
        <v>1272</v>
      </c>
      <c r="F79" s="321">
        <v>660000</v>
      </c>
      <c r="G79" s="353">
        <f t="shared" si="6"/>
        <v>660000</v>
      </c>
      <c r="H79" s="360">
        <f t="shared" ca="1" si="7"/>
        <v>660000</v>
      </c>
      <c r="I79" s="360">
        <f t="shared" si="8"/>
        <v>660000</v>
      </c>
      <c r="J79" s="296">
        <v>0</v>
      </c>
      <c r="K79" s="361">
        <f t="shared" ca="1" si="9"/>
        <v>660000</v>
      </c>
      <c r="L79" s="362">
        <f t="shared" ca="1" si="10"/>
        <v>1</v>
      </c>
      <c r="M79" s="363">
        <f t="shared" ca="1" si="11"/>
        <v>0</v>
      </c>
      <c r="N79" s="326" t="s">
        <v>1144</v>
      </c>
      <c r="O79" s="319" t="s">
        <v>1214</v>
      </c>
      <c r="P79" s="364"/>
      <c r="Q79" s="364"/>
    </row>
    <row r="80" spans="1:17" s="365" customFormat="1" ht="18.75" customHeight="1">
      <c r="A80" s="290" t="s">
        <v>80</v>
      </c>
      <c r="B80" s="317" t="s">
        <v>1262</v>
      </c>
      <c r="C80" s="292" t="s">
        <v>1273</v>
      </c>
      <c r="D80" s="319" t="s">
        <v>1274</v>
      </c>
      <c r="E80" s="333" t="s">
        <v>1275</v>
      </c>
      <c r="F80" s="321">
        <v>748148</v>
      </c>
      <c r="G80" s="353">
        <f t="shared" si="6"/>
        <v>748148</v>
      </c>
      <c r="H80" s="360">
        <f t="shared" ca="1" si="7"/>
        <v>678130</v>
      </c>
      <c r="I80" s="360">
        <f t="shared" si="8"/>
        <v>748148</v>
      </c>
      <c r="J80" s="296">
        <v>0</v>
      </c>
      <c r="K80" s="361">
        <f t="shared" ca="1" si="9"/>
        <v>678130</v>
      </c>
      <c r="L80" s="362">
        <f t="shared" ca="1" si="10"/>
        <v>0.90641156562605263</v>
      </c>
      <c r="M80" s="363">
        <f t="shared" ca="1" si="11"/>
        <v>70018</v>
      </c>
      <c r="N80" s="326" t="s">
        <v>1003</v>
      </c>
      <c r="O80" s="319" t="s">
        <v>1276</v>
      </c>
      <c r="P80" s="364"/>
      <c r="Q80" s="364"/>
    </row>
    <row r="81" spans="1:17" s="365" customFormat="1" ht="24.75" customHeight="1">
      <c r="A81" s="290" t="s">
        <v>1277</v>
      </c>
      <c r="B81" s="317" t="s">
        <v>1278</v>
      </c>
      <c r="C81" s="292" t="s">
        <v>1273</v>
      </c>
      <c r="D81" s="319" t="s">
        <v>1279</v>
      </c>
      <c r="E81" s="333" t="s">
        <v>1275</v>
      </c>
      <c r="F81" s="321">
        <v>967950</v>
      </c>
      <c r="G81" s="353">
        <f t="shared" si="6"/>
        <v>967950</v>
      </c>
      <c r="H81" s="360">
        <f t="shared" ca="1" si="7"/>
        <v>807870</v>
      </c>
      <c r="I81" s="360">
        <f t="shared" si="8"/>
        <v>967950</v>
      </c>
      <c r="J81" s="296">
        <v>0</v>
      </c>
      <c r="K81" s="361">
        <f t="shared" ca="1" si="9"/>
        <v>807870</v>
      </c>
      <c r="L81" s="362">
        <f t="shared" ca="1" si="10"/>
        <v>0.83461955679528899</v>
      </c>
      <c r="M81" s="363">
        <f t="shared" ca="1" si="11"/>
        <v>160080</v>
      </c>
      <c r="N81" s="326" t="s">
        <v>1003</v>
      </c>
      <c r="O81" s="319" t="s">
        <v>1276</v>
      </c>
      <c r="P81" s="364"/>
      <c r="Q81" s="364"/>
    </row>
    <row r="82" spans="1:17" s="365" customFormat="1" ht="16.5" customHeight="1">
      <c r="A82" s="290" t="s">
        <v>57</v>
      </c>
      <c r="B82" s="317" t="s">
        <v>1262</v>
      </c>
      <c r="C82" s="292" t="s">
        <v>1280</v>
      </c>
      <c r="D82" s="319" t="s">
        <v>125</v>
      </c>
      <c r="E82" s="333" t="s">
        <v>1281</v>
      </c>
      <c r="F82" s="321">
        <v>529783</v>
      </c>
      <c r="G82" s="353">
        <f t="shared" si="6"/>
        <v>529783</v>
      </c>
      <c r="H82" s="360">
        <f t="shared" ca="1" si="7"/>
        <v>529783</v>
      </c>
      <c r="I82" s="360">
        <f t="shared" si="8"/>
        <v>529783</v>
      </c>
      <c r="J82" s="296">
        <v>0</v>
      </c>
      <c r="K82" s="361">
        <f t="shared" ca="1" si="9"/>
        <v>529783</v>
      </c>
      <c r="L82" s="362">
        <f t="shared" ca="1" si="10"/>
        <v>1</v>
      </c>
      <c r="M82" s="363">
        <f t="shared" ca="1" si="11"/>
        <v>0</v>
      </c>
      <c r="N82" s="326" t="s">
        <v>1144</v>
      </c>
      <c r="O82" s="319" t="s">
        <v>1214</v>
      </c>
      <c r="P82" s="364"/>
      <c r="Q82" s="364"/>
    </row>
    <row r="83" spans="1:17" s="365" customFormat="1" ht="16.5" customHeight="1">
      <c r="A83" s="290" t="s">
        <v>58</v>
      </c>
      <c r="B83" s="317" t="s">
        <v>1262</v>
      </c>
      <c r="C83" s="292" t="s">
        <v>1282</v>
      </c>
      <c r="D83" s="319" t="s">
        <v>126</v>
      </c>
      <c r="E83" s="333" t="s">
        <v>1283</v>
      </c>
      <c r="F83" s="321">
        <v>271230</v>
      </c>
      <c r="G83" s="353">
        <f t="shared" si="6"/>
        <v>271230</v>
      </c>
      <c r="H83" s="360">
        <f t="shared" ca="1" si="7"/>
        <v>271230</v>
      </c>
      <c r="I83" s="360">
        <f t="shared" si="8"/>
        <v>271230</v>
      </c>
      <c r="J83" s="296">
        <v>0</v>
      </c>
      <c r="K83" s="361">
        <f t="shared" ca="1" si="9"/>
        <v>271230</v>
      </c>
      <c r="L83" s="362">
        <f t="shared" ca="1" si="10"/>
        <v>1</v>
      </c>
      <c r="M83" s="363">
        <f t="shared" ca="1" si="11"/>
        <v>0</v>
      </c>
      <c r="N83" s="326" t="s">
        <v>1144</v>
      </c>
      <c r="O83" s="319" t="s">
        <v>1214</v>
      </c>
      <c r="P83" s="364"/>
      <c r="Q83" s="364"/>
    </row>
    <row r="84" spans="1:17" s="365" customFormat="1" ht="16.5" customHeight="1">
      <c r="A84" s="290" t="s">
        <v>66</v>
      </c>
      <c r="B84" s="317" t="s">
        <v>1284</v>
      </c>
      <c r="C84" s="292" t="s">
        <v>1285</v>
      </c>
      <c r="D84" s="319" t="s">
        <v>1286</v>
      </c>
      <c r="E84" s="333" t="s">
        <v>1287</v>
      </c>
      <c r="F84" s="321">
        <v>67500</v>
      </c>
      <c r="G84" s="295">
        <f t="shared" si="6"/>
        <v>67500</v>
      </c>
      <c r="H84" s="296">
        <f t="shared" ca="1" si="7"/>
        <v>67500</v>
      </c>
      <c r="I84" s="296">
        <f t="shared" si="8"/>
        <v>67500</v>
      </c>
      <c r="J84" s="296">
        <v>0</v>
      </c>
      <c r="K84" s="297">
        <f t="shared" ca="1" si="9"/>
        <v>67500</v>
      </c>
      <c r="L84" s="298">
        <f t="shared" ca="1" si="10"/>
        <v>1</v>
      </c>
      <c r="M84" s="299">
        <f t="shared" ca="1" si="11"/>
        <v>0</v>
      </c>
      <c r="N84" s="326" t="s">
        <v>1144</v>
      </c>
      <c r="O84" s="319" t="s">
        <v>1214</v>
      </c>
      <c r="P84" s="364"/>
      <c r="Q84" s="364"/>
    </row>
    <row r="85" spans="1:17" s="365" customFormat="1" ht="16.5" customHeight="1">
      <c r="A85" s="290" t="s">
        <v>60</v>
      </c>
      <c r="B85" s="317" t="s">
        <v>1288</v>
      </c>
      <c r="C85" s="292" t="s">
        <v>1289</v>
      </c>
      <c r="D85" s="319" t="s">
        <v>1290</v>
      </c>
      <c r="E85" s="333" t="s">
        <v>1291</v>
      </c>
      <c r="F85" s="321">
        <v>40000</v>
      </c>
      <c r="G85" s="295">
        <f t="shared" si="6"/>
        <v>40000</v>
      </c>
      <c r="H85" s="296">
        <f t="shared" ca="1" si="7"/>
        <v>40000</v>
      </c>
      <c r="I85" s="296">
        <f t="shared" si="8"/>
        <v>40000</v>
      </c>
      <c r="J85" s="296">
        <v>0</v>
      </c>
      <c r="K85" s="297">
        <f t="shared" ca="1" si="9"/>
        <v>40000</v>
      </c>
      <c r="L85" s="298">
        <f t="shared" ca="1" si="10"/>
        <v>1</v>
      </c>
      <c r="M85" s="299">
        <f t="shared" ca="1" si="11"/>
        <v>0</v>
      </c>
      <c r="N85" s="326" t="s">
        <v>1144</v>
      </c>
      <c r="O85" s="319" t="s">
        <v>1214</v>
      </c>
      <c r="P85" s="364"/>
      <c r="Q85" s="364"/>
    </row>
    <row r="86" spans="1:17" s="367" customFormat="1" ht="16.5" customHeight="1">
      <c r="A86" s="290" t="s">
        <v>62</v>
      </c>
      <c r="B86" s="317" t="s">
        <v>1292</v>
      </c>
      <c r="C86" s="292" t="s">
        <v>1293</v>
      </c>
      <c r="D86" s="319" t="s">
        <v>1294</v>
      </c>
      <c r="E86" s="333" t="s">
        <v>1229</v>
      </c>
      <c r="F86" s="321">
        <v>51516.56</v>
      </c>
      <c r="G86" s="295">
        <f t="shared" si="6"/>
        <v>51516.56</v>
      </c>
      <c r="H86" s="296">
        <f t="shared" ca="1" si="7"/>
        <v>51516.56</v>
      </c>
      <c r="I86" s="296">
        <f t="shared" si="8"/>
        <v>51516.56</v>
      </c>
      <c r="J86" s="296">
        <v>0</v>
      </c>
      <c r="K86" s="297">
        <f t="shared" ca="1" si="9"/>
        <v>51516.56</v>
      </c>
      <c r="L86" s="298">
        <f t="shared" ca="1" si="10"/>
        <v>1</v>
      </c>
      <c r="M86" s="299">
        <f t="shared" ca="1" si="11"/>
        <v>0</v>
      </c>
      <c r="N86" s="326" t="s">
        <v>1144</v>
      </c>
      <c r="O86" s="319" t="s">
        <v>1214</v>
      </c>
      <c r="P86" s="366"/>
      <c r="Q86" s="366"/>
    </row>
    <row r="87" spans="1:17" s="367" customFormat="1" ht="16.5" customHeight="1">
      <c r="A87" s="290" t="s">
        <v>61</v>
      </c>
      <c r="B87" s="317" t="s">
        <v>1295</v>
      </c>
      <c r="C87" s="292" t="s">
        <v>1296</v>
      </c>
      <c r="D87" s="319" t="s">
        <v>1297</v>
      </c>
      <c r="E87" s="333" t="s">
        <v>1229</v>
      </c>
      <c r="F87" s="321">
        <v>12515936.4</v>
      </c>
      <c r="G87" s="295">
        <f t="shared" si="6"/>
        <v>12515936.4</v>
      </c>
      <c r="H87" s="296">
        <f t="shared" ca="1" si="7"/>
        <v>12515936.4</v>
      </c>
      <c r="I87" s="296">
        <f t="shared" si="8"/>
        <v>12515936.4</v>
      </c>
      <c r="J87" s="296">
        <v>0</v>
      </c>
      <c r="K87" s="297">
        <f t="shared" ca="1" si="9"/>
        <v>12515936.4</v>
      </c>
      <c r="L87" s="298">
        <f t="shared" ca="1" si="10"/>
        <v>1</v>
      </c>
      <c r="M87" s="299">
        <f t="shared" ca="1" si="11"/>
        <v>0</v>
      </c>
      <c r="N87" s="326" t="s">
        <v>1144</v>
      </c>
      <c r="O87" s="319" t="s">
        <v>1214</v>
      </c>
      <c r="P87" s="366"/>
      <c r="Q87" s="366"/>
    </row>
    <row r="88" spans="1:17" s="367" customFormat="1" ht="16.5" customHeight="1">
      <c r="A88" s="290" t="s">
        <v>63</v>
      </c>
      <c r="B88" s="317" t="s">
        <v>1298</v>
      </c>
      <c r="C88" s="292" t="s">
        <v>1299</v>
      </c>
      <c r="D88" s="319" t="s">
        <v>1300</v>
      </c>
      <c r="E88" s="333" t="s">
        <v>1229</v>
      </c>
      <c r="F88" s="321">
        <v>1127572.3999999999</v>
      </c>
      <c r="G88" s="295">
        <f t="shared" si="6"/>
        <v>1127572.3999999999</v>
      </c>
      <c r="H88" s="296">
        <f t="shared" ca="1" si="7"/>
        <v>1127572.3999999999</v>
      </c>
      <c r="I88" s="296">
        <f t="shared" si="8"/>
        <v>1127572.3999999999</v>
      </c>
      <c r="J88" s="296">
        <v>0</v>
      </c>
      <c r="K88" s="297">
        <f t="shared" ca="1" si="9"/>
        <v>1127572.3999999999</v>
      </c>
      <c r="L88" s="298">
        <f t="shared" ca="1" si="10"/>
        <v>1</v>
      </c>
      <c r="M88" s="299">
        <f t="shared" ca="1" si="11"/>
        <v>0</v>
      </c>
      <c r="N88" s="326"/>
      <c r="O88" s="319"/>
      <c r="P88" s="366"/>
      <c r="Q88" s="366"/>
    </row>
    <row r="89" spans="1:17" s="367" customFormat="1" ht="16.5" customHeight="1">
      <c r="A89" s="290" t="s">
        <v>64</v>
      </c>
      <c r="B89" s="317" t="s">
        <v>1292</v>
      </c>
      <c r="C89" s="292" t="s">
        <v>1191</v>
      </c>
      <c r="D89" s="319" t="s">
        <v>1301</v>
      </c>
      <c r="E89" s="333" t="s">
        <v>1229</v>
      </c>
      <c r="F89" s="321">
        <v>45600</v>
      </c>
      <c r="G89" s="295">
        <f t="shared" ref="G89:G152" si="12">F89+J89</f>
        <v>45600</v>
      </c>
      <c r="H89" s="296">
        <f t="shared" ca="1" si="7"/>
        <v>45600</v>
      </c>
      <c r="I89" s="296">
        <f t="shared" si="8"/>
        <v>45600</v>
      </c>
      <c r="J89" s="296">
        <v>0</v>
      </c>
      <c r="K89" s="297">
        <f t="shared" ca="1" si="9"/>
        <v>45600</v>
      </c>
      <c r="L89" s="298">
        <f t="shared" ca="1" si="10"/>
        <v>1</v>
      </c>
      <c r="M89" s="299">
        <f t="shared" ca="1" si="11"/>
        <v>0</v>
      </c>
      <c r="N89" s="326" t="s">
        <v>1144</v>
      </c>
      <c r="O89" s="319" t="s">
        <v>1214</v>
      </c>
      <c r="P89" s="366"/>
      <c r="Q89" s="366"/>
    </row>
    <row r="90" spans="1:17" s="367" customFormat="1" ht="16.5" customHeight="1">
      <c r="A90" s="290" t="s">
        <v>65</v>
      </c>
      <c r="B90" s="317" t="s">
        <v>1292</v>
      </c>
      <c r="C90" s="292" t="s">
        <v>1191</v>
      </c>
      <c r="D90" s="319" t="s">
        <v>1302</v>
      </c>
      <c r="E90" s="333" t="s">
        <v>1229</v>
      </c>
      <c r="F90" s="321">
        <v>21600</v>
      </c>
      <c r="G90" s="295">
        <f t="shared" si="12"/>
        <v>21600</v>
      </c>
      <c r="H90" s="296">
        <f t="shared" ca="1" si="7"/>
        <v>21600</v>
      </c>
      <c r="I90" s="296">
        <f t="shared" si="8"/>
        <v>21600</v>
      </c>
      <c r="J90" s="296">
        <v>0</v>
      </c>
      <c r="K90" s="297">
        <f t="shared" ca="1" si="9"/>
        <v>21600</v>
      </c>
      <c r="L90" s="298">
        <f t="shared" ca="1" si="10"/>
        <v>1</v>
      </c>
      <c r="M90" s="299">
        <f t="shared" ca="1" si="11"/>
        <v>0</v>
      </c>
      <c r="N90" s="326" t="s">
        <v>1144</v>
      </c>
      <c r="O90" s="319" t="s">
        <v>1214</v>
      </c>
      <c r="P90" s="366"/>
      <c r="Q90" s="366"/>
    </row>
    <row r="91" spans="1:17" s="369" customFormat="1" ht="16.5" customHeight="1">
      <c r="A91" s="290" t="s">
        <v>127</v>
      </c>
      <c r="B91" s="291" t="s">
        <v>1093</v>
      </c>
      <c r="C91" s="292" t="s">
        <v>1191</v>
      </c>
      <c r="D91" s="293" t="s">
        <v>1303</v>
      </c>
      <c r="E91" s="337" t="s">
        <v>1304</v>
      </c>
      <c r="F91" s="295">
        <v>39911.519999999997</v>
      </c>
      <c r="G91" s="295">
        <f t="shared" si="12"/>
        <v>39911.519999999997</v>
      </c>
      <c r="H91" s="296">
        <f t="shared" ca="1" si="7"/>
        <v>39911.519999999997</v>
      </c>
      <c r="I91" s="296">
        <f t="shared" si="8"/>
        <v>39911.519999999997</v>
      </c>
      <c r="J91" s="296">
        <v>0</v>
      </c>
      <c r="K91" s="297">
        <f t="shared" ca="1" si="9"/>
        <v>39911.519999999997</v>
      </c>
      <c r="L91" s="298">
        <f t="shared" ca="1" si="10"/>
        <v>1</v>
      </c>
      <c r="M91" s="299">
        <f t="shared" ca="1" si="11"/>
        <v>0</v>
      </c>
      <c r="N91" s="300"/>
      <c r="O91" s="293" t="s">
        <v>1214</v>
      </c>
      <c r="P91" s="368"/>
      <c r="Q91" s="368"/>
    </row>
    <row r="92" spans="1:17" s="367" customFormat="1" ht="16.5" customHeight="1">
      <c r="A92" s="290" t="s">
        <v>68</v>
      </c>
      <c r="B92" s="317" t="s">
        <v>1305</v>
      </c>
      <c r="C92" s="292" t="s">
        <v>1306</v>
      </c>
      <c r="D92" s="319" t="s">
        <v>1307</v>
      </c>
      <c r="E92" s="333" t="s">
        <v>1308</v>
      </c>
      <c r="F92" s="321">
        <v>50000</v>
      </c>
      <c r="G92" s="295">
        <f t="shared" si="12"/>
        <v>50000</v>
      </c>
      <c r="H92" s="296">
        <f t="shared" ca="1" si="7"/>
        <v>50000</v>
      </c>
      <c r="I92" s="296">
        <f t="shared" si="8"/>
        <v>50000</v>
      </c>
      <c r="J92" s="296">
        <v>0</v>
      </c>
      <c r="K92" s="297">
        <f t="shared" ca="1" si="9"/>
        <v>50000</v>
      </c>
      <c r="L92" s="298">
        <f t="shared" ca="1" si="10"/>
        <v>1</v>
      </c>
      <c r="M92" s="299">
        <f t="shared" ca="1" si="11"/>
        <v>0</v>
      </c>
      <c r="N92" s="326" t="s">
        <v>1144</v>
      </c>
      <c r="O92" s="319" t="s">
        <v>1214</v>
      </c>
      <c r="P92" s="366"/>
      <c r="Q92" s="366"/>
    </row>
    <row r="93" spans="1:17" s="367" customFormat="1" ht="16.5" customHeight="1">
      <c r="A93" s="290" t="s">
        <v>1309</v>
      </c>
      <c r="B93" s="317" t="s">
        <v>1310</v>
      </c>
      <c r="C93" s="292" t="s">
        <v>1311</v>
      </c>
      <c r="D93" s="319" t="s">
        <v>1312</v>
      </c>
      <c r="E93" s="333" t="s">
        <v>1229</v>
      </c>
      <c r="F93" s="321">
        <v>300000</v>
      </c>
      <c r="G93" s="295">
        <f t="shared" si="12"/>
        <v>300000</v>
      </c>
      <c r="H93" s="296">
        <f t="shared" ca="1" si="7"/>
        <v>300000</v>
      </c>
      <c r="I93" s="296">
        <f t="shared" si="8"/>
        <v>300000</v>
      </c>
      <c r="J93" s="296">
        <v>0</v>
      </c>
      <c r="K93" s="297">
        <f t="shared" ca="1" si="9"/>
        <v>300000</v>
      </c>
      <c r="L93" s="298">
        <f t="shared" ca="1" si="10"/>
        <v>1</v>
      </c>
      <c r="M93" s="299">
        <f t="shared" ca="1" si="11"/>
        <v>0</v>
      </c>
      <c r="N93" s="326" t="s">
        <v>1144</v>
      </c>
      <c r="O93" s="319" t="s">
        <v>1214</v>
      </c>
      <c r="P93" s="366"/>
      <c r="Q93" s="366"/>
    </row>
    <row r="94" spans="1:17" s="372" customFormat="1" ht="16.5" customHeight="1">
      <c r="A94" s="370" t="s">
        <v>1313</v>
      </c>
      <c r="B94" s="341" t="s">
        <v>1310</v>
      </c>
      <c r="C94" s="342" t="s">
        <v>2364</v>
      </c>
      <c r="D94" s="343" t="s">
        <v>1315</v>
      </c>
      <c r="E94" s="344" t="s">
        <v>1229</v>
      </c>
      <c r="F94" s="345">
        <v>0</v>
      </c>
      <c r="G94" s="345">
        <f t="shared" si="12"/>
        <v>0</v>
      </c>
      <c r="H94" s="346">
        <f t="shared" ca="1" si="7"/>
        <v>0</v>
      </c>
      <c r="I94" s="346">
        <f t="shared" si="8"/>
        <v>0</v>
      </c>
      <c r="J94" s="346">
        <v>0</v>
      </c>
      <c r="K94" s="347">
        <f t="shared" ca="1" si="9"/>
        <v>0</v>
      </c>
      <c r="L94" s="348" t="e">
        <f t="shared" ca="1" si="10"/>
        <v>#DIV/0!</v>
      </c>
      <c r="M94" s="349">
        <f t="shared" ca="1" si="11"/>
        <v>0</v>
      </c>
      <c r="N94" s="350" t="s">
        <v>1144</v>
      </c>
      <c r="O94" s="343" t="s">
        <v>1214</v>
      </c>
      <c r="P94" s="371"/>
      <c r="Q94" s="371"/>
    </row>
    <row r="95" spans="1:17" s="372" customFormat="1" ht="16.5" customHeight="1">
      <c r="A95" s="370" t="s">
        <v>1316</v>
      </c>
      <c r="B95" s="341" t="s">
        <v>1310</v>
      </c>
      <c r="C95" s="342" t="s">
        <v>1314</v>
      </c>
      <c r="D95" s="343" t="s">
        <v>1317</v>
      </c>
      <c r="E95" s="344" t="s">
        <v>1229</v>
      </c>
      <c r="F95" s="345">
        <v>0</v>
      </c>
      <c r="G95" s="345">
        <f t="shared" si="12"/>
        <v>0</v>
      </c>
      <c r="H95" s="346">
        <f t="shared" ca="1" si="7"/>
        <v>0</v>
      </c>
      <c r="I95" s="346">
        <f t="shared" si="8"/>
        <v>0</v>
      </c>
      <c r="J95" s="346">
        <v>0</v>
      </c>
      <c r="K95" s="347">
        <f t="shared" ca="1" si="9"/>
        <v>0</v>
      </c>
      <c r="L95" s="348" t="e">
        <f t="shared" ca="1" si="10"/>
        <v>#DIV/0!</v>
      </c>
      <c r="M95" s="349">
        <f t="shared" ca="1" si="11"/>
        <v>0</v>
      </c>
      <c r="N95" s="350" t="s">
        <v>1144</v>
      </c>
      <c r="O95" s="343" t="s">
        <v>1214</v>
      </c>
      <c r="P95" s="371"/>
      <c r="Q95" s="371"/>
    </row>
    <row r="96" spans="1:17" s="367" customFormat="1" ht="16.5" customHeight="1">
      <c r="A96" s="290" t="s">
        <v>73</v>
      </c>
      <c r="B96" s="317" t="s">
        <v>1310</v>
      </c>
      <c r="C96" s="292" t="s">
        <v>1318</v>
      </c>
      <c r="D96" s="319" t="s">
        <v>1319</v>
      </c>
      <c r="E96" s="333" t="s">
        <v>1320</v>
      </c>
      <c r="F96" s="321">
        <v>150000</v>
      </c>
      <c r="G96" s="295">
        <f t="shared" si="12"/>
        <v>150000</v>
      </c>
      <c r="H96" s="296">
        <f t="shared" ca="1" si="7"/>
        <v>120000</v>
      </c>
      <c r="I96" s="296">
        <f t="shared" si="8"/>
        <v>150000</v>
      </c>
      <c r="J96" s="296">
        <v>0</v>
      </c>
      <c r="K96" s="297">
        <f t="shared" ca="1" si="9"/>
        <v>120000</v>
      </c>
      <c r="L96" s="298">
        <f t="shared" ca="1" si="10"/>
        <v>0.8</v>
      </c>
      <c r="M96" s="299">
        <f t="shared" ca="1" si="11"/>
        <v>30000</v>
      </c>
      <c r="N96" s="326" t="s">
        <v>1144</v>
      </c>
      <c r="O96" s="319"/>
      <c r="P96" s="366"/>
      <c r="Q96" s="366"/>
    </row>
    <row r="97" spans="1:17" s="367" customFormat="1" ht="16.5" customHeight="1">
      <c r="A97" s="290" t="s">
        <v>67</v>
      </c>
      <c r="B97" s="317" t="s">
        <v>1310</v>
      </c>
      <c r="C97" s="292" t="s">
        <v>1191</v>
      </c>
      <c r="D97" s="319" t="s">
        <v>1321</v>
      </c>
      <c r="E97" s="333" t="s">
        <v>1229</v>
      </c>
      <c r="F97" s="321">
        <v>12400</v>
      </c>
      <c r="G97" s="295">
        <f t="shared" si="12"/>
        <v>12400</v>
      </c>
      <c r="H97" s="296">
        <f t="shared" ca="1" si="7"/>
        <v>12400</v>
      </c>
      <c r="I97" s="296">
        <f t="shared" si="8"/>
        <v>12400</v>
      </c>
      <c r="J97" s="296">
        <v>0</v>
      </c>
      <c r="K97" s="297">
        <f t="shared" ca="1" si="9"/>
        <v>12400</v>
      </c>
      <c r="L97" s="298">
        <f t="shared" ca="1" si="10"/>
        <v>1</v>
      </c>
      <c r="M97" s="299">
        <f t="shared" ca="1" si="11"/>
        <v>0</v>
      </c>
      <c r="N97" s="326" t="s">
        <v>1144</v>
      </c>
      <c r="O97" s="319" t="s">
        <v>1214</v>
      </c>
      <c r="P97" s="366"/>
      <c r="Q97" s="366"/>
    </row>
    <row r="98" spans="1:17" s="367" customFormat="1" ht="16.5" customHeight="1">
      <c r="A98" s="290" t="s">
        <v>81</v>
      </c>
      <c r="B98" s="317" t="s">
        <v>1322</v>
      </c>
      <c r="C98" s="292" t="s">
        <v>1133</v>
      </c>
      <c r="D98" s="319" t="s">
        <v>1323</v>
      </c>
      <c r="E98" s="333" t="s">
        <v>1126</v>
      </c>
      <c r="F98" s="321">
        <v>450000</v>
      </c>
      <c r="G98" s="295">
        <f t="shared" si="12"/>
        <v>450000</v>
      </c>
      <c r="H98" s="296">
        <f t="shared" ca="1" si="7"/>
        <v>135000</v>
      </c>
      <c r="I98" s="296">
        <f t="shared" si="8"/>
        <v>450000</v>
      </c>
      <c r="J98" s="296">
        <v>0</v>
      </c>
      <c r="K98" s="297">
        <f t="shared" ca="1" si="9"/>
        <v>135000</v>
      </c>
      <c r="L98" s="298">
        <f t="shared" ca="1" si="10"/>
        <v>0.3</v>
      </c>
      <c r="M98" s="299">
        <f t="shared" ca="1" si="11"/>
        <v>315000</v>
      </c>
      <c r="N98" s="326" t="s">
        <v>1003</v>
      </c>
      <c r="O98" s="319"/>
      <c r="P98" s="366"/>
      <c r="Q98" s="366"/>
    </row>
    <row r="99" spans="1:17" s="369" customFormat="1" ht="16.5" customHeight="1">
      <c r="A99" s="290" t="s">
        <v>128</v>
      </c>
      <c r="B99" s="317" t="s">
        <v>1324</v>
      </c>
      <c r="C99" s="292" t="s">
        <v>1133</v>
      </c>
      <c r="D99" s="293" t="s">
        <v>1325</v>
      </c>
      <c r="E99" s="337" t="s">
        <v>1326</v>
      </c>
      <c r="F99" s="308">
        <v>0</v>
      </c>
      <c r="G99" s="295">
        <f t="shared" si="12"/>
        <v>0</v>
      </c>
      <c r="H99" s="296">
        <f t="shared" ca="1" si="7"/>
        <v>0</v>
      </c>
      <c r="I99" s="296">
        <f t="shared" si="8"/>
        <v>0</v>
      </c>
      <c r="J99" s="296">
        <v>0</v>
      </c>
      <c r="K99" s="297">
        <f t="shared" ca="1" si="9"/>
        <v>0</v>
      </c>
      <c r="L99" s="298" t="e">
        <f t="shared" ca="1" si="10"/>
        <v>#DIV/0!</v>
      </c>
      <c r="M99" s="299">
        <f t="shared" ca="1" si="11"/>
        <v>0</v>
      </c>
      <c r="N99" s="300" t="s">
        <v>1073</v>
      </c>
      <c r="O99" s="293" t="s">
        <v>1327</v>
      </c>
      <c r="P99" s="368"/>
      <c r="Q99" s="368"/>
    </row>
    <row r="100" spans="1:17" s="367" customFormat="1" ht="16.5" customHeight="1">
      <c r="A100" s="290" t="s">
        <v>69</v>
      </c>
      <c r="B100" s="291" t="s">
        <v>1328</v>
      </c>
      <c r="C100" s="292" t="s">
        <v>1306</v>
      </c>
      <c r="D100" s="319" t="s">
        <v>1329</v>
      </c>
      <c r="E100" s="333" t="s">
        <v>1201</v>
      </c>
      <c r="F100" s="321">
        <v>9505</v>
      </c>
      <c r="G100" s="295">
        <f t="shared" si="12"/>
        <v>9505</v>
      </c>
      <c r="H100" s="296">
        <f t="shared" ca="1" si="7"/>
        <v>9505</v>
      </c>
      <c r="I100" s="296">
        <f t="shared" si="8"/>
        <v>9505</v>
      </c>
      <c r="J100" s="296">
        <v>0</v>
      </c>
      <c r="K100" s="297">
        <f t="shared" ca="1" si="9"/>
        <v>9505</v>
      </c>
      <c r="L100" s="298">
        <f t="shared" ca="1" si="10"/>
        <v>1</v>
      </c>
      <c r="M100" s="299">
        <f t="shared" ca="1" si="11"/>
        <v>0</v>
      </c>
      <c r="N100" s="326" t="s">
        <v>1144</v>
      </c>
      <c r="O100" s="319" t="s">
        <v>1214</v>
      </c>
      <c r="P100" s="366"/>
      <c r="Q100" s="366"/>
    </row>
    <row r="101" spans="1:17" s="367" customFormat="1" ht="16.5" customHeight="1">
      <c r="A101" s="290" t="s">
        <v>129</v>
      </c>
      <c r="B101" s="317" t="s">
        <v>1330</v>
      </c>
      <c r="C101" s="292" t="s">
        <v>1273</v>
      </c>
      <c r="D101" s="319" t="s">
        <v>1331</v>
      </c>
      <c r="E101" s="333" t="s">
        <v>1332</v>
      </c>
      <c r="F101" s="321">
        <v>150000</v>
      </c>
      <c r="G101" s="295">
        <f t="shared" si="12"/>
        <v>150000</v>
      </c>
      <c r="H101" s="296">
        <f t="shared" ca="1" si="7"/>
        <v>0</v>
      </c>
      <c r="I101" s="296">
        <f t="shared" si="8"/>
        <v>150000</v>
      </c>
      <c r="J101" s="296">
        <v>0</v>
      </c>
      <c r="K101" s="297">
        <f t="shared" ca="1" si="9"/>
        <v>0</v>
      </c>
      <c r="L101" s="298">
        <f t="shared" ca="1" si="10"/>
        <v>0</v>
      </c>
      <c r="M101" s="299">
        <f t="shared" ca="1" si="11"/>
        <v>150000</v>
      </c>
      <c r="N101" s="326" t="s">
        <v>1003</v>
      </c>
      <c r="O101" s="319" t="s">
        <v>1333</v>
      </c>
      <c r="P101" s="366"/>
      <c r="Q101" s="366"/>
    </row>
    <row r="102" spans="1:17" s="372" customFormat="1" ht="16.5" customHeight="1">
      <c r="A102" s="370" t="s">
        <v>1334</v>
      </c>
      <c r="B102" s="341" t="s">
        <v>1330</v>
      </c>
      <c r="C102" s="342" t="s">
        <v>1314</v>
      </c>
      <c r="D102" s="373" t="s">
        <v>1335</v>
      </c>
      <c r="E102" s="344" t="s">
        <v>1308</v>
      </c>
      <c r="F102" s="345">
        <v>0</v>
      </c>
      <c r="G102" s="345">
        <f t="shared" si="12"/>
        <v>0</v>
      </c>
      <c r="H102" s="346">
        <f t="shared" ca="1" si="7"/>
        <v>0</v>
      </c>
      <c r="I102" s="346">
        <f t="shared" si="8"/>
        <v>0</v>
      </c>
      <c r="J102" s="346">
        <v>0</v>
      </c>
      <c r="K102" s="347">
        <f t="shared" ca="1" si="9"/>
        <v>0</v>
      </c>
      <c r="L102" s="348" t="e">
        <f t="shared" ca="1" si="10"/>
        <v>#DIV/0!</v>
      </c>
      <c r="M102" s="349">
        <f t="shared" ca="1" si="11"/>
        <v>0</v>
      </c>
      <c r="N102" s="350" t="s">
        <v>1144</v>
      </c>
      <c r="O102" s="343"/>
      <c r="P102" s="371"/>
      <c r="Q102" s="371"/>
    </row>
    <row r="103" spans="1:17" s="367" customFormat="1" ht="16.5" customHeight="1">
      <c r="A103" s="290" t="s">
        <v>71</v>
      </c>
      <c r="B103" s="317" t="s">
        <v>1336</v>
      </c>
      <c r="C103" s="292" t="s">
        <v>1337</v>
      </c>
      <c r="D103" s="319" t="s">
        <v>1338</v>
      </c>
      <c r="E103" s="333" t="s">
        <v>1339</v>
      </c>
      <c r="F103" s="321">
        <v>80518.990000000005</v>
      </c>
      <c r="G103" s="295">
        <f t="shared" si="12"/>
        <v>80518.990000000005</v>
      </c>
      <c r="H103" s="296">
        <f t="shared" ca="1" si="7"/>
        <v>80518.990000000005</v>
      </c>
      <c r="I103" s="296">
        <f t="shared" si="8"/>
        <v>80518.990000000005</v>
      </c>
      <c r="J103" s="296">
        <v>0</v>
      </c>
      <c r="K103" s="297">
        <f t="shared" ca="1" si="9"/>
        <v>80518.990000000005</v>
      </c>
      <c r="L103" s="298">
        <f t="shared" ca="1" si="10"/>
        <v>1</v>
      </c>
      <c r="M103" s="299">
        <f t="shared" ca="1" si="11"/>
        <v>0</v>
      </c>
      <c r="N103" s="326"/>
      <c r="O103" s="319" t="s">
        <v>1340</v>
      </c>
      <c r="P103" s="366"/>
      <c r="Q103" s="366"/>
    </row>
    <row r="104" spans="1:17" s="367" customFormat="1" ht="16.5" customHeight="1">
      <c r="A104" s="290" t="s">
        <v>72</v>
      </c>
      <c r="B104" s="317" t="s">
        <v>1341</v>
      </c>
      <c r="C104" s="292" t="s">
        <v>1342</v>
      </c>
      <c r="D104" s="319" t="s">
        <v>1742</v>
      </c>
      <c r="E104" s="333" t="s">
        <v>1343</v>
      </c>
      <c r="F104" s="321">
        <v>700000</v>
      </c>
      <c r="G104" s="374">
        <f t="shared" si="12"/>
        <v>737340</v>
      </c>
      <c r="H104" s="296">
        <f t="shared" ca="1" si="7"/>
        <v>737340</v>
      </c>
      <c r="I104" s="296">
        <f t="shared" si="8"/>
        <v>737340</v>
      </c>
      <c r="J104" s="296">
        <f>33290+4050</f>
        <v>37340</v>
      </c>
      <c r="K104" s="297">
        <f t="shared" ca="1" si="9"/>
        <v>737340</v>
      </c>
      <c r="L104" s="298">
        <f t="shared" ca="1" si="10"/>
        <v>1</v>
      </c>
      <c r="M104" s="299">
        <f t="shared" ca="1" si="11"/>
        <v>0</v>
      </c>
      <c r="N104" s="326" t="s">
        <v>1073</v>
      </c>
      <c r="O104" s="319"/>
      <c r="P104" s="366"/>
      <c r="Q104" s="366"/>
    </row>
    <row r="105" spans="1:17" s="367" customFormat="1" ht="18" customHeight="1">
      <c r="A105" s="290" t="s">
        <v>84</v>
      </c>
      <c r="B105" s="317" t="s">
        <v>1344</v>
      </c>
      <c r="C105" s="292" t="s">
        <v>1342</v>
      </c>
      <c r="D105" s="319" t="s">
        <v>1345</v>
      </c>
      <c r="E105" s="333" t="s">
        <v>1346</v>
      </c>
      <c r="F105" s="321">
        <v>347800</v>
      </c>
      <c r="G105" s="295">
        <f t="shared" si="12"/>
        <v>347800</v>
      </c>
      <c r="H105" s="296">
        <f t="shared" ca="1" si="7"/>
        <v>137300</v>
      </c>
      <c r="I105" s="296">
        <f t="shared" si="8"/>
        <v>347800</v>
      </c>
      <c r="J105" s="296">
        <v>0</v>
      </c>
      <c r="K105" s="297">
        <f t="shared" ca="1" si="9"/>
        <v>137300</v>
      </c>
      <c r="L105" s="298">
        <f t="shared" ca="1" si="10"/>
        <v>0.39476710753306499</v>
      </c>
      <c r="M105" s="299">
        <f t="shared" ca="1" si="11"/>
        <v>210500</v>
      </c>
      <c r="N105" s="326"/>
      <c r="O105" s="319" t="s">
        <v>1347</v>
      </c>
      <c r="P105" s="366"/>
      <c r="Q105" s="366"/>
    </row>
    <row r="106" spans="1:17" s="367" customFormat="1" ht="16.5" customHeight="1">
      <c r="A106" s="290" t="s">
        <v>1348</v>
      </c>
      <c r="B106" s="317" t="s">
        <v>1344</v>
      </c>
      <c r="C106" s="292" t="s">
        <v>1349</v>
      </c>
      <c r="D106" s="319" t="s">
        <v>1350</v>
      </c>
      <c r="E106" s="333" t="s">
        <v>1351</v>
      </c>
      <c r="F106" s="321">
        <v>2050000</v>
      </c>
      <c r="G106" s="295">
        <f t="shared" si="12"/>
        <v>2050000</v>
      </c>
      <c r="H106" s="296">
        <f t="shared" ca="1" si="7"/>
        <v>400000</v>
      </c>
      <c r="I106" s="296">
        <f t="shared" si="8"/>
        <v>2050000</v>
      </c>
      <c r="J106" s="296">
        <v>0</v>
      </c>
      <c r="K106" s="297">
        <f t="shared" ca="1" si="9"/>
        <v>400000</v>
      </c>
      <c r="L106" s="298">
        <f t="shared" ca="1" si="10"/>
        <v>0.1951219512195122</v>
      </c>
      <c r="M106" s="299">
        <f t="shared" ca="1" si="11"/>
        <v>1650000</v>
      </c>
      <c r="N106" s="326"/>
      <c r="O106" s="319" t="s">
        <v>1352</v>
      </c>
      <c r="P106" s="366"/>
      <c r="Q106" s="366"/>
    </row>
    <row r="107" spans="1:17" s="367" customFormat="1" ht="16.5" customHeight="1">
      <c r="A107" s="290" t="s">
        <v>130</v>
      </c>
      <c r="B107" s="317" t="s">
        <v>1353</v>
      </c>
      <c r="C107" s="292" t="s">
        <v>1354</v>
      </c>
      <c r="D107" s="319" t="s">
        <v>1355</v>
      </c>
      <c r="E107" s="333" t="s">
        <v>1356</v>
      </c>
      <c r="F107" s="321">
        <v>83103</v>
      </c>
      <c r="G107" s="295">
        <f t="shared" si="12"/>
        <v>83103</v>
      </c>
      <c r="H107" s="296">
        <f t="shared" ca="1" si="7"/>
        <v>0</v>
      </c>
      <c r="I107" s="296">
        <f t="shared" si="8"/>
        <v>83103</v>
      </c>
      <c r="J107" s="296">
        <v>0</v>
      </c>
      <c r="K107" s="297">
        <f t="shared" ca="1" si="9"/>
        <v>0</v>
      </c>
      <c r="L107" s="298">
        <f t="shared" ca="1" si="10"/>
        <v>0</v>
      </c>
      <c r="M107" s="299">
        <f t="shared" ca="1" si="11"/>
        <v>83103</v>
      </c>
      <c r="N107" s="326" t="s">
        <v>1003</v>
      </c>
      <c r="O107" s="319" t="s">
        <v>1357</v>
      </c>
      <c r="P107" s="366"/>
      <c r="Q107" s="366"/>
    </row>
    <row r="108" spans="1:17" s="367" customFormat="1" ht="16.5" customHeight="1">
      <c r="A108" s="290" t="s">
        <v>75</v>
      </c>
      <c r="B108" s="317" t="s">
        <v>1353</v>
      </c>
      <c r="C108" s="292" t="s">
        <v>1155</v>
      </c>
      <c r="D108" s="319" t="s">
        <v>1358</v>
      </c>
      <c r="E108" s="333" t="s">
        <v>1359</v>
      </c>
      <c r="F108" s="321">
        <v>140000</v>
      </c>
      <c r="G108" s="295">
        <f t="shared" si="12"/>
        <v>140000</v>
      </c>
      <c r="H108" s="296">
        <f t="shared" ca="1" si="7"/>
        <v>140000</v>
      </c>
      <c r="I108" s="296">
        <f t="shared" si="8"/>
        <v>140000</v>
      </c>
      <c r="J108" s="296">
        <v>0</v>
      </c>
      <c r="K108" s="297">
        <f t="shared" ca="1" si="9"/>
        <v>140000</v>
      </c>
      <c r="L108" s="298">
        <f t="shared" ca="1" si="10"/>
        <v>1</v>
      </c>
      <c r="M108" s="299">
        <f t="shared" ca="1" si="11"/>
        <v>0</v>
      </c>
      <c r="N108" s="326" t="s">
        <v>1021</v>
      </c>
      <c r="O108" s="319" t="s">
        <v>1360</v>
      </c>
      <c r="P108" s="366"/>
      <c r="Q108" s="366"/>
    </row>
    <row r="109" spans="1:17" s="367" customFormat="1" ht="16.5" customHeight="1">
      <c r="A109" s="290" t="s">
        <v>82</v>
      </c>
      <c r="B109" s="317" t="s">
        <v>1361</v>
      </c>
      <c r="C109" s="292" t="s">
        <v>1129</v>
      </c>
      <c r="D109" s="375" t="s">
        <v>131</v>
      </c>
      <c r="E109" s="376" t="s">
        <v>1362</v>
      </c>
      <c r="F109" s="377">
        <v>3100000</v>
      </c>
      <c r="G109" s="295">
        <f t="shared" si="12"/>
        <v>3100000</v>
      </c>
      <c r="H109" s="296">
        <f t="shared" ca="1" si="7"/>
        <v>1950000</v>
      </c>
      <c r="I109" s="296">
        <f t="shared" si="8"/>
        <v>3100000</v>
      </c>
      <c r="J109" s="296">
        <v>0</v>
      </c>
      <c r="K109" s="297">
        <f t="shared" ca="1" si="9"/>
        <v>1950000</v>
      </c>
      <c r="L109" s="298">
        <f t="shared" ca="1" si="10"/>
        <v>0.62903225806451613</v>
      </c>
      <c r="M109" s="299">
        <f t="shared" ca="1" si="11"/>
        <v>1150000</v>
      </c>
      <c r="N109" s="326"/>
      <c r="O109" s="319" t="s">
        <v>1363</v>
      </c>
      <c r="P109" s="366"/>
      <c r="Q109" s="366"/>
    </row>
    <row r="110" spans="1:17" s="367" customFormat="1" ht="16.5" customHeight="1">
      <c r="A110" s="378" t="s">
        <v>77</v>
      </c>
      <c r="B110" s="317"/>
      <c r="C110" s="292"/>
      <c r="D110" s="319" t="s">
        <v>1364</v>
      </c>
      <c r="E110" s="333" t="s">
        <v>1365</v>
      </c>
      <c r="F110" s="321">
        <v>110000000</v>
      </c>
      <c r="G110" s="295">
        <f t="shared" si="12"/>
        <v>110000000</v>
      </c>
      <c r="H110" s="296">
        <f t="shared" ca="1" si="7"/>
        <v>33863610</v>
      </c>
      <c r="I110" s="296">
        <f t="shared" si="8"/>
        <v>110000000</v>
      </c>
      <c r="J110" s="296">
        <v>0</v>
      </c>
      <c r="K110" s="297">
        <f t="shared" ca="1" si="9"/>
        <v>33863610</v>
      </c>
      <c r="L110" s="298">
        <f t="shared" ca="1" si="10"/>
        <v>0.30785099999999999</v>
      </c>
      <c r="M110" s="299">
        <f t="shared" ca="1" si="11"/>
        <v>76136390</v>
      </c>
      <c r="N110" s="326"/>
      <c r="O110" s="319"/>
      <c r="P110" s="366"/>
      <c r="Q110" s="366"/>
    </row>
    <row r="111" spans="1:17" s="367" customFormat="1" ht="20.25" customHeight="1">
      <c r="A111" s="313" t="s">
        <v>1366</v>
      </c>
      <c r="B111" s="317" t="s">
        <v>1223</v>
      </c>
      <c r="C111" s="292" t="s">
        <v>1349</v>
      </c>
      <c r="D111" s="375" t="s">
        <v>1367</v>
      </c>
      <c r="E111" s="376" t="s">
        <v>1368</v>
      </c>
      <c r="F111" s="377">
        <v>6801387</v>
      </c>
      <c r="G111" s="295">
        <f t="shared" si="12"/>
        <v>6801387</v>
      </c>
      <c r="H111" s="296">
        <f t="shared" ca="1" si="7"/>
        <v>1232374</v>
      </c>
      <c r="I111" s="296">
        <f t="shared" si="8"/>
        <v>6801387</v>
      </c>
      <c r="J111" s="296">
        <v>0</v>
      </c>
      <c r="K111" s="297">
        <f t="shared" ca="1" si="9"/>
        <v>1232374</v>
      </c>
      <c r="L111" s="298">
        <f t="shared" ca="1" si="10"/>
        <v>0.18119451223698932</v>
      </c>
      <c r="M111" s="299">
        <f t="shared" ca="1" si="11"/>
        <v>5569013</v>
      </c>
      <c r="N111" s="326"/>
      <c r="O111" s="319" t="s">
        <v>1369</v>
      </c>
      <c r="P111" s="366"/>
      <c r="Q111" s="366"/>
    </row>
    <row r="112" spans="1:17" s="367" customFormat="1" ht="17.25" customHeight="1">
      <c r="A112" s="313" t="s">
        <v>1370</v>
      </c>
      <c r="B112" s="317" t="s">
        <v>1251</v>
      </c>
      <c r="C112" s="292" t="s">
        <v>1371</v>
      </c>
      <c r="D112" s="379" t="s">
        <v>1372</v>
      </c>
      <c r="E112" s="380" t="s">
        <v>1308</v>
      </c>
      <c r="F112" s="381">
        <v>0</v>
      </c>
      <c r="G112" s="295">
        <f t="shared" si="12"/>
        <v>0</v>
      </c>
      <c r="H112" s="296">
        <f t="shared" ca="1" si="7"/>
        <v>0</v>
      </c>
      <c r="I112" s="296">
        <f t="shared" si="8"/>
        <v>0</v>
      </c>
      <c r="J112" s="296">
        <v>0</v>
      </c>
      <c r="K112" s="297">
        <f t="shared" ca="1" si="9"/>
        <v>0</v>
      </c>
      <c r="L112" s="298" t="e">
        <f t="shared" ca="1" si="10"/>
        <v>#DIV/0!</v>
      </c>
      <c r="M112" s="299">
        <f t="shared" ca="1" si="11"/>
        <v>0</v>
      </c>
      <c r="N112" s="326"/>
      <c r="O112" s="319" t="s">
        <v>1373</v>
      </c>
      <c r="P112" s="366"/>
      <c r="Q112" s="366"/>
    </row>
    <row r="113" spans="1:17" s="367" customFormat="1" ht="17.25" customHeight="1">
      <c r="A113" s="313" t="s">
        <v>89</v>
      </c>
      <c r="B113" s="317" t="s">
        <v>1374</v>
      </c>
      <c r="C113" s="292" t="s">
        <v>1375</v>
      </c>
      <c r="D113" s="379" t="s">
        <v>1376</v>
      </c>
      <c r="E113" s="380" t="s">
        <v>1281</v>
      </c>
      <c r="F113" s="381">
        <v>1888940.46</v>
      </c>
      <c r="G113" s="295">
        <f t="shared" si="12"/>
        <v>1888940.46</v>
      </c>
      <c r="H113" s="296">
        <f t="shared" ca="1" si="7"/>
        <v>650000</v>
      </c>
      <c r="I113" s="296">
        <f t="shared" si="8"/>
        <v>1888940.46</v>
      </c>
      <c r="J113" s="296">
        <v>0</v>
      </c>
      <c r="K113" s="297">
        <f t="shared" ca="1" si="9"/>
        <v>650000</v>
      </c>
      <c r="L113" s="298">
        <f t="shared" ca="1" si="10"/>
        <v>0.34410825209387491</v>
      </c>
      <c r="M113" s="299">
        <f t="shared" ca="1" si="11"/>
        <v>1238940.46</v>
      </c>
      <c r="N113" s="326"/>
      <c r="O113" s="319" t="s">
        <v>1377</v>
      </c>
      <c r="P113" s="366"/>
      <c r="Q113" s="366"/>
    </row>
    <row r="114" spans="1:17" s="367" customFormat="1" ht="17.25" customHeight="1">
      <c r="A114" s="313" t="s">
        <v>132</v>
      </c>
      <c r="B114" s="317" t="s">
        <v>1378</v>
      </c>
      <c r="C114" s="292" t="s">
        <v>1379</v>
      </c>
      <c r="D114" s="379" t="s">
        <v>1380</v>
      </c>
      <c r="E114" s="380" t="s">
        <v>1381</v>
      </c>
      <c r="F114" s="381">
        <v>0</v>
      </c>
      <c r="G114" s="295">
        <f t="shared" si="12"/>
        <v>0</v>
      </c>
      <c r="H114" s="296">
        <f t="shared" ca="1" si="7"/>
        <v>0</v>
      </c>
      <c r="I114" s="296">
        <f t="shared" si="8"/>
        <v>0</v>
      </c>
      <c r="J114" s="296">
        <v>0</v>
      </c>
      <c r="K114" s="297">
        <f t="shared" ca="1" si="9"/>
        <v>0</v>
      </c>
      <c r="L114" s="298" t="e">
        <f t="shared" ca="1" si="10"/>
        <v>#DIV/0!</v>
      </c>
      <c r="M114" s="299">
        <f t="shared" ca="1" si="11"/>
        <v>0</v>
      </c>
      <c r="N114" s="326"/>
      <c r="O114" s="319"/>
      <c r="P114" s="366"/>
      <c r="Q114" s="366"/>
    </row>
    <row r="115" spans="1:17" s="367" customFormat="1" ht="23.25" customHeight="1">
      <c r="A115" s="313" t="s">
        <v>98</v>
      </c>
      <c r="B115" s="317" t="s">
        <v>1378</v>
      </c>
      <c r="C115" s="292" t="s">
        <v>1349</v>
      </c>
      <c r="D115" s="382" t="s">
        <v>1382</v>
      </c>
      <c r="E115" s="383" t="s">
        <v>1383</v>
      </c>
      <c r="F115" s="374">
        <v>450612</v>
      </c>
      <c r="G115" s="295">
        <f t="shared" si="12"/>
        <v>450612</v>
      </c>
      <c r="H115" s="296">
        <f t="shared" ca="1" si="7"/>
        <v>428081</v>
      </c>
      <c r="I115" s="296">
        <f t="shared" si="8"/>
        <v>450612</v>
      </c>
      <c r="J115" s="296">
        <v>0</v>
      </c>
      <c r="K115" s="297">
        <f t="shared" ca="1" si="9"/>
        <v>428081</v>
      </c>
      <c r="L115" s="298">
        <f t="shared" ca="1" si="10"/>
        <v>0.9499991123183581</v>
      </c>
      <c r="M115" s="299">
        <f t="shared" ca="1" si="11"/>
        <v>22531</v>
      </c>
      <c r="N115" s="326"/>
      <c r="O115" s="319" t="s">
        <v>1384</v>
      </c>
      <c r="P115" s="366"/>
      <c r="Q115" s="366"/>
    </row>
    <row r="116" spans="1:17" s="367" customFormat="1" ht="12.75" customHeight="1">
      <c r="A116" s="313" t="s">
        <v>101</v>
      </c>
      <c r="B116" s="317" t="s">
        <v>1385</v>
      </c>
      <c r="C116" s="292" t="s">
        <v>1045</v>
      </c>
      <c r="D116" s="375" t="s">
        <v>1386</v>
      </c>
      <c r="E116" s="376" t="s">
        <v>1387</v>
      </c>
      <c r="F116" s="377">
        <v>9498614</v>
      </c>
      <c r="G116" s="295">
        <f t="shared" si="12"/>
        <v>9498614</v>
      </c>
      <c r="H116" s="296">
        <f t="shared" ca="1" si="7"/>
        <v>6000000</v>
      </c>
      <c r="I116" s="296">
        <f t="shared" si="8"/>
        <v>9498614</v>
      </c>
      <c r="J116" s="296">
        <v>0</v>
      </c>
      <c r="K116" s="297">
        <f t="shared" ca="1" si="9"/>
        <v>6000000</v>
      </c>
      <c r="L116" s="298">
        <f t="shared" ca="1" si="10"/>
        <v>0.63167110485803513</v>
      </c>
      <c r="M116" s="299">
        <f t="shared" ca="1" si="11"/>
        <v>3498614</v>
      </c>
      <c r="N116" s="326"/>
      <c r="O116" s="319" t="s">
        <v>1388</v>
      </c>
      <c r="P116" s="366"/>
      <c r="Q116" s="366"/>
    </row>
    <row r="117" spans="1:17" s="367" customFormat="1" ht="12.75" customHeight="1">
      <c r="A117" s="313" t="s">
        <v>95</v>
      </c>
      <c r="B117" s="317" t="s">
        <v>1389</v>
      </c>
      <c r="C117" s="292" t="s">
        <v>1390</v>
      </c>
      <c r="D117" s="379" t="s">
        <v>1391</v>
      </c>
      <c r="E117" s="380" t="s">
        <v>1392</v>
      </c>
      <c r="F117" s="381">
        <v>2430392</v>
      </c>
      <c r="G117" s="295">
        <f t="shared" si="12"/>
        <v>2430392</v>
      </c>
      <c r="H117" s="296">
        <f t="shared" ca="1" si="7"/>
        <v>1701274.4</v>
      </c>
      <c r="I117" s="296">
        <f t="shared" si="8"/>
        <v>2430392</v>
      </c>
      <c r="J117" s="296">
        <v>0</v>
      </c>
      <c r="K117" s="297">
        <f t="shared" ca="1" si="9"/>
        <v>1701274.4</v>
      </c>
      <c r="L117" s="298">
        <f t="shared" ca="1" si="10"/>
        <v>0.7</v>
      </c>
      <c r="M117" s="299">
        <f t="shared" ca="1" si="11"/>
        <v>729117.60000000009</v>
      </c>
      <c r="N117" s="326"/>
      <c r="O117" s="319" t="s">
        <v>1393</v>
      </c>
      <c r="P117" s="366"/>
      <c r="Q117" s="366"/>
    </row>
    <row r="118" spans="1:17" s="367" customFormat="1" ht="12.75" customHeight="1">
      <c r="A118" s="313" t="s">
        <v>1394</v>
      </c>
      <c r="B118" s="317" t="s">
        <v>1385</v>
      </c>
      <c r="C118" s="292" t="s">
        <v>1349</v>
      </c>
      <c r="D118" s="375" t="s">
        <v>1395</v>
      </c>
      <c r="E118" s="376" t="s">
        <v>1396</v>
      </c>
      <c r="F118" s="377">
        <v>22594696</v>
      </c>
      <c r="G118" s="295">
        <f t="shared" si="12"/>
        <v>22594696</v>
      </c>
      <c r="H118" s="296">
        <f t="shared" ca="1" si="7"/>
        <v>5505504</v>
      </c>
      <c r="I118" s="296">
        <f t="shared" si="8"/>
        <v>22594696</v>
      </c>
      <c r="J118" s="296">
        <v>0</v>
      </c>
      <c r="K118" s="297">
        <f t="shared" ca="1" si="9"/>
        <v>5505504</v>
      </c>
      <c r="L118" s="298">
        <f t="shared" ca="1" si="10"/>
        <v>0.24366355714633203</v>
      </c>
      <c r="M118" s="299">
        <f t="shared" ca="1" si="11"/>
        <v>17089192</v>
      </c>
      <c r="N118" s="326"/>
      <c r="O118" s="319" t="s">
        <v>1397</v>
      </c>
      <c r="P118" s="366"/>
      <c r="Q118" s="366"/>
    </row>
    <row r="119" spans="1:17" s="367" customFormat="1" ht="12.75" customHeight="1">
      <c r="A119" s="313" t="s">
        <v>103</v>
      </c>
      <c r="B119" s="317" t="s">
        <v>1378</v>
      </c>
      <c r="C119" s="292" t="s">
        <v>1349</v>
      </c>
      <c r="D119" s="382" t="s">
        <v>1398</v>
      </c>
      <c r="E119" s="383" t="s">
        <v>1383</v>
      </c>
      <c r="F119" s="374">
        <v>79584</v>
      </c>
      <c r="G119" s="295">
        <f t="shared" si="12"/>
        <v>79584</v>
      </c>
      <c r="H119" s="296">
        <f t="shared" ca="1" si="7"/>
        <v>31834</v>
      </c>
      <c r="I119" s="296">
        <f t="shared" si="8"/>
        <v>79584</v>
      </c>
      <c r="J119" s="296">
        <v>0</v>
      </c>
      <c r="K119" s="297">
        <f t="shared" ca="1" si="9"/>
        <v>31834</v>
      </c>
      <c r="L119" s="298">
        <f t="shared" ca="1" si="10"/>
        <v>0.40000502613590672</v>
      </c>
      <c r="M119" s="299">
        <f t="shared" ca="1" si="11"/>
        <v>47750</v>
      </c>
      <c r="N119" s="326"/>
      <c r="O119" s="319" t="s">
        <v>1399</v>
      </c>
      <c r="P119" s="366"/>
      <c r="Q119" s="366"/>
    </row>
    <row r="120" spans="1:17" s="367" customFormat="1" ht="60" customHeight="1">
      <c r="A120" s="313" t="s">
        <v>90</v>
      </c>
      <c r="B120" s="384" t="s">
        <v>1400</v>
      </c>
      <c r="C120" s="292" t="s">
        <v>1401</v>
      </c>
      <c r="D120" s="379" t="s">
        <v>1402</v>
      </c>
      <c r="E120" s="380" t="s">
        <v>1281</v>
      </c>
      <c r="F120" s="381">
        <v>3139730</v>
      </c>
      <c r="G120" s="295">
        <f t="shared" si="12"/>
        <v>3139730</v>
      </c>
      <c r="H120" s="296">
        <f t="shared" ca="1" si="7"/>
        <v>2039730</v>
      </c>
      <c r="I120" s="296">
        <f t="shared" si="8"/>
        <v>3139730</v>
      </c>
      <c r="J120" s="296">
        <v>0</v>
      </c>
      <c r="K120" s="297">
        <f t="shared" ca="1" si="9"/>
        <v>2039730</v>
      </c>
      <c r="L120" s="298">
        <f t="shared" ca="1" si="10"/>
        <v>0.64965140314613035</v>
      </c>
      <c r="M120" s="299">
        <f t="shared" ca="1" si="11"/>
        <v>1100000</v>
      </c>
      <c r="N120" s="326"/>
      <c r="O120" s="319" t="s">
        <v>1403</v>
      </c>
      <c r="P120" s="366"/>
      <c r="Q120" s="366"/>
    </row>
    <row r="121" spans="1:17" s="367" customFormat="1" ht="12.75" customHeight="1">
      <c r="A121" s="313" t="s">
        <v>91</v>
      </c>
      <c r="B121" s="317" t="s">
        <v>1378</v>
      </c>
      <c r="C121" s="292" t="s">
        <v>1246</v>
      </c>
      <c r="D121" s="319" t="s">
        <v>1404</v>
      </c>
      <c r="E121" s="333" t="s">
        <v>1248</v>
      </c>
      <c r="F121" s="321">
        <v>124163</v>
      </c>
      <c r="G121" s="295">
        <f t="shared" si="12"/>
        <v>124163</v>
      </c>
      <c r="H121" s="296">
        <f t="shared" ca="1" si="7"/>
        <v>124163</v>
      </c>
      <c r="I121" s="296">
        <f t="shared" si="8"/>
        <v>124163</v>
      </c>
      <c r="J121" s="296">
        <v>0</v>
      </c>
      <c r="K121" s="297">
        <f t="shared" ca="1" si="9"/>
        <v>124163</v>
      </c>
      <c r="L121" s="298">
        <f t="shared" ca="1" si="10"/>
        <v>1</v>
      </c>
      <c r="M121" s="299">
        <f t="shared" ca="1" si="11"/>
        <v>0</v>
      </c>
      <c r="N121" s="326"/>
      <c r="O121" s="319" t="s">
        <v>1214</v>
      </c>
      <c r="P121" s="366"/>
      <c r="Q121" s="366"/>
    </row>
    <row r="122" spans="1:17" s="367" customFormat="1" ht="12.75" customHeight="1">
      <c r="A122" s="313" t="s">
        <v>93</v>
      </c>
      <c r="B122" s="317" t="s">
        <v>1405</v>
      </c>
      <c r="C122" s="292" t="s">
        <v>1401</v>
      </c>
      <c r="D122" s="379" t="s">
        <v>1406</v>
      </c>
      <c r="E122" s="380" t="s">
        <v>1407</v>
      </c>
      <c r="F122" s="381">
        <v>170000</v>
      </c>
      <c r="G122" s="295">
        <f t="shared" si="12"/>
        <v>170000</v>
      </c>
      <c r="H122" s="296">
        <f t="shared" ca="1" si="7"/>
        <v>70000</v>
      </c>
      <c r="I122" s="296">
        <f t="shared" si="8"/>
        <v>170000</v>
      </c>
      <c r="J122" s="296">
        <v>0</v>
      </c>
      <c r="K122" s="297">
        <f t="shared" ca="1" si="9"/>
        <v>70000</v>
      </c>
      <c r="L122" s="298">
        <f t="shared" ca="1" si="10"/>
        <v>0.41176470588235292</v>
      </c>
      <c r="M122" s="299">
        <f t="shared" ca="1" si="11"/>
        <v>100000</v>
      </c>
      <c r="N122" s="326"/>
      <c r="O122" s="319" t="s">
        <v>1408</v>
      </c>
      <c r="P122" s="366"/>
      <c r="Q122" s="366"/>
    </row>
    <row r="123" spans="1:17" s="367" customFormat="1" ht="12.75" customHeight="1">
      <c r="A123" s="313" t="s">
        <v>112</v>
      </c>
      <c r="B123" s="317" t="s">
        <v>1378</v>
      </c>
      <c r="C123" s="292" t="s">
        <v>1379</v>
      </c>
      <c r="D123" s="379" t="s">
        <v>1409</v>
      </c>
      <c r="E123" s="380" t="s">
        <v>1410</v>
      </c>
      <c r="F123" s="381">
        <v>549900</v>
      </c>
      <c r="G123" s="295">
        <f t="shared" si="12"/>
        <v>549900</v>
      </c>
      <c r="H123" s="296">
        <f t="shared" ca="1" si="7"/>
        <v>100000</v>
      </c>
      <c r="I123" s="296">
        <f t="shared" si="8"/>
        <v>549900</v>
      </c>
      <c r="J123" s="296">
        <v>0</v>
      </c>
      <c r="K123" s="297">
        <f t="shared" ca="1" si="9"/>
        <v>100000</v>
      </c>
      <c r="L123" s="298">
        <f t="shared" ca="1" si="10"/>
        <v>0.18185124568103292</v>
      </c>
      <c r="M123" s="299">
        <f t="shared" ca="1" si="11"/>
        <v>449900</v>
      </c>
      <c r="N123" s="326"/>
      <c r="O123" s="319" t="s">
        <v>1411</v>
      </c>
      <c r="P123" s="366"/>
      <c r="Q123" s="366"/>
    </row>
    <row r="124" spans="1:17" s="367" customFormat="1" ht="12.75" customHeight="1">
      <c r="A124" s="378" t="s">
        <v>1412</v>
      </c>
      <c r="B124" s="317"/>
      <c r="C124" s="292"/>
      <c r="D124" s="375" t="s">
        <v>1413</v>
      </c>
      <c r="E124" s="376" t="s">
        <v>1414</v>
      </c>
      <c r="F124" s="377">
        <v>11284542</v>
      </c>
      <c r="G124" s="295">
        <f t="shared" si="12"/>
        <v>11284542</v>
      </c>
      <c r="H124" s="296">
        <f t="shared" ca="1" si="7"/>
        <v>3600000</v>
      </c>
      <c r="I124" s="296">
        <f t="shared" si="8"/>
        <v>11284542</v>
      </c>
      <c r="J124" s="296">
        <v>0</v>
      </c>
      <c r="K124" s="297">
        <f t="shared" ca="1" si="9"/>
        <v>3600000</v>
      </c>
      <c r="L124" s="298">
        <f t="shared" ca="1" si="10"/>
        <v>0.31902047951968276</v>
      </c>
      <c r="M124" s="299">
        <f t="shared" ca="1" si="11"/>
        <v>7684542</v>
      </c>
      <c r="N124" s="326"/>
      <c r="O124" s="319"/>
      <c r="P124" s="366"/>
      <c r="Q124" s="366"/>
    </row>
    <row r="125" spans="1:17" s="367" customFormat="1" ht="12.75" customHeight="1">
      <c r="A125" s="313" t="s">
        <v>96</v>
      </c>
      <c r="B125" s="317" t="s">
        <v>1415</v>
      </c>
      <c r="C125" s="292" t="s">
        <v>1337</v>
      </c>
      <c r="D125" s="319" t="s">
        <v>1416</v>
      </c>
      <c r="E125" s="333" t="s">
        <v>1339</v>
      </c>
      <c r="F125" s="321">
        <v>1000</v>
      </c>
      <c r="G125" s="295">
        <f t="shared" si="12"/>
        <v>1000</v>
      </c>
      <c r="H125" s="296">
        <f t="shared" ca="1" si="7"/>
        <v>1000</v>
      </c>
      <c r="I125" s="296">
        <f t="shared" si="8"/>
        <v>1000</v>
      </c>
      <c r="J125" s="296">
        <v>0</v>
      </c>
      <c r="K125" s="297">
        <f t="shared" ca="1" si="9"/>
        <v>1000</v>
      </c>
      <c r="L125" s="298">
        <f t="shared" ca="1" si="10"/>
        <v>1</v>
      </c>
      <c r="M125" s="299">
        <f t="shared" ca="1" si="11"/>
        <v>0</v>
      </c>
      <c r="N125" s="326"/>
      <c r="O125" s="319"/>
      <c r="P125" s="366"/>
      <c r="Q125" s="366"/>
    </row>
    <row r="126" spans="1:17" s="367" customFormat="1" ht="12.75" customHeight="1">
      <c r="A126" s="313" t="s">
        <v>1417</v>
      </c>
      <c r="B126" s="317" t="s">
        <v>1418</v>
      </c>
      <c r="C126" s="292" t="s">
        <v>1349</v>
      </c>
      <c r="D126" s="375" t="s">
        <v>1419</v>
      </c>
      <c r="E126" s="376" t="s">
        <v>1420</v>
      </c>
      <c r="F126" s="377">
        <v>3760794</v>
      </c>
      <c r="G126" s="295">
        <f t="shared" si="12"/>
        <v>3760794</v>
      </c>
      <c r="H126" s="296">
        <f t="shared" ca="1" si="7"/>
        <v>2130397</v>
      </c>
      <c r="I126" s="296">
        <f t="shared" si="8"/>
        <v>3760794</v>
      </c>
      <c r="J126" s="296">
        <v>0</v>
      </c>
      <c r="K126" s="297">
        <f t="shared" ca="1" si="9"/>
        <v>2130397</v>
      </c>
      <c r="L126" s="298">
        <f t="shared" ca="1" si="10"/>
        <v>0.56647532409379509</v>
      </c>
      <c r="M126" s="299">
        <f t="shared" ca="1" si="11"/>
        <v>1630397</v>
      </c>
      <c r="N126" s="326"/>
      <c r="O126" s="319" t="s">
        <v>1421</v>
      </c>
      <c r="P126" s="366"/>
      <c r="Q126" s="366"/>
    </row>
    <row r="127" spans="1:17" s="367" customFormat="1" ht="12.75" customHeight="1">
      <c r="A127" s="313" t="s">
        <v>94</v>
      </c>
      <c r="B127" s="317" t="s">
        <v>1405</v>
      </c>
      <c r="C127" s="292" t="s">
        <v>1263</v>
      </c>
      <c r="D127" s="379" t="s">
        <v>1422</v>
      </c>
      <c r="E127" s="380" t="s">
        <v>1407</v>
      </c>
      <c r="F127" s="381">
        <v>200000</v>
      </c>
      <c r="G127" s="295">
        <f t="shared" si="12"/>
        <v>200000</v>
      </c>
      <c r="H127" s="296">
        <f t="shared" ca="1" si="7"/>
        <v>200000</v>
      </c>
      <c r="I127" s="296">
        <f t="shared" si="8"/>
        <v>200000</v>
      </c>
      <c r="J127" s="296">
        <v>0</v>
      </c>
      <c r="K127" s="297">
        <f t="shared" ca="1" si="9"/>
        <v>200000</v>
      </c>
      <c r="L127" s="298">
        <f t="shared" ca="1" si="10"/>
        <v>1</v>
      </c>
      <c r="M127" s="299">
        <f t="shared" ca="1" si="11"/>
        <v>0</v>
      </c>
      <c r="N127" s="326"/>
      <c r="O127" s="319" t="s">
        <v>1423</v>
      </c>
      <c r="P127" s="366"/>
      <c r="Q127" s="366"/>
    </row>
    <row r="128" spans="1:17" s="367" customFormat="1" ht="12.75" customHeight="1">
      <c r="A128" s="313" t="s">
        <v>119</v>
      </c>
      <c r="B128" s="317" t="s">
        <v>1424</v>
      </c>
      <c r="C128" s="292" t="s">
        <v>1349</v>
      </c>
      <c r="D128" s="382" t="s">
        <v>1425</v>
      </c>
      <c r="E128" s="383" t="s">
        <v>1383</v>
      </c>
      <c r="F128" s="374">
        <v>513000</v>
      </c>
      <c r="G128" s="295">
        <f t="shared" si="12"/>
        <v>513000</v>
      </c>
      <c r="H128" s="296">
        <f t="shared" ca="1" si="7"/>
        <v>150000</v>
      </c>
      <c r="I128" s="296">
        <f t="shared" si="8"/>
        <v>513000</v>
      </c>
      <c r="J128" s="296">
        <v>0</v>
      </c>
      <c r="K128" s="297">
        <f t="shared" ca="1" si="9"/>
        <v>150000</v>
      </c>
      <c r="L128" s="298">
        <f t="shared" ca="1" si="10"/>
        <v>0.29239766081871343</v>
      </c>
      <c r="M128" s="299">
        <f t="shared" ca="1" si="11"/>
        <v>363000</v>
      </c>
      <c r="N128" s="326"/>
      <c r="O128" s="319" t="s">
        <v>1426</v>
      </c>
      <c r="P128" s="366"/>
      <c r="Q128" s="366"/>
    </row>
    <row r="129" spans="1:17" s="367" customFormat="1" ht="12.75" customHeight="1">
      <c r="A129" s="313" t="s">
        <v>1427</v>
      </c>
      <c r="B129" s="317" t="s">
        <v>1428</v>
      </c>
      <c r="C129" s="292" t="s">
        <v>1349</v>
      </c>
      <c r="D129" s="382" t="s">
        <v>1429</v>
      </c>
      <c r="E129" s="383" t="s">
        <v>1430</v>
      </c>
      <c r="F129" s="374">
        <v>349680</v>
      </c>
      <c r="G129" s="295">
        <f t="shared" si="12"/>
        <v>349680</v>
      </c>
      <c r="H129" s="296">
        <f t="shared" ca="1" si="7"/>
        <v>250000</v>
      </c>
      <c r="I129" s="296">
        <f t="shared" si="8"/>
        <v>349680</v>
      </c>
      <c r="J129" s="296">
        <v>0</v>
      </c>
      <c r="K129" s="297">
        <f t="shared" ca="1" si="9"/>
        <v>250000</v>
      </c>
      <c r="L129" s="298">
        <f t="shared" ca="1" si="10"/>
        <v>0.71493937314115763</v>
      </c>
      <c r="M129" s="299">
        <f t="shared" ca="1" si="11"/>
        <v>99680</v>
      </c>
      <c r="N129" s="326"/>
      <c r="O129" s="319" t="s">
        <v>1431</v>
      </c>
      <c r="P129" s="366"/>
      <c r="Q129" s="366"/>
    </row>
    <row r="130" spans="1:17" s="367" customFormat="1" ht="12.75" customHeight="1">
      <c r="A130" s="313" t="s">
        <v>133</v>
      </c>
      <c r="B130" s="317" t="s">
        <v>1432</v>
      </c>
      <c r="C130" s="292" t="s">
        <v>1433</v>
      </c>
      <c r="D130" s="382" t="s">
        <v>1434</v>
      </c>
      <c r="E130" s="383" t="s">
        <v>1387</v>
      </c>
      <c r="F130" s="374">
        <v>1131638</v>
      </c>
      <c r="G130" s="295">
        <f t="shared" si="12"/>
        <v>1131638</v>
      </c>
      <c r="H130" s="296">
        <f t="shared" ca="1" si="7"/>
        <v>0</v>
      </c>
      <c r="I130" s="296">
        <f t="shared" si="8"/>
        <v>1131638</v>
      </c>
      <c r="J130" s="296">
        <v>0</v>
      </c>
      <c r="K130" s="297">
        <f t="shared" ca="1" si="9"/>
        <v>0</v>
      </c>
      <c r="L130" s="298">
        <f t="shared" ca="1" si="10"/>
        <v>0</v>
      </c>
      <c r="M130" s="299">
        <f t="shared" ca="1" si="11"/>
        <v>1131638</v>
      </c>
      <c r="N130" s="326"/>
      <c r="O130" s="319" t="s">
        <v>1435</v>
      </c>
      <c r="P130" s="366"/>
      <c r="Q130" s="366"/>
    </row>
    <row r="131" spans="1:17" s="367" customFormat="1" ht="12.75" customHeight="1">
      <c r="A131" s="313" t="s">
        <v>1436</v>
      </c>
      <c r="B131" s="317" t="s">
        <v>1437</v>
      </c>
      <c r="C131" s="292" t="s">
        <v>1221</v>
      </c>
      <c r="D131" s="319" t="s">
        <v>1438</v>
      </c>
      <c r="E131" s="333" t="s">
        <v>1002</v>
      </c>
      <c r="F131" s="321">
        <v>237811</v>
      </c>
      <c r="G131" s="295">
        <f t="shared" si="12"/>
        <v>237811</v>
      </c>
      <c r="H131" s="296">
        <f t="shared" ca="1" si="7"/>
        <v>237811</v>
      </c>
      <c r="I131" s="296">
        <f t="shared" si="8"/>
        <v>237811</v>
      </c>
      <c r="J131" s="296">
        <v>0</v>
      </c>
      <c r="K131" s="297">
        <f t="shared" ca="1" si="9"/>
        <v>237811</v>
      </c>
      <c r="L131" s="298">
        <f t="shared" ca="1" si="10"/>
        <v>1</v>
      </c>
      <c r="M131" s="299">
        <f t="shared" ca="1" si="11"/>
        <v>0</v>
      </c>
      <c r="N131" s="326"/>
      <c r="O131" s="319"/>
      <c r="P131" s="366"/>
      <c r="Q131" s="366"/>
    </row>
    <row r="132" spans="1:17" s="367" customFormat="1" ht="18.75" customHeight="1">
      <c r="A132" s="313" t="s">
        <v>1439</v>
      </c>
      <c r="B132" s="317" t="s">
        <v>1437</v>
      </c>
      <c r="C132" s="292" t="s">
        <v>1349</v>
      </c>
      <c r="D132" s="375" t="s">
        <v>1440</v>
      </c>
      <c r="E132" s="376" t="s">
        <v>1441</v>
      </c>
      <c r="F132" s="377">
        <v>1774697</v>
      </c>
      <c r="G132" s="295">
        <f t="shared" si="12"/>
        <v>1774697</v>
      </c>
      <c r="H132" s="296">
        <f t="shared" ref="H132:H194" ca="1" si="13">SUMIF(INDIRECT($K$213),A132,INDIRECT($K$214))</f>
        <v>80225</v>
      </c>
      <c r="I132" s="296">
        <f t="shared" ref="I132:I194" si="14">IF(G132&lt;&gt;0,G132,F132)</f>
        <v>1774697</v>
      </c>
      <c r="J132" s="296">
        <v>0</v>
      </c>
      <c r="K132" s="297">
        <f t="shared" ref="K132:K194" ca="1" si="15">SUMIF(INDIRECT($K$216),A132,INDIRECT($K$217))</f>
        <v>80225</v>
      </c>
      <c r="L132" s="298">
        <f t="shared" ref="L132:L194" ca="1" si="16">IF(G132&gt;0,K132/G132,K132/F132)</f>
        <v>4.5204899765988224E-2</v>
      </c>
      <c r="M132" s="299">
        <f t="shared" ref="M132:M194" ca="1" si="17">IF(G132&gt;0,G132-K132,F132-K132)</f>
        <v>1694472</v>
      </c>
      <c r="N132" s="326"/>
      <c r="O132" s="319" t="s">
        <v>1442</v>
      </c>
      <c r="P132" s="366"/>
      <c r="Q132" s="366"/>
    </row>
    <row r="133" spans="1:17" s="367" customFormat="1" ht="12.75" customHeight="1">
      <c r="A133" s="313" t="s">
        <v>99</v>
      </c>
      <c r="B133" s="317" t="s">
        <v>1443</v>
      </c>
      <c r="C133" s="292" t="s">
        <v>1444</v>
      </c>
      <c r="D133" s="319" t="s">
        <v>1445</v>
      </c>
      <c r="E133" s="333" t="s">
        <v>1113</v>
      </c>
      <c r="F133" s="321">
        <v>11440</v>
      </c>
      <c r="G133" s="295">
        <f t="shared" si="12"/>
        <v>11440</v>
      </c>
      <c r="H133" s="296">
        <f t="shared" ca="1" si="13"/>
        <v>11440</v>
      </c>
      <c r="I133" s="296">
        <f t="shared" si="14"/>
        <v>11440</v>
      </c>
      <c r="J133" s="296">
        <v>0</v>
      </c>
      <c r="K133" s="297">
        <f t="shared" ca="1" si="15"/>
        <v>11440</v>
      </c>
      <c r="L133" s="298">
        <f t="shared" ca="1" si="16"/>
        <v>1</v>
      </c>
      <c r="M133" s="299">
        <f t="shared" ca="1" si="17"/>
        <v>0</v>
      </c>
      <c r="N133" s="326"/>
      <c r="O133" s="319"/>
      <c r="P133" s="366"/>
      <c r="Q133" s="366"/>
    </row>
    <row r="134" spans="1:17" s="367" customFormat="1" ht="12.75" customHeight="1">
      <c r="A134" s="313" t="s">
        <v>100</v>
      </c>
      <c r="B134" s="317" t="s">
        <v>1443</v>
      </c>
      <c r="C134" s="292" t="s">
        <v>1444</v>
      </c>
      <c r="D134" s="319" t="s">
        <v>1446</v>
      </c>
      <c r="E134" s="333" t="s">
        <v>1447</v>
      </c>
      <c r="F134" s="321">
        <v>6000</v>
      </c>
      <c r="G134" s="295">
        <f t="shared" si="12"/>
        <v>6000</v>
      </c>
      <c r="H134" s="296">
        <f t="shared" ca="1" si="13"/>
        <v>6000</v>
      </c>
      <c r="I134" s="296">
        <f t="shared" si="14"/>
        <v>6000</v>
      </c>
      <c r="J134" s="296">
        <v>0</v>
      </c>
      <c r="K134" s="297">
        <f t="shared" ca="1" si="15"/>
        <v>6000</v>
      </c>
      <c r="L134" s="298">
        <f t="shared" ca="1" si="16"/>
        <v>1</v>
      </c>
      <c r="M134" s="299">
        <f t="shared" ca="1" si="17"/>
        <v>0</v>
      </c>
      <c r="N134" s="326"/>
      <c r="O134" s="319"/>
      <c r="P134" s="366"/>
      <c r="Q134" s="366"/>
    </row>
    <row r="135" spans="1:17" s="367" customFormat="1" ht="12.75" customHeight="1">
      <c r="A135" s="313" t="s">
        <v>102</v>
      </c>
      <c r="B135" s="317" t="s">
        <v>1443</v>
      </c>
      <c r="C135" s="292" t="s">
        <v>1401</v>
      </c>
      <c r="D135" s="379" t="s">
        <v>1448</v>
      </c>
      <c r="E135" s="380" t="s">
        <v>1449</v>
      </c>
      <c r="F135" s="381">
        <v>49100</v>
      </c>
      <c r="G135" s="295">
        <f t="shared" si="12"/>
        <v>49100</v>
      </c>
      <c r="H135" s="296">
        <f t="shared" ca="1" si="13"/>
        <v>49100</v>
      </c>
      <c r="I135" s="296">
        <f t="shared" si="14"/>
        <v>49100</v>
      </c>
      <c r="J135" s="296">
        <v>0</v>
      </c>
      <c r="K135" s="297">
        <f t="shared" ca="1" si="15"/>
        <v>49100</v>
      </c>
      <c r="L135" s="298">
        <f t="shared" ca="1" si="16"/>
        <v>1</v>
      </c>
      <c r="M135" s="299">
        <f t="shared" ca="1" si="17"/>
        <v>0</v>
      </c>
      <c r="N135" s="326"/>
      <c r="O135" s="319"/>
      <c r="P135" s="366"/>
      <c r="Q135" s="366"/>
    </row>
    <row r="136" spans="1:17" s="367" customFormat="1" ht="18" customHeight="1">
      <c r="A136" s="313" t="s">
        <v>108</v>
      </c>
      <c r="B136" s="317" t="s">
        <v>1443</v>
      </c>
      <c r="C136" s="292" t="s">
        <v>1433</v>
      </c>
      <c r="D136" s="382" t="s">
        <v>1450</v>
      </c>
      <c r="E136" s="383" t="s">
        <v>1451</v>
      </c>
      <c r="F136" s="374">
        <v>213449</v>
      </c>
      <c r="G136" s="295">
        <f t="shared" si="12"/>
        <v>213449</v>
      </c>
      <c r="H136" s="296">
        <f t="shared" ca="1" si="13"/>
        <v>170759.2</v>
      </c>
      <c r="I136" s="296">
        <f t="shared" si="14"/>
        <v>213449</v>
      </c>
      <c r="J136" s="296">
        <v>0</v>
      </c>
      <c r="K136" s="297">
        <f t="shared" ca="1" si="15"/>
        <v>170759.2</v>
      </c>
      <c r="L136" s="298">
        <f t="shared" ca="1" si="16"/>
        <v>0.8</v>
      </c>
      <c r="M136" s="299">
        <f t="shared" ca="1" si="17"/>
        <v>42689.799999999988</v>
      </c>
      <c r="N136" s="326"/>
      <c r="O136" s="319" t="s">
        <v>1452</v>
      </c>
      <c r="P136" s="366"/>
      <c r="Q136" s="366"/>
    </row>
    <row r="137" spans="1:17" s="367" customFormat="1" ht="12.75" customHeight="1">
      <c r="A137" s="313" t="s">
        <v>1453</v>
      </c>
      <c r="B137" s="317" t="s">
        <v>1432</v>
      </c>
      <c r="C137" s="292" t="s">
        <v>1349</v>
      </c>
      <c r="D137" s="382" t="s">
        <v>1454</v>
      </c>
      <c r="E137" s="383" t="s">
        <v>1455</v>
      </c>
      <c r="F137" s="374">
        <v>250325</v>
      </c>
      <c r="G137" s="295">
        <f t="shared" si="12"/>
        <v>250325</v>
      </c>
      <c r="H137" s="296">
        <f t="shared" ca="1" si="13"/>
        <v>0</v>
      </c>
      <c r="I137" s="296">
        <f t="shared" si="14"/>
        <v>250325</v>
      </c>
      <c r="J137" s="296">
        <v>0</v>
      </c>
      <c r="K137" s="297">
        <f t="shared" ca="1" si="15"/>
        <v>0</v>
      </c>
      <c r="L137" s="298">
        <f t="shared" ca="1" si="16"/>
        <v>0</v>
      </c>
      <c r="M137" s="299">
        <f t="shared" ca="1" si="17"/>
        <v>250325</v>
      </c>
      <c r="N137" s="326"/>
      <c r="O137" s="319" t="s">
        <v>1456</v>
      </c>
      <c r="P137" s="366"/>
      <c r="Q137" s="366"/>
    </row>
    <row r="138" spans="1:17" s="367" customFormat="1" ht="12.75" customHeight="1">
      <c r="A138" s="313" t="s">
        <v>104</v>
      </c>
      <c r="B138" s="317" t="s">
        <v>1443</v>
      </c>
      <c r="C138" s="292" t="s">
        <v>1444</v>
      </c>
      <c r="D138" s="319" t="s">
        <v>1457</v>
      </c>
      <c r="E138" s="333" t="s">
        <v>1458</v>
      </c>
      <c r="F138" s="321">
        <v>77563.17</v>
      </c>
      <c r="G138" s="295">
        <f t="shared" si="12"/>
        <v>77563.17</v>
      </c>
      <c r="H138" s="296">
        <f t="shared" ca="1" si="13"/>
        <v>77563.17</v>
      </c>
      <c r="I138" s="296">
        <f t="shared" si="14"/>
        <v>77563.17</v>
      </c>
      <c r="J138" s="296">
        <v>0</v>
      </c>
      <c r="K138" s="297">
        <f t="shared" ca="1" si="15"/>
        <v>77563.17</v>
      </c>
      <c r="L138" s="298">
        <f t="shared" ca="1" si="16"/>
        <v>1</v>
      </c>
      <c r="M138" s="299">
        <f t="shared" ca="1" si="17"/>
        <v>0</v>
      </c>
      <c r="N138" s="326"/>
      <c r="O138" s="319"/>
      <c r="P138" s="366"/>
      <c r="Q138" s="366"/>
    </row>
    <row r="139" spans="1:17" s="367" customFormat="1" ht="21" customHeight="1">
      <c r="A139" s="313" t="s">
        <v>1459</v>
      </c>
      <c r="B139" s="317" t="s">
        <v>1460</v>
      </c>
      <c r="C139" s="292" t="s">
        <v>1349</v>
      </c>
      <c r="D139" s="382" t="s">
        <v>1461</v>
      </c>
      <c r="E139" s="383" t="s">
        <v>1396</v>
      </c>
      <c r="F139" s="374">
        <v>559667</v>
      </c>
      <c r="G139" s="295">
        <f t="shared" si="12"/>
        <v>559667</v>
      </c>
      <c r="H139" s="296">
        <f t="shared" ca="1" si="13"/>
        <v>530000</v>
      </c>
      <c r="I139" s="296">
        <f t="shared" si="14"/>
        <v>559667</v>
      </c>
      <c r="J139" s="296">
        <v>0</v>
      </c>
      <c r="K139" s="297">
        <f t="shared" ca="1" si="15"/>
        <v>530000</v>
      </c>
      <c r="L139" s="298">
        <f t="shared" ca="1" si="16"/>
        <v>0.94699169327475086</v>
      </c>
      <c r="M139" s="299">
        <f t="shared" ca="1" si="17"/>
        <v>29667</v>
      </c>
      <c r="N139" s="326"/>
      <c r="O139" s="319" t="s">
        <v>1462</v>
      </c>
      <c r="P139" s="366"/>
      <c r="Q139" s="366"/>
    </row>
    <row r="140" spans="1:17" s="367" customFormat="1" ht="18" customHeight="1">
      <c r="A140" s="313" t="s">
        <v>1463</v>
      </c>
      <c r="B140" s="317" t="s">
        <v>1464</v>
      </c>
      <c r="C140" s="292" t="s">
        <v>1349</v>
      </c>
      <c r="D140" s="382" t="s">
        <v>1465</v>
      </c>
      <c r="E140" s="383" t="s">
        <v>1466</v>
      </c>
      <c r="F140" s="374">
        <v>149014</v>
      </c>
      <c r="G140" s="295">
        <f t="shared" si="12"/>
        <v>149014</v>
      </c>
      <c r="H140" s="296">
        <f t="shared" ca="1" si="13"/>
        <v>124507</v>
      </c>
      <c r="I140" s="296">
        <f t="shared" si="14"/>
        <v>149014</v>
      </c>
      <c r="J140" s="296">
        <v>0</v>
      </c>
      <c r="K140" s="297">
        <f t="shared" ca="1" si="15"/>
        <v>124507</v>
      </c>
      <c r="L140" s="298">
        <f t="shared" ca="1" si="16"/>
        <v>0.83553894264968387</v>
      </c>
      <c r="M140" s="299">
        <f t="shared" ca="1" si="17"/>
        <v>24507</v>
      </c>
      <c r="N140" s="326"/>
      <c r="O140" s="319" t="s">
        <v>1467</v>
      </c>
      <c r="P140" s="366"/>
      <c r="Q140" s="366"/>
    </row>
    <row r="141" spans="1:17" s="367" customFormat="1" ht="20.25" customHeight="1">
      <c r="A141" s="313" t="s">
        <v>88</v>
      </c>
      <c r="B141" s="317" t="s">
        <v>1464</v>
      </c>
      <c r="C141" s="292" t="s">
        <v>1468</v>
      </c>
      <c r="D141" s="379" t="s">
        <v>1469</v>
      </c>
      <c r="E141" s="380" t="s">
        <v>1308</v>
      </c>
      <c r="F141" s="381">
        <v>5700000</v>
      </c>
      <c r="G141" s="295">
        <f t="shared" si="12"/>
        <v>5700000</v>
      </c>
      <c r="H141" s="296">
        <f t="shared" ca="1" si="13"/>
        <v>4200000</v>
      </c>
      <c r="I141" s="296">
        <f t="shared" si="14"/>
        <v>5700000</v>
      </c>
      <c r="J141" s="296">
        <v>0</v>
      </c>
      <c r="K141" s="297">
        <f t="shared" ca="1" si="15"/>
        <v>4200000</v>
      </c>
      <c r="L141" s="298">
        <f t="shared" ca="1" si="16"/>
        <v>0.73684210526315785</v>
      </c>
      <c r="M141" s="299">
        <f t="shared" ca="1" si="17"/>
        <v>1500000</v>
      </c>
      <c r="N141" s="326"/>
      <c r="O141" s="319" t="s">
        <v>1470</v>
      </c>
      <c r="P141" s="366"/>
      <c r="Q141" s="366"/>
    </row>
    <row r="142" spans="1:17" s="367" customFormat="1" ht="12.75" customHeight="1">
      <c r="A142" s="313" t="s">
        <v>109</v>
      </c>
      <c r="B142" s="317" t="s">
        <v>1471</v>
      </c>
      <c r="C142" s="292" t="s">
        <v>1472</v>
      </c>
      <c r="D142" s="319" t="s">
        <v>1473</v>
      </c>
      <c r="E142" s="333" t="s">
        <v>1474</v>
      </c>
      <c r="F142" s="321">
        <v>2336</v>
      </c>
      <c r="G142" s="295">
        <f t="shared" si="12"/>
        <v>2336</v>
      </c>
      <c r="H142" s="296">
        <f t="shared" ca="1" si="13"/>
        <v>2336</v>
      </c>
      <c r="I142" s="296">
        <f t="shared" si="14"/>
        <v>2336</v>
      </c>
      <c r="J142" s="296">
        <v>0</v>
      </c>
      <c r="K142" s="297">
        <f t="shared" ca="1" si="15"/>
        <v>2336</v>
      </c>
      <c r="L142" s="298">
        <f t="shared" ca="1" si="16"/>
        <v>1</v>
      </c>
      <c r="M142" s="299">
        <f t="shared" ca="1" si="17"/>
        <v>0</v>
      </c>
      <c r="N142" s="326"/>
      <c r="O142" s="319"/>
      <c r="P142" s="366"/>
      <c r="Q142" s="366"/>
    </row>
    <row r="143" spans="1:17" s="367" customFormat="1" ht="20.25" customHeight="1">
      <c r="A143" s="313" t="s">
        <v>1475</v>
      </c>
      <c r="B143" s="317" t="s">
        <v>1476</v>
      </c>
      <c r="C143" s="292" t="s">
        <v>1349</v>
      </c>
      <c r="D143" s="319" t="s">
        <v>1477</v>
      </c>
      <c r="E143" s="333" t="s">
        <v>1478</v>
      </c>
      <c r="F143" s="321">
        <v>24560</v>
      </c>
      <c r="G143" s="295">
        <f t="shared" si="12"/>
        <v>24560</v>
      </c>
      <c r="H143" s="296">
        <f t="shared" ca="1" si="13"/>
        <v>23332</v>
      </c>
      <c r="I143" s="296">
        <f t="shared" si="14"/>
        <v>24560</v>
      </c>
      <c r="J143" s="296">
        <v>0</v>
      </c>
      <c r="K143" s="297">
        <f t="shared" ca="1" si="15"/>
        <v>23332</v>
      </c>
      <c r="L143" s="298">
        <f t="shared" ca="1" si="16"/>
        <v>0.95</v>
      </c>
      <c r="M143" s="299">
        <f t="shared" ca="1" si="17"/>
        <v>1228</v>
      </c>
      <c r="N143" s="326"/>
      <c r="O143" s="319" t="s">
        <v>1479</v>
      </c>
      <c r="P143" s="366"/>
      <c r="Q143" s="366"/>
    </row>
    <row r="144" spans="1:17" s="367" customFormat="1" ht="21.75" customHeight="1">
      <c r="A144" s="313" t="s">
        <v>1480</v>
      </c>
      <c r="B144" s="317" t="s">
        <v>1481</v>
      </c>
      <c r="C144" s="292" t="s">
        <v>1349</v>
      </c>
      <c r="D144" s="319" t="s">
        <v>1482</v>
      </c>
      <c r="E144" s="333" t="s">
        <v>1483</v>
      </c>
      <c r="F144" s="321">
        <v>12235</v>
      </c>
      <c r="G144" s="295">
        <f t="shared" si="12"/>
        <v>12235</v>
      </c>
      <c r="H144" s="296">
        <f t="shared" ca="1" si="13"/>
        <v>11623</v>
      </c>
      <c r="I144" s="296">
        <f t="shared" si="14"/>
        <v>12235</v>
      </c>
      <c r="J144" s="296">
        <v>0</v>
      </c>
      <c r="K144" s="297">
        <f t="shared" ca="1" si="15"/>
        <v>11623</v>
      </c>
      <c r="L144" s="298">
        <f t="shared" ca="1" si="16"/>
        <v>0.94997956681650997</v>
      </c>
      <c r="M144" s="299">
        <f t="shared" ca="1" si="17"/>
        <v>612</v>
      </c>
      <c r="N144" s="326"/>
      <c r="O144" s="319" t="s">
        <v>1484</v>
      </c>
      <c r="P144" s="366"/>
      <c r="Q144" s="366"/>
    </row>
    <row r="145" spans="1:17" s="367" customFormat="1" ht="20.25" customHeight="1">
      <c r="A145" s="313" t="s">
        <v>134</v>
      </c>
      <c r="B145" s="317" t="s">
        <v>1485</v>
      </c>
      <c r="C145" s="292" t="s">
        <v>1342</v>
      </c>
      <c r="D145" s="319" t="s">
        <v>1486</v>
      </c>
      <c r="E145" s="333" t="s">
        <v>1487</v>
      </c>
      <c r="F145" s="321">
        <v>0</v>
      </c>
      <c r="G145" s="295">
        <f t="shared" si="12"/>
        <v>0</v>
      </c>
      <c r="H145" s="296">
        <f t="shared" ca="1" si="13"/>
        <v>0</v>
      </c>
      <c r="I145" s="296">
        <f t="shared" si="14"/>
        <v>0</v>
      </c>
      <c r="J145" s="296">
        <v>0</v>
      </c>
      <c r="K145" s="297">
        <f t="shared" ca="1" si="15"/>
        <v>0</v>
      </c>
      <c r="L145" s="298" t="e">
        <f t="shared" ca="1" si="16"/>
        <v>#DIV/0!</v>
      </c>
      <c r="M145" s="299">
        <f t="shared" ca="1" si="17"/>
        <v>0</v>
      </c>
      <c r="N145" s="326"/>
      <c r="O145" s="319" t="s">
        <v>1488</v>
      </c>
      <c r="P145" s="366"/>
      <c r="Q145" s="366"/>
    </row>
    <row r="146" spans="1:17" s="367" customFormat="1" ht="20.25" customHeight="1">
      <c r="A146" s="313" t="s">
        <v>110</v>
      </c>
      <c r="B146" s="317" t="s">
        <v>1489</v>
      </c>
      <c r="C146" s="292" t="s">
        <v>1191</v>
      </c>
      <c r="D146" s="319" t="s">
        <v>1490</v>
      </c>
      <c r="E146" s="333" t="s">
        <v>1229</v>
      </c>
      <c r="F146" s="321">
        <v>6400</v>
      </c>
      <c r="G146" s="295">
        <f t="shared" si="12"/>
        <v>6400</v>
      </c>
      <c r="H146" s="296">
        <f t="shared" ca="1" si="13"/>
        <v>6400</v>
      </c>
      <c r="I146" s="296">
        <f t="shared" si="14"/>
        <v>6400</v>
      </c>
      <c r="J146" s="296">
        <v>0</v>
      </c>
      <c r="K146" s="297">
        <f t="shared" ca="1" si="15"/>
        <v>6400</v>
      </c>
      <c r="L146" s="298">
        <f t="shared" ca="1" si="16"/>
        <v>1</v>
      </c>
      <c r="M146" s="299">
        <f t="shared" ca="1" si="17"/>
        <v>0</v>
      </c>
      <c r="N146" s="326"/>
      <c r="O146" s="319"/>
      <c r="P146" s="366"/>
      <c r="Q146" s="366"/>
    </row>
    <row r="147" spans="1:17" s="367" customFormat="1" ht="20.25" customHeight="1">
      <c r="A147" s="313" t="s">
        <v>135</v>
      </c>
      <c r="B147" s="317" t="s">
        <v>1491</v>
      </c>
      <c r="C147" s="292" t="s">
        <v>1444</v>
      </c>
      <c r="D147" s="319" t="s">
        <v>1492</v>
      </c>
      <c r="E147" s="333" t="s">
        <v>1447</v>
      </c>
      <c r="F147" s="321">
        <v>6000</v>
      </c>
      <c r="G147" s="295">
        <f t="shared" si="12"/>
        <v>6000</v>
      </c>
      <c r="H147" s="296">
        <f t="shared" ca="1" si="13"/>
        <v>0</v>
      </c>
      <c r="I147" s="296">
        <f t="shared" si="14"/>
        <v>6000</v>
      </c>
      <c r="J147" s="296">
        <v>0</v>
      </c>
      <c r="K147" s="297">
        <f t="shared" ca="1" si="15"/>
        <v>0</v>
      </c>
      <c r="L147" s="298">
        <f t="shared" ca="1" si="16"/>
        <v>0</v>
      </c>
      <c r="M147" s="299">
        <f t="shared" ca="1" si="17"/>
        <v>6000</v>
      </c>
      <c r="N147" s="326"/>
      <c r="O147" s="319"/>
      <c r="P147" s="366"/>
      <c r="Q147" s="366"/>
    </row>
    <row r="148" spans="1:17" s="367" customFormat="1" ht="20.25" customHeight="1">
      <c r="A148" s="313" t="s">
        <v>111</v>
      </c>
      <c r="B148" s="317" t="s">
        <v>1493</v>
      </c>
      <c r="C148" s="292" t="s">
        <v>1444</v>
      </c>
      <c r="D148" s="319" t="s">
        <v>1494</v>
      </c>
      <c r="E148" s="333" t="s">
        <v>1113</v>
      </c>
      <c r="F148" s="321">
        <v>5760</v>
      </c>
      <c r="G148" s="295">
        <f t="shared" si="12"/>
        <v>5760</v>
      </c>
      <c r="H148" s="296">
        <f t="shared" ca="1" si="13"/>
        <v>5760</v>
      </c>
      <c r="I148" s="296">
        <f t="shared" si="14"/>
        <v>5760</v>
      </c>
      <c r="J148" s="296">
        <v>0</v>
      </c>
      <c r="K148" s="297">
        <f t="shared" ca="1" si="15"/>
        <v>5760</v>
      </c>
      <c r="L148" s="298">
        <f t="shared" ca="1" si="16"/>
        <v>1</v>
      </c>
      <c r="M148" s="299">
        <f t="shared" ca="1" si="17"/>
        <v>0</v>
      </c>
      <c r="N148" s="326"/>
      <c r="O148" s="319"/>
      <c r="P148" s="366"/>
      <c r="Q148" s="366"/>
    </row>
    <row r="149" spans="1:17" s="367" customFormat="1" ht="20.25" customHeight="1">
      <c r="A149" s="313" t="s">
        <v>136</v>
      </c>
      <c r="B149" s="317" t="s">
        <v>1495</v>
      </c>
      <c r="C149" s="292" t="s">
        <v>1230</v>
      </c>
      <c r="D149" s="319" t="s">
        <v>1496</v>
      </c>
      <c r="E149" s="333" t="s">
        <v>1497</v>
      </c>
      <c r="F149" s="321">
        <v>140899.60999999999</v>
      </c>
      <c r="G149" s="295">
        <f t="shared" si="12"/>
        <v>140899.60999999999</v>
      </c>
      <c r="H149" s="296">
        <f t="shared" ca="1" si="13"/>
        <v>0</v>
      </c>
      <c r="I149" s="296">
        <f t="shared" si="14"/>
        <v>140899.60999999999</v>
      </c>
      <c r="J149" s="296">
        <v>0</v>
      </c>
      <c r="K149" s="297">
        <f t="shared" ca="1" si="15"/>
        <v>0</v>
      </c>
      <c r="L149" s="298">
        <f t="shared" ca="1" si="16"/>
        <v>0</v>
      </c>
      <c r="M149" s="299">
        <f t="shared" ca="1" si="17"/>
        <v>140899.60999999999</v>
      </c>
      <c r="N149" s="326"/>
      <c r="O149" s="319"/>
      <c r="P149" s="366"/>
      <c r="Q149" s="366"/>
    </row>
    <row r="150" spans="1:17" s="367" customFormat="1" ht="20.25" customHeight="1">
      <c r="A150" s="313" t="s">
        <v>116</v>
      </c>
      <c r="B150" s="317" t="s">
        <v>1498</v>
      </c>
      <c r="C150" s="292" t="s">
        <v>1155</v>
      </c>
      <c r="D150" s="319" t="s">
        <v>1499</v>
      </c>
      <c r="E150" s="333" t="s">
        <v>1157</v>
      </c>
      <c r="F150" s="321">
        <v>18000</v>
      </c>
      <c r="G150" s="295">
        <f t="shared" si="12"/>
        <v>18000</v>
      </c>
      <c r="H150" s="296">
        <f t="shared" ca="1" si="13"/>
        <v>18000</v>
      </c>
      <c r="I150" s="296">
        <f t="shared" si="14"/>
        <v>18000</v>
      </c>
      <c r="J150" s="296">
        <v>0</v>
      </c>
      <c r="K150" s="297">
        <f t="shared" ca="1" si="15"/>
        <v>18000</v>
      </c>
      <c r="L150" s="298">
        <f t="shared" ca="1" si="16"/>
        <v>1</v>
      </c>
      <c r="M150" s="299">
        <f t="shared" ca="1" si="17"/>
        <v>0</v>
      </c>
      <c r="N150" s="326"/>
      <c r="O150" s="319" t="s">
        <v>1500</v>
      </c>
      <c r="P150" s="366"/>
      <c r="Q150" s="366"/>
    </row>
    <row r="151" spans="1:17" s="367" customFormat="1" ht="20.25" customHeight="1">
      <c r="A151" s="313" t="s">
        <v>137</v>
      </c>
      <c r="B151" s="317" t="s">
        <v>1501</v>
      </c>
      <c r="C151" s="292" t="s">
        <v>1104</v>
      </c>
      <c r="D151" s="319" t="s">
        <v>1502</v>
      </c>
      <c r="E151" s="333" t="s">
        <v>1503</v>
      </c>
      <c r="F151" s="321">
        <v>29000</v>
      </c>
      <c r="G151" s="295">
        <f t="shared" si="12"/>
        <v>29000</v>
      </c>
      <c r="H151" s="296">
        <f t="shared" ca="1" si="13"/>
        <v>0</v>
      </c>
      <c r="I151" s="296">
        <f t="shared" si="14"/>
        <v>29000</v>
      </c>
      <c r="J151" s="296">
        <v>0</v>
      </c>
      <c r="K151" s="297">
        <f t="shared" ca="1" si="15"/>
        <v>0</v>
      </c>
      <c r="L151" s="298">
        <f t="shared" ca="1" si="16"/>
        <v>0</v>
      </c>
      <c r="M151" s="299">
        <f t="shared" ca="1" si="17"/>
        <v>29000</v>
      </c>
      <c r="N151" s="326"/>
      <c r="O151" s="319" t="s">
        <v>1504</v>
      </c>
      <c r="P151" s="366"/>
      <c r="Q151" s="366"/>
    </row>
    <row r="152" spans="1:17" s="367" customFormat="1" ht="20.25" customHeight="1">
      <c r="A152" s="313" t="s">
        <v>138</v>
      </c>
      <c r="B152" s="317" t="s">
        <v>1505</v>
      </c>
      <c r="C152" s="292" t="s">
        <v>1506</v>
      </c>
      <c r="D152" s="385" t="s">
        <v>1507</v>
      </c>
      <c r="E152" s="333" t="s">
        <v>1508</v>
      </c>
      <c r="F152" s="386">
        <v>5764660</v>
      </c>
      <c r="G152" s="295">
        <f t="shared" si="12"/>
        <v>5764660</v>
      </c>
      <c r="H152" s="296">
        <f t="shared" ca="1" si="13"/>
        <v>0</v>
      </c>
      <c r="I152" s="296">
        <f t="shared" si="14"/>
        <v>5764660</v>
      </c>
      <c r="J152" s="296">
        <v>0</v>
      </c>
      <c r="K152" s="297">
        <f t="shared" ca="1" si="15"/>
        <v>0</v>
      </c>
      <c r="L152" s="298">
        <f t="shared" ca="1" si="16"/>
        <v>0</v>
      </c>
      <c r="M152" s="299">
        <f t="shared" ca="1" si="17"/>
        <v>5764660</v>
      </c>
      <c r="N152" s="326"/>
      <c r="O152" s="319" t="s">
        <v>1509</v>
      </c>
      <c r="P152" s="366"/>
      <c r="Q152" s="366"/>
    </row>
    <row r="153" spans="1:17" s="367" customFormat="1" ht="20.25" customHeight="1">
      <c r="A153" s="313" t="s">
        <v>139</v>
      </c>
      <c r="B153" s="304" t="s">
        <v>1510</v>
      </c>
      <c r="C153" s="292" t="s">
        <v>1433</v>
      </c>
      <c r="D153" s="385" t="s">
        <v>1511</v>
      </c>
      <c r="E153" s="333" t="s">
        <v>1195</v>
      </c>
      <c r="F153" s="386">
        <v>4700000</v>
      </c>
      <c r="G153" s="295">
        <f t="shared" ref="G153:G194" si="18">F153+J153</f>
        <v>4700000</v>
      </c>
      <c r="H153" s="296">
        <f t="shared" ca="1" si="13"/>
        <v>0</v>
      </c>
      <c r="I153" s="296">
        <f t="shared" si="14"/>
        <v>4700000</v>
      </c>
      <c r="J153" s="296">
        <v>0</v>
      </c>
      <c r="K153" s="297">
        <f t="shared" ca="1" si="15"/>
        <v>0</v>
      </c>
      <c r="L153" s="298">
        <f t="shared" ca="1" si="16"/>
        <v>0</v>
      </c>
      <c r="M153" s="299">
        <f t="shared" ca="1" si="17"/>
        <v>4700000</v>
      </c>
      <c r="N153" s="326"/>
      <c r="O153" s="319" t="s">
        <v>1512</v>
      </c>
      <c r="P153" s="366"/>
      <c r="Q153" s="366"/>
    </row>
    <row r="154" spans="1:17" s="367" customFormat="1" ht="20.25" customHeight="1">
      <c r="A154" s="313" t="s">
        <v>140</v>
      </c>
      <c r="B154" s="317" t="s">
        <v>1513</v>
      </c>
      <c r="C154" s="292" t="s">
        <v>1349</v>
      </c>
      <c r="D154" s="319" t="s">
        <v>1514</v>
      </c>
      <c r="E154" s="333" t="s">
        <v>1515</v>
      </c>
      <c r="F154" s="321">
        <v>46454897</v>
      </c>
      <c r="G154" s="295">
        <f t="shared" si="18"/>
        <v>46454897</v>
      </c>
      <c r="H154" s="296">
        <f t="shared" ca="1" si="13"/>
        <v>0</v>
      </c>
      <c r="I154" s="296">
        <f t="shared" si="14"/>
        <v>46454897</v>
      </c>
      <c r="J154" s="296">
        <v>0</v>
      </c>
      <c r="K154" s="297">
        <f t="shared" ca="1" si="15"/>
        <v>0</v>
      </c>
      <c r="L154" s="298">
        <f t="shared" ca="1" si="16"/>
        <v>0</v>
      </c>
      <c r="M154" s="299">
        <f t="shared" ca="1" si="17"/>
        <v>46454897</v>
      </c>
      <c r="N154" s="326"/>
      <c r="O154" s="319" t="s">
        <v>1516</v>
      </c>
      <c r="P154" s="366"/>
      <c r="Q154" s="366"/>
    </row>
    <row r="155" spans="1:17" s="367" customFormat="1" ht="20.25" customHeight="1">
      <c r="A155" s="313" t="s">
        <v>141</v>
      </c>
      <c r="B155" s="317" t="s">
        <v>1513</v>
      </c>
      <c r="C155" s="292" t="s">
        <v>1349</v>
      </c>
      <c r="D155" s="319" t="s">
        <v>1517</v>
      </c>
      <c r="E155" s="333" t="s">
        <v>1515</v>
      </c>
      <c r="F155" s="321">
        <v>78445103</v>
      </c>
      <c r="G155" s="295">
        <f t="shared" si="18"/>
        <v>78445103</v>
      </c>
      <c r="H155" s="296">
        <f t="shared" ca="1" si="13"/>
        <v>0</v>
      </c>
      <c r="I155" s="296">
        <f t="shared" si="14"/>
        <v>78445103</v>
      </c>
      <c r="J155" s="296">
        <v>0</v>
      </c>
      <c r="K155" s="297">
        <f t="shared" ca="1" si="15"/>
        <v>0</v>
      </c>
      <c r="L155" s="298">
        <f t="shared" ca="1" si="16"/>
        <v>0</v>
      </c>
      <c r="M155" s="299">
        <f t="shared" ca="1" si="17"/>
        <v>78445103</v>
      </c>
      <c r="N155" s="326"/>
      <c r="O155" s="319" t="s">
        <v>1518</v>
      </c>
      <c r="P155" s="366"/>
      <c r="Q155" s="366"/>
    </row>
    <row r="156" spans="1:17" s="367" customFormat="1" ht="20.25" customHeight="1">
      <c r="A156" s="313" t="s">
        <v>118</v>
      </c>
      <c r="B156" s="317" t="s">
        <v>1519</v>
      </c>
      <c r="C156" s="292" t="s">
        <v>1104</v>
      </c>
      <c r="D156" s="319" t="s">
        <v>1520</v>
      </c>
      <c r="E156" s="333" t="s">
        <v>1521</v>
      </c>
      <c r="F156" s="321">
        <v>40000</v>
      </c>
      <c r="G156" s="295">
        <f t="shared" si="18"/>
        <v>40000</v>
      </c>
      <c r="H156" s="296">
        <f t="shared" ca="1" si="13"/>
        <v>40000</v>
      </c>
      <c r="I156" s="296">
        <f t="shared" si="14"/>
        <v>40000</v>
      </c>
      <c r="J156" s="296">
        <v>0</v>
      </c>
      <c r="K156" s="297">
        <f t="shared" ca="1" si="15"/>
        <v>40000</v>
      </c>
      <c r="L156" s="298">
        <f t="shared" ca="1" si="16"/>
        <v>1</v>
      </c>
      <c r="M156" s="299">
        <f t="shared" ca="1" si="17"/>
        <v>0</v>
      </c>
      <c r="N156" s="326"/>
      <c r="O156" s="319" t="s">
        <v>1522</v>
      </c>
      <c r="P156" s="366"/>
      <c r="Q156" s="366"/>
    </row>
    <row r="157" spans="1:17" s="367" customFormat="1" ht="20.25" customHeight="1">
      <c r="A157" s="313" t="s">
        <v>142</v>
      </c>
      <c r="B157" s="317" t="s">
        <v>1523</v>
      </c>
      <c r="C157" s="292" t="s">
        <v>1104</v>
      </c>
      <c r="D157" s="319" t="s">
        <v>1524</v>
      </c>
      <c r="E157" s="333" t="s">
        <v>1525</v>
      </c>
      <c r="F157" s="321">
        <v>17000</v>
      </c>
      <c r="G157" s="295">
        <f t="shared" si="18"/>
        <v>17000</v>
      </c>
      <c r="H157" s="296">
        <f t="shared" ca="1" si="13"/>
        <v>0</v>
      </c>
      <c r="I157" s="296">
        <f t="shared" si="14"/>
        <v>17000</v>
      </c>
      <c r="J157" s="296">
        <v>0</v>
      </c>
      <c r="K157" s="297">
        <f t="shared" ca="1" si="15"/>
        <v>0</v>
      </c>
      <c r="L157" s="298">
        <f t="shared" ca="1" si="16"/>
        <v>0</v>
      </c>
      <c r="M157" s="299">
        <f t="shared" ca="1" si="17"/>
        <v>17000</v>
      </c>
      <c r="N157" s="326"/>
      <c r="O157" s="319" t="s">
        <v>1526</v>
      </c>
      <c r="P157" s="366"/>
      <c r="Q157" s="366"/>
    </row>
    <row r="158" spans="1:17" s="367" customFormat="1" ht="20.25" customHeight="1">
      <c r="A158" s="313" t="s">
        <v>113</v>
      </c>
      <c r="B158" s="317" t="s">
        <v>1527</v>
      </c>
      <c r="C158" s="292" t="s">
        <v>1055</v>
      </c>
      <c r="D158" s="319" t="s">
        <v>1528</v>
      </c>
      <c r="E158" s="333" t="s">
        <v>1529</v>
      </c>
      <c r="F158" s="321">
        <v>209694.3</v>
      </c>
      <c r="G158" s="295">
        <f t="shared" si="18"/>
        <v>209694.3</v>
      </c>
      <c r="H158" s="296"/>
      <c r="I158" s="296">
        <f t="shared" si="14"/>
        <v>209694.3</v>
      </c>
      <c r="J158" s="296">
        <v>0</v>
      </c>
      <c r="K158" s="297">
        <f t="shared" ca="1" si="15"/>
        <v>50000</v>
      </c>
      <c r="L158" s="298">
        <f t="shared" ca="1" si="16"/>
        <v>0.2384423420188341</v>
      </c>
      <c r="M158" s="299">
        <f t="shared" ca="1" si="17"/>
        <v>159694.29999999999</v>
      </c>
      <c r="N158" s="326"/>
      <c r="O158" s="319" t="s">
        <v>1530</v>
      </c>
      <c r="P158" s="366"/>
      <c r="Q158" s="366"/>
    </row>
    <row r="159" spans="1:17" s="367" customFormat="1" ht="20.25" customHeight="1">
      <c r="A159" s="378" t="s">
        <v>143</v>
      </c>
      <c r="B159" s="317"/>
      <c r="C159" s="292" t="s">
        <v>1444</v>
      </c>
      <c r="D159" s="319" t="s">
        <v>1531</v>
      </c>
      <c r="E159" s="333" t="s">
        <v>1458</v>
      </c>
      <c r="F159" s="321">
        <v>20569.8</v>
      </c>
      <c r="G159" s="295">
        <f t="shared" si="18"/>
        <v>20569.8</v>
      </c>
      <c r="H159" s="296">
        <f t="shared" ref="H159:H161" ca="1" si="19">SUMIF(INDIRECT($K$213),A159,INDIRECT($K$214))</f>
        <v>0</v>
      </c>
      <c r="I159" s="296">
        <f t="shared" si="14"/>
        <v>20569.8</v>
      </c>
      <c r="J159" s="296">
        <v>0</v>
      </c>
      <c r="K159" s="297">
        <f t="shared" ca="1" si="15"/>
        <v>0</v>
      </c>
      <c r="L159" s="298">
        <f t="shared" ca="1" si="16"/>
        <v>0</v>
      </c>
      <c r="M159" s="299">
        <f t="shared" ca="1" si="17"/>
        <v>20569.8</v>
      </c>
      <c r="N159" s="326"/>
      <c r="O159" s="319"/>
      <c r="P159" s="366"/>
      <c r="Q159" s="366"/>
    </row>
    <row r="160" spans="1:17" s="367" customFormat="1" ht="20.25" customHeight="1">
      <c r="A160" s="313" t="s">
        <v>144</v>
      </c>
      <c r="B160" s="317" t="s">
        <v>1505</v>
      </c>
      <c r="C160" s="292" t="s">
        <v>1444</v>
      </c>
      <c r="D160" s="319" t="s">
        <v>1532</v>
      </c>
      <c r="E160" s="333" t="s">
        <v>1447</v>
      </c>
      <c r="F160" s="321">
        <v>12000</v>
      </c>
      <c r="G160" s="295">
        <f t="shared" si="18"/>
        <v>12000</v>
      </c>
      <c r="H160" s="296">
        <f t="shared" ca="1" si="19"/>
        <v>0</v>
      </c>
      <c r="I160" s="296">
        <f t="shared" si="14"/>
        <v>12000</v>
      </c>
      <c r="J160" s="296">
        <v>0</v>
      </c>
      <c r="K160" s="297">
        <f t="shared" ca="1" si="15"/>
        <v>0</v>
      </c>
      <c r="L160" s="298">
        <f t="shared" ca="1" si="16"/>
        <v>0</v>
      </c>
      <c r="M160" s="299">
        <f t="shared" ca="1" si="17"/>
        <v>12000</v>
      </c>
      <c r="N160" s="326"/>
      <c r="O160" s="319" t="s">
        <v>1533</v>
      </c>
      <c r="P160" s="366"/>
      <c r="Q160" s="366"/>
    </row>
    <row r="161" spans="1:17" s="367" customFormat="1" ht="20.25" customHeight="1">
      <c r="A161" s="378" t="s">
        <v>145</v>
      </c>
      <c r="B161" s="317"/>
      <c r="C161" s="292" t="s">
        <v>1444</v>
      </c>
      <c r="D161" s="319" t="s">
        <v>1534</v>
      </c>
      <c r="E161" s="333" t="s">
        <v>1113</v>
      </c>
      <c r="F161" s="321">
        <v>8480</v>
      </c>
      <c r="G161" s="295">
        <f t="shared" si="18"/>
        <v>8480</v>
      </c>
      <c r="H161" s="296">
        <f t="shared" ca="1" si="19"/>
        <v>0</v>
      </c>
      <c r="I161" s="296">
        <f t="shared" si="14"/>
        <v>8480</v>
      </c>
      <c r="J161" s="296">
        <v>0</v>
      </c>
      <c r="K161" s="297">
        <f t="shared" ca="1" si="15"/>
        <v>0</v>
      </c>
      <c r="L161" s="298">
        <f t="shared" ca="1" si="16"/>
        <v>0</v>
      </c>
      <c r="M161" s="299">
        <f t="shared" ca="1" si="17"/>
        <v>8480</v>
      </c>
      <c r="N161" s="326"/>
      <c r="O161" s="319"/>
      <c r="P161" s="366"/>
      <c r="Q161" s="366"/>
    </row>
    <row r="162" spans="1:17" s="367" customFormat="1" ht="20.25" customHeight="1">
      <c r="A162" s="313" t="s">
        <v>146</v>
      </c>
      <c r="B162" s="317" t="s">
        <v>1505</v>
      </c>
      <c r="C162" s="292" t="s">
        <v>1444</v>
      </c>
      <c r="D162" s="319" t="s">
        <v>1535</v>
      </c>
      <c r="E162" s="333" t="s">
        <v>1339</v>
      </c>
      <c r="F162" s="321">
        <v>4073.59</v>
      </c>
      <c r="G162" s="295">
        <f t="shared" si="18"/>
        <v>4073.59</v>
      </c>
      <c r="H162" s="296">
        <f t="shared" ca="1" si="13"/>
        <v>4073.59</v>
      </c>
      <c r="I162" s="296">
        <f t="shared" si="14"/>
        <v>4073.59</v>
      </c>
      <c r="J162" s="296">
        <v>0</v>
      </c>
      <c r="K162" s="297">
        <f t="shared" ca="1" si="15"/>
        <v>4073.59</v>
      </c>
      <c r="L162" s="298">
        <f t="shared" ca="1" si="16"/>
        <v>1</v>
      </c>
      <c r="M162" s="299">
        <f t="shared" ca="1" si="17"/>
        <v>0</v>
      </c>
      <c r="N162" s="326"/>
      <c r="O162" s="319" t="s">
        <v>1536</v>
      </c>
      <c r="P162" s="366"/>
      <c r="Q162" s="366"/>
    </row>
    <row r="163" spans="1:17" s="367" customFormat="1" ht="20.25" customHeight="1">
      <c r="A163" s="313" t="s">
        <v>147</v>
      </c>
      <c r="B163" s="317" t="s">
        <v>1505</v>
      </c>
      <c r="C163" s="292" t="s">
        <v>1537</v>
      </c>
      <c r="D163" s="319" t="s">
        <v>1538</v>
      </c>
      <c r="E163" s="333" t="s">
        <v>1332</v>
      </c>
      <c r="F163" s="321">
        <v>184940</v>
      </c>
      <c r="G163" s="295">
        <f t="shared" si="18"/>
        <v>184940</v>
      </c>
      <c r="H163" s="296">
        <f t="shared" ca="1" si="13"/>
        <v>0</v>
      </c>
      <c r="I163" s="296">
        <f t="shared" si="14"/>
        <v>184940</v>
      </c>
      <c r="J163" s="296">
        <v>0</v>
      </c>
      <c r="K163" s="297">
        <f t="shared" ca="1" si="15"/>
        <v>0</v>
      </c>
      <c r="L163" s="298">
        <f t="shared" ca="1" si="16"/>
        <v>0</v>
      </c>
      <c r="M163" s="299">
        <f t="shared" ca="1" si="17"/>
        <v>184940</v>
      </c>
      <c r="N163" s="326"/>
      <c r="O163" s="319" t="s">
        <v>1539</v>
      </c>
      <c r="P163" s="366"/>
      <c r="Q163" s="366"/>
    </row>
    <row r="164" spans="1:17" s="367" customFormat="1" ht="20.25" customHeight="1">
      <c r="A164" s="313" t="s">
        <v>148</v>
      </c>
      <c r="B164" s="317" t="s">
        <v>1540</v>
      </c>
      <c r="C164" s="292" t="s">
        <v>1273</v>
      </c>
      <c r="D164" s="319" t="s">
        <v>1541</v>
      </c>
      <c r="E164" s="333" t="s">
        <v>1332</v>
      </c>
      <c r="F164" s="321">
        <v>50080</v>
      </c>
      <c r="G164" s="295">
        <f t="shared" si="18"/>
        <v>50080</v>
      </c>
      <c r="H164" s="296">
        <f t="shared" ca="1" si="13"/>
        <v>0</v>
      </c>
      <c r="I164" s="296">
        <f t="shared" si="14"/>
        <v>50080</v>
      </c>
      <c r="J164" s="296">
        <v>0</v>
      </c>
      <c r="K164" s="297">
        <f t="shared" ca="1" si="15"/>
        <v>0</v>
      </c>
      <c r="L164" s="298">
        <f t="shared" ca="1" si="16"/>
        <v>0</v>
      </c>
      <c r="M164" s="299">
        <f t="shared" ca="1" si="17"/>
        <v>50080</v>
      </c>
      <c r="N164" s="326"/>
      <c r="O164" s="319" t="s">
        <v>1542</v>
      </c>
      <c r="P164" s="366"/>
      <c r="Q164" s="366"/>
    </row>
    <row r="165" spans="1:17" s="367" customFormat="1" ht="20.25" customHeight="1">
      <c r="A165" s="313" t="s">
        <v>149</v>
      </c>
      <c r="B165" s="317" t="s">
        <v>1543</v>
      </c>
      <c r="C165" s="292" t="s">
        <v>1005</v>
      </c>
      <c r="D165" s="319" t="s">
        <v>1544</v>
      </c>
      <c r="E165" s="333" t="s">
        <v>1002</v>
      </c>
      <c r="F165" s="321">
        <v>5600</v>
      </c>
      <c r="G165" s="295">
        <f t="shared" si="18"/>
        <v>5600</v>
      </c>
      <c r="H165" s="296">
        <f t="shared" ca="1" si="13"/>
        <v>0</v>
      </c>
      <c r="I165" s="296">
        <f t="shared" si="14"/>
        <v>5600</v>
      </c>
      <c r="J165" s="296">
        <v>0</v>
      </c>
      <c r="K165" s="297">
        <f t="shared" ca="1" si="15"/>
        <v>0</v>
      </c>
      <c r="L165" s="298">
        <f t="shared" ca="1" si="16"/>
        <v>0</v>
      </c>
      <c r="M165" s="299">
        <f t="shared" ca="1" si="17"/>
        <v>5600</v>
      </c>
      <c r="N165" s="326"/>
      <c r="O165" s="319" t="s">
        <v>1545</v>
      </c>
      <c r="P165" s="366"/>
      <c r="Q165" s="366"/>
    </row>
    <row r="166" spans="1:17" s="367" customFormat="1" ht="20.25" customHeight="1">
      <c r="A166" s="313" t="s">
        <v>150</v>
      </c>
      <c r="B166" s="317" t="s">
        <v>1543</v>
      </c>
      <c r="C166" s="292" t="s">
        <v>1444</v>
      </c>
      <c r="D166" s="319" t="s">
        <v>1546</v>
      </c>
      <c r="E166" s="333" t="s">
        <v>1458</v>
      </c>
      <c r="F166" s="321">
        <v>30969.58</v>
      </c>
      <c r="G166" s="295">
        <f t="shared" si="18"/>
        <v>30969.58</v>
      </c>
      <c r="H166" s="296">
        <f t="shared" ca="1" si="13"/>
        <v>0</v>
      </c>
      <c r="I166" s="296">
        <f t="shared" si="14"/>
        <v>30969.58</v>
      </c>
      <c r="J166" s="296">
        <v>0</v>
      </c>
      <c r="K166" s="297">
        <f t="shared" ca="1" si="15"/>
        <v>0</v>
      </c>
      <c r="L166" s="298">
        <f t="shared" ca="1" si="16"/>
        <v>0</v>
      </c>
      <c r="M166" s="299">
        <f t="shared" ca="1" si="17"/>
        <v>30969.58</v>
      </c>
      <c r="N166" s="326"/>
      <c r="O166" s="319" t="s">
        <v>1214</v>
      </c>
      <c r="P166" s="366"/>
      <c r="Q166" s="366"/>
    </row>
    <row r="167" spans="1:17" s="367" customFormat="1" ht="20.25" customHeight="1">
      <c r="A167" s="313" t="s">
        <v>151</v>
      </c>
      <c r="B167" s="317" t="s">
        <v>1547</v>
      </c>
      <c r="C167" s="292" t="s">
        <v>1227</v>
      </c>
      <c r="D167" s="319" t="s">
        <v>1548</v>
      </c>
      <c r="E167" s="333" t="s">
        <v>1229</v>
      </c>
      <c r="F167" s="321">
        <v>2574714.6800000002</v>
      </c>
      <c r="G167" s="295">
        <f t="shared" si="18"/>
        <v>2574714.6800000002</v>
      </c>
      <c r="H167" s="296">
        <f t="shared" ca="1" si="13"/>
        <v>2574714.6800000002</v>
      </c>
      <c r="I167" s="296">
        <f t="shared" si="14"/>
        <v>2574714.6800000002</v>
      </c>
      <c r="J167" s="296">
        <v>0</v>
      </c>
      <c r="K167" s="297">
        <f t="shared" ca="1" si="15"/>
        <v>2574714.6800000002</v>
      </c>
      <c r="L167" s="298">
        <f t="shared" ca="1" si="16"/>
        <v>1</v>
      </c>
      <c r="M167" s="299">
        <f t="shared" ca="1" si="17"/>
        <v>0</v>
      </c>
      <c r="N167" s="326"/>
      <c r="O167" s="319"/>
      <c r="P167" s="366"/>
      <c r="Q167" s="366"/>
    </row>
    <row r="168" spans="1:17" s="367" customFormat="1" ht="20.25" customHeight="1">
      <c r="A168" s="313" t="s">
        <v>152</v>
      </c>
      <c r="B168" s="317" t="s">
        <v>1547</v>
      </c>
      <c r="C168" s="292" t="s">
        <v>1191</v>
      </c>
      <c r="D168" s="319" t="s">
        <v>1549</v>
      </c>
      <c r="E168" s="333" t="s">
        <v>1229</v>
      </c>
      <c r="F168" s="321">
        <v>46000</v>
      </c>
      <c r="G168" s="295">
        <f t="shared" si="18"/>
        <v>46000</v>
      </c>
      <c r="H168" s="296">
        <f t="shared" ca="1" si="13"/>
        <v>46000</v>
      </c>
      <c r="I168" s="296">
        <f t="shared" si="14"/>
        <v>46000</v>
      </c>
      <c r="J168" s="296">
        <v>0</v>
      </c>
      <c r="K168" s="297">
        <f t="shared" ca="1" si="15"/>
        <v>46000</v>
      </c>
      <c r="L168" s="298">
        <f t="shared" ca="1" si="16"/>
        <v>1</v>
      </c>
      <c r="M168" s="299">
        <f t="shared" ca="1" si="17"/>
        <v>0</v>
      </c>
      <c r="N168" s="326"/>
      <c r="O168" s="319"/>
      <c r="P168" s="366"/>
      <c r="Q168" s="366"/>
    </row>
    <row r="169" spans="1:17" s="367" customFormat="1" ht="20.25" customHeight="1">
      <c r="A169" s="313" t="s">
        <v>153</v>
      </c>
      <c r="B169" s="317" t="s">
        <v>1547</v>
      </c>
      <c r="C169" s="292" t="s">
        <v>1191</v>
      </c>
      <c r="D169" s="319" t="s">
        <v>1550</v>
      </c>
      <c r="E169" s="333" t="s">
        <v>1229</v>
      </c>
      <c r="F169" s="321">
        <v>30400</v>
      </c>
      <c r="G169" s="295">
        <f t="shared" si="18"/>
        <v>30400</v>
      </c>
      <c r="H169" s="296">
        <f t="shared" ca="1" si="13"/>
        <v>30400</v>
      </c>
      <c r="I169" s="296">
        <f t="shared" si="14"/>
        <v>30400</v>
      </c>
      <c r="J169" s="296">
        <v>0</v>
      </c>
      <c r="K169" s="297">
        <f t="shared" ca="1" si="15"/>
        <v>30400</v>
      </c>
      <c r="L169" s="298">
        <f t="shared" ca="1" si="16"/>
        <v>1</v>
      </c>
      <c r="M169" s="299">
        <f t="shared" ca="1" si="17"/>
        <v>0</v>
      </c>
      <c r="N169" s="326"/>
      <c r="O169" s="319"/>
      <c r="P169" s="366"/>
      <c r="Q169" s="366"/>
    </row>
    <row r="170" spans="1:17" s="367" customFormat="1" ht="20.25" customHeight="1">
      <c r="A170" s="313" t="s">
        <v>154</v>
      </c>
      <c r="B170" s="317" t="s">
        <v>1547</v>
      </c>
      <c r="C170" s="292" t="s">
        <v>1293</v>
      </c>
      <c r="D170" s="319" t="s">
        <v>1551</v>
      </c>
      <c r="E170" s="333" t="s">
        <v>1229</v>
      </c>
      <c r="F170" s="321">
        <v>52120.35</v>
      </c>
      <c r="G170" s="295">
        <f t="shared" si="18"/>
        <v>52120.35</v>
      </c>
      <c r="H170" s="296">
        <f t="shared" ca="1" si="13"/>
        <v>52120.35</v>
      </c>
      <c r="I170" s="296">
        <f t="shared" si="14"/>
        <v>52120.35</v>
      </c>
      <c r="J170" s="296">
        <v>0</v>
      </c>
      <c r="K170" s="297">
        <f t="shared" ca="1" si="15"/>
        <v>52120.35</v>
      </c>
      <c r="L170" s="298">
        <f t="shared" ca="1" si="16"/>
        <v>1</v>
      </c>
      <c r="M170" s="299">
        <f t="shared" ca="1" si="17"/>
        <v>0</v>
      </c>
      <c r="N170" s="326"/>
      <c r="O170" s="319"/>
      <c r="P170" s="366"/>
      <c r="Q170" s="366"/>
    </row>
    <row r="171" spans="1:17" s="367" customFormat="1" ht="20.25" customHeight="1">
      <c r="A171" s="313" t="s">
        <v>155</v>
      </c>
      <c r="B171" s="317" t="s">
        <v>1547</v>
      </c>
      <c r="C171" s="292" t="s">
        <v>1299</v>
      </c>
      <c r="D171" s="319" t="s">
        <v>1552</v>
      </c>
      <c r="E171" s="333" t="s">
        <v>1229</v>
      </c>
      <c r="F171" s="321">
        <v>743063.4</v>
      </c>
      <c r="G171" s="295">
        <f t="shared" si="18"/>
        <v>743063.4</v>
      </c>
      <c r="H171" s="296">
        <f t="shared" ca="1" si="13"/>
        <v>743063.4</v>
      </c>
      <c r="I171" s="296">
        <f t="shared" si="14"/>
        <v>743063.4</v>
      </c>
      <c r="J171" s="296">
        <v>0</v>
      </c>
      <c r="K171" s="297">
        <f t="shared" ca="1" si="15"/>
        <v>743063.4</v>
      </c>
      <c r="L171" s="298">
        <f t="shared" ca="1" si="16"/>
        <v>1</v>
      </c>
      <c r="M171" s="299">
        <f t="shared" ca="1" si="17"/>
        <v>0</v>
      </c>
      <c r="N171" s="326"/>
      <c r="O171" s="319"/>
      <c r="P171" s="366"/>
      <c r="Q171" s="366"/>
    </row>
    <row r="172" spans="1:17" s="393" customFormat="1" ht="20.25" customHeight="1">
      <c r="A172" s="303" t="s">
        <v>1553</v>
      </c>
      <c r="B172" s="317" t="s">
        <v>1547</v>
      </c>
      <c r="C172" s="305"/>
      <c r="D172" s="306"/>
      <c r="E172" s="387" t="s">
        <v>1229</v>
      </c>
      <c r="F172" s="308"/>
      <c r="G172" s="308">
        <f t="shared" si="18"/>
        <v>0</v>
      </c>
      <c r="H172" s="309">
        <f t="shared" ca="1" si="13"/>
        <v>0</v>
      </c>
      <c r="I172" s="309">
        <f t="shared" si="14"/>
        <v>0</v>
      </c>
      <c r="J172" s="309">
        <v>0</v>
      </c>
      <c r="K172" s="388">
        <f t="shared" ca="1" si="15"/>
        <v>0</v>
      </c>
      <c r="L172" s="389" t="e">
        <f t="shared" ca="1" si="16"/>
        <v>#DIV/0!</v>
      </c>
      <c r="M172" s="390">
        <f t="shared" ca="1" si="17"/>
        <v>0</v>
      </c>
      <c r="N172" s="391"/>
      <c r="O172" s="306"/>
      <c r="P172" s="392"/>
      <c r="Q172" s="392"/>
    </row>
    <row r="173" spans="1:17" s="367" customFormat="1" ht="20.25" customHeight="1">
      <c r="A173" s="313" t="s">
        <v>156</v>
      </c>
      <c r="B173" s="317" t="s">
        <v>1547</v>
      </c>
      <c r="C173" s="292" t="s">
        <v>1296</v>
      </c>
      <c r="D173" s="319" t="s">
        <v>1554</v>
      </c>
      <c r="E173" s="337" t="s">
        <v>1229</v>
      </c>
      <c r="F173" s="321">
        <v>11876897</v>
      </c>
      <c r="G173" s="295">
        <f t="shared" si="18"/>
        <v>11876897</v>
      </c>
      <c r="H173" s="296">
        <f t="shared" ca="1" si="13"/>
        <v>11876897</v>
      </c>
      <c r="I173" s="296">
        <f t="shared" si="14"/>
        <v>11876897</v>
      </c>
      <c r="J173" s="296">
        <v>0</v>
      </c>
      <c r="K173" s="297">
        <f t="shared" ca="1" si="15"/>
        <v>11876897</v>
      </c>
      <c r="L173" s="298">
        <f t="shared" ca="1" si="16"/>
        <v>1</v>
      </c>
      <c r="M173" s="299">
        <f t="shared" ca="1" si="17"/>
        <v>0</v>
      </c>
      <c r="N173" s="326"/>
      <c r="O173" s="319"/>
      <c r="P173" s="366"/>
      <c r="Q173" s="366"/>
    </row>
    <row r="174" spans="1:17" s="367" customFormat="1" ht="20.25" customHeight="1">
      <c r="A174" s="378" t="s">
        <v>1555</v>
      </c>
      <c r="B174" s="317" t="s">
        <v>1556</v>
      </c>
      <c r="C174" s="292" t="s">
        <v>1120</v>
      </c>
      <c r="D174" s="319" t="s">
        <v>1557</v>
      </c>
      <c r="E174" s="333" t="s">
        <v>1558</v>
      </c>
      <c r="F174" s="321">
        <v>1202823</v>
      </c>
      <c r="G174" s="295">
        <f t="shared" si="18"/>
        <v>1202823</v>
      </c>
      <c r="H174" s="296">
        <f t="shared" ca="1" si="13"/>
        <v>0</v>
      </c>
      <c r="I174" s="296">
        <f t="shared" si="14"/>
        <v>1202823</v>
      </c>
      <c r="J174" s="296">
        <v>0</v>
      </c>
      <c r="K174" s="297">
        <f t="shared" ca="1" si="15"/>
        <v>0</v>
      </c>
      <c r="L174" s="298">
        <f t="shared" ca="1" si="16"/>
        <v>0</v>
      </c>
      <c r="M174" s="299">
        <f t="shared" ca="1" si="17"/>
        <v>1202823</v>
      </c>
      <c r="N174" s="326"/>
      <c r="O174" s="319"/>
      <c r="P174" s="366"/>
      <c r="Q174" s="366"/>
    </row>
    <row r="175" spans="1:17" s="367" customFormat="1" ht="20.25" customHeight="1">
      <c r="A175" s="313" t="s">
        <v>157</v>
      </c>
      <c r="B175" s="317" t="s">
        <v>1559</v>
      </c>
      <c r="C175" s="292" t="s">
        <v>1224</v>
      </c>
      <c r="D175" s="319" t="s">
        <v>1560</v>
      </c>
      <c r="E175" s="333" t="s">
        <v>1561</v>
      </c>
      <c r="F175" s="321">
        <v>325800</v>
      </c>
      <c r="G175" s="295">
        <f t="shared" si="18"/>
        <v>325800</v>
      </c>
      <c r="H175" s="296">
        <f t="shared" ca="1" si="13"/>
        <v>0</v>
      </c>
      <c r="I175" s="296">
        <f t="shared" si="14"/>
        <v>325800</v>
      </c>
      <c r="J175" s="296">
        <v>0</v>
      </c>
      <c r="K175" s="297">
        <f t="shared" ca="1" si="15"/>
        <v>0</v>
      </c>
      <c r="L175" s="298">
        <f t="shared" ca="1" si="16"/>
        <v>0</v>
      </c>
      <c r="M175" s="299">
        <f t="shared" ca="1" si="17"/>
        <v>325800</v>
      </c>
      <c r="N175" s="326"/>
      <c r="O175" s="319" t="s">
        <v>1562</v>
      </c>
      <c r="P175" s="366"/>
      <c r="Q175" s="366"/>
    </row>
    <row r="176" spans="1:17" s="367" customFormat="1" ht="20.25" customHeight="1">
      <c r="A176" s="378" t="s">
        <v>114</v>
      </c>
      <c r="B176" s="317" t="s">
        <v>1563</v>
      </c>
      <c r="C176" s="292" t="s">
        <v>1289</v>
      </c>
      <c r="D176" s="319" t="s">
        <v>1564</v>
      </c>
      <c r="E176" s="333" t="s">
        <v>1291</v>
      </c>
      <c r="F176" s="321">
        <v>17710</v>
      </c>
      <c r="G176" s="295">
        <f t="shared" si="18"/>
        <v>17710</v>
      </c>
      <c r="H176" s="296">
        <f t="shared" ca="1" si="13"/>
        <v>17710</v>
      </c>
      <c r="I176" s="296">
        <f t="shared" si="14"/>
        <v>17710</v>
      </c>
      <c r="J176" s="296">
        <v>0</v>
      </c>
      <c r="K176" s="297">
        <f t="shared" ca="1" si="15"/>
        <v>17710</v>
      </c>
      <c r="L176" s="298">
        <f t="shared" ca="1" si="16"/>
        <v>1</v>
      </c>
      <c r="M176" s="299">
        <f t="shared" ca="1" si="17"/>
        <v>0</v>
      </c>
      <c r="N176" s="326"/>
      <c r="O176" s="319"/>
      <c r="P176" s="366"/>
      <c r="Q176" s="366"/>
    </row>
    <row r="177" spans="1:17" s="367" customFormat="1" ht="20.25" customHeight="1">
      <c r="A177" s="378" t="s">
        <v>115</v>
      </c>
      <c r="B177" s="317" t="s">
        <v>1563</v>
      </c>
      <c r="C177" s="292" t="s">
        <v>1289</v>
      </c>
      <c r="D177" s="319" t="s">
        <v>1565</v>
      </c>
      <c r="E177" s="333" t="s">
        <v>1291</v>
      </c>
      <c r="F177" s="321">
        <v>34500</v>
      </c>
      <c r="G177" s="295">
        <f t="shared" si="18"/>
        <v>34500</v>
      </c>
      <c r="H177" s="296">
        <f t="shared" ca="1" si="13"/>
        <v>34500</v>
      </c>
      <c r="I177" s="296">
        <f t="shared" si="14"/>
        <v>34500</v>
      </c>
      <c r="J177" s="296">
        <v>0</v>
      </c>
      <c r="K177" s="297">
        <f t="shared" ca="1" si="15"/>
        <v>34500</v>
      </c>
      <c r="L177" s="298">
        <f t="shared" ca="1" si="16"/>
        <v>1</v>
      </c>
      <c r="M177" s="299">
        <f t="shared" ca="1" si="17"/>
        <v>0</v>
      </c>
      <c r="N177" s="326"/>
      <c r="O177" s="319"/>
      <c r="P177" s="366"/>
      <c r="Q177" s="366"/>
    </row>
    <row r="178" spans="1:17" s="367" customFormat="1" ht="20.25" customHeight="1">
      <c r="A178" s="313" t="s">
        <v>1566</v>
      </c>
      <c r="B178" s="317" t="s">
        <v>1567</v>
      </c>
      <c r="C178" s="292" t="s">
        <v>1349</v>
      </c>
      <c r="D178" s="319" t="s">
        <v>1568</v>
      </c>
      <c r="E178" s="333" t="s">
        <v>1195</v>
      </c>
      <c r="F178" s="321">
        <v>164082</v>
      </c>
      <c r="G178" s="295">
        <f t="shared" si="18"/>
        <v>164082</v>
      </c>
      <c r="H178" s="296">
        <f t="shared" ca="1" si="13"/>
        <v>164082</v>
      </c>
      <c r="I178" s="296">
        <f t="shared" si="14"/>
        <v>164082</v>
      </c>
      <c r="J178" s="296">
        <v>0</v>
      </c>
      <c r="K178" s="297">
        <f t="shared" ca="1" si="15"/>
        <v>164082</v>
      </c>
      <c r="L178" s="298">
        <f t="shared" ca="1" si="16"/>
        <v>1</v>
      </c>
      <c r="M178" s="299">
        <f t="shared" ca="1" si="17"/>
        <v>0</v>
      </c>
      <c r="N178" s="326"/>
      <c r="O178" s="319"/>
      <c r="P178" s="366"/>
      <c r="Q178" s="366"/>
    </row>
    <row r="179" spans="1:17" s="367" customFormat="1" ht="20.25" customHeight="1">
      <c r="A179" s="313" t="s">
        <v>158</v>
      </c>
      <c r="B179" s="317" t="s">
        <v>1556</v>
      </c>
      <c r="C179" s="292" t="s">
        <v>1468</v>
      </c>
      <c r="D179" s="319" t="s">
        <v>1569</v>
      </c>
      <c r="E179" s="333" t="s">
        <v>1570</v>
      </c>
      <c r="F179" s="321">
        <v>128000</v>
      </c>
      <c r="G179" s="295">
        <f t="shared" si="18"/>
        <v>128000</v>
      </c>
      <c r="H179" s="296">
        <f t="shared" ca="1" si="13"/>
        <v>0</v>
      </c>
      <c r="I179" s="296">
        <f t="shared" si="14"/>
        <v>128000</v>
      </c>
      <c r="J179" s="296">
        <v>0</v>
      </c>
      <c r="K179" s="297">
        <f t="shared" ca="1" si="15"/>
        <v>0</v>
      </c>
      <c r="L179" s="298">
        <f t="shared" ca="1" si="16"/>
        <v>0</v>
      </c>
      <c r="M179" s="299">
        <f t="shared" ca="1" si="17"/>
        <v>128000</v>
      </c>
      <c r="N179" s="326"/>
      <c r="O179" s="319" t="s">
        <v>1571</v>
      </c>
      <c r="P179" s="366"/>
      <c r="Q179" s="366"/>
    </row>
    <row r="180" spans="1:17" s="367" customFormat="1" ht="20.25" customHeight="1">
      <c r="A180" s="378" t="s">
        <v>159</v>
      </c>
      <c r="B180" s="317" t="s">
        <v>1572</v>
      </c>
      <c r="C180" s="292" t="s">
        <v>1573</v>
      </c>
      <c r="D180" s="319" t="s">
        <v>1574</v>
      </c>
      <c r="E180" s="333" t="s">
        <v>1575</v>
      </c>
      <c r="F180" s="321">
        <v>182500</v>
      </c>
      <c r="G180" s="295">
        <f t="shared" si="18"/>
        <v>182500</v>
      </c>
      <c r="H180" s="296">
        <f t="shared" ca="1" si="13"/>
        <v>0</v>
      </c>
      <c r="I180" s="296">
        <f t="shared" si="14"/>
        <v>182500</v>
      </c>
      <c r="J180" s="296">
        <v>0</v>
      </c>
      <c r="K180" s="297">
        <f t="shared" ca="1" si="15"/>
        <v>0</v>
      </c>
      <c r="L180" s="298">
        <f t="shared" ca="1" si="16"/>
        <v>0</v>
      </c>
      <c r="M180" s="299">
        <f t="shared" ca="1" si="17"/>
        <v>182500</v>
      </c>
      <c r="N180" s="326"/>
      <c r="O180" s="319"/>
      <c r="P180" s="366"/>
      <c r="Q180" s="366"/>
    </row>
    <row r="181" spans="1:17" s="367" customFormat="1" ht="20.25" customHeight="1">
      <c r="A181" s="378" t="s">
        <v>1576</v>
      </c>
      <c r="B181" s="317"/>
      <c r="C181" s="292"/>
      <c r="D181" s="319" t="s">
        <v>1577</v>
      </c>
      <c r="E181" s="333"/>
      <c r="F181" s="321"/>
      <c r="G181" s="295">
        <f t="shared" si="18"/>
        <v>0</v>
      </c>
      <c r="H181" s="296">
        <f t="shared" ca="1" si="13"/>
        <v>0</v>
      </c>
      <c r="I181" s="296">
        <f t="shared" si="14"/>
        <v>0</v>
      </c>
      <c r="J181" s="296">
        <v>0</v>
      </c>
      <c r="K181" s="297">
        <f t="shared" ca="1" si="15"/>
        <v>0</v>
      </c>
      <c r="L181" s="298" t="e">
        <f t="shared" ca="1" si="16"/>
        <v>#DIV/0!</v>
      </c>
      <c r="M181" s="299">
        <f t="shared" ca="1" si="17"/>
        <v>0</v>
      </c>
      <c r="N181" s="326"/>
      <c r="O181" s="319"/>
      <c r="P181" s="366"/>
      <c r="Q181" s="366"/>
    </row>
    <row r="182" spans="1:17" s="367" customFormat="1" ht="20.25" customHeight="1">
      <c r="A182" s="313" t="s">
        <v>160</v>
      </c>
      <c r="B182" s="317" t="s">
        <v>1513</v>
      </c>
      <c r="C182" s="292" t="s">
        <v>1578</v>
      </c>
      <c r="D182" s="319" t="s">
        <v>1579</v>
      </c>
      <c r="E182" s="333" t="s">
        <v>1580</v>
      </c>
      <c r="F182" s="321">
        <v>55000</v>
      </c>
      <c r="G182" s="295">
        <f t="shared" si="18"/>
        <v>55000</v>
      </c>
      <c r="H182" s="296">
        <f t="shared" ca="1" si="13"/>
        <v>0</v>
      </c>
      <c r="I182" s="296">
        <f t="shared" si="14"/>
        <v>55000</v>
      </c>
      <c r="J182" s="296">
        <v>0</v>
      </c>
      <c r="K182" s="297">
        <f t="shared" ca="1" si="15"/>
        <v>0</v>
      </c>
      <c r="L182" s="298">
        <f t="shared" ca="1" si="16"/>
        <v>0</v>
      </c>
      <c r="M182" s="299">
        <f t="shared" ca="1" si="17"/>
        <v>55000</v>
      </c>
      <c r="N182" s="326"/>
      <c r="O182" s="319" t="s">
        <v>1581</v>
      </c>
      <c r="P182" s="366"/>
      <c r="Q182" s="366"/>
    </row>
    <row r="183" spans="1:17" s="367" customFormat="1" ht="20.25" customHeight="1">
      <c r="A183" s="378" t="s">
        <v>1582</v>
      </c>
      <c r="B183" s="317" t="s">
        <v>1572</v>
      </c>
      <c r="C183" s="292"/>
      <c r="D183" s="319" t="s">
        <v>1583</v>
      </c>
      <c r="E183" s="333"/>
      <c r="F183" s="321">
        <v>176805</v>
      </c>
      <c r="G183" s="295">
        <f t="shared" si="18"/>
        <v>176805</v>
      </c>
      <c r="H183" s="296">
        <f t="shared" ca="1" si="13"/>
        <v>0</v>
      </c>
      <c r="I183" s="296">
        <f t="shared" si="14"/>
        <v>176805</v>
      </c>
      <c r="J183" s="296">
        <v>0</v>
      </c>
      <c r="K183" s="297">
        <f t="shared" ca="1" si="15"/>
        <v>0</v>
      </c>
      <c r="L183" s="298">
        <f t="shared" ca="1" si="16"/>
        <v>0</v>
      </c>
      <c r="M183" s="299">
        <f t="shared" ca="1" si="17"/>
        <v>176805</v>
      </c>
      <c r="N183" s="326"/>
      <c r="O183" s="319"/>
      <c r="P183" s="366"/>
      <c r="Q183" s="366"/>
    </row>
    <row r="184" spans="1:17" s="367" customFormat="1" ht="20.25" customHeight="1">
      <c r="A184" s="313" t="s">
        <v>161</v>
      </c>
      <c r="B184" s="317" t="s">
        <v>1513</v>
      </c>
      <c r="C184" s="292" t="s">
        <v>1468</v>
      </c>
      <c r="D184" s="319" t="s">
        <v>1584</v>
      </c>
      <c r="E184" s="333" t="s">
        <v>1585</v>
      </c>
      <c r="F184" s="321">
        <v>1050000</v>
      </c>
      <c r="G184" s="295">
        <f t="shared" si="18"/>
        <v>1050000</v>
      </c>
      <c r="H184" s="296">
        <f t="shared" ca="1" si="13"/>
        <v>0</v>
      </c>
      <c r="I184" s="296">
        <f t="shared" si="14"/>
        <v>1050000</v>
      </c>
      <c r="J184" s="296">
        <v>0</v>
      </c>
      <c r="K184" s="297">
        <f t="shared" ca="1" si="15"/>
        <v>0</v>
      </c>
      <c r="L184" s="298">
        <f t="shared" ca="1" si="16"/>
        <v>0</v>
      </c>
      <c r="M184" s="299">
        <f t="shared" ca="1" si="17"/>
        <v>1050000</v>
      </c>
      <c r="N184" s="326"/>
      <c r="O184" s="319" t="s">
        <v>1586</v>
      </c>
      <c r="P184" s="366"/>
      <c r="Q184" s="366"/>
    </row>
    <row r="185" spans="1:17" s="367" customFormat="1" ht="20.25" customHeight="1">
      <c r="A185" s="378" t="s">
        <v>1587</v>
      </c>
      <c r="B185" s="317"/>
      <c r="C185" s="292"/>
      <c r="D185" s="319" t="s">
        <v>1588</v>
      </c>
      <c r="E185" s="333"/>
      <c r="F185" s="321"/>
      <c r="G185" s="295">
        <f t="shared" si="18"/>
        <v>0</v>
      </c>
      <c r="H185" s="296">
        <f t="shared" ca="1" si="13"/>
        <v>0</v>
      </c>
      <c r="I185" s="296">
        <f t="shared" si="14"/>
        <v>0</v>
      </c>
      <c r="J185" s="296">
        <v>0</v>
      </c>
      <c r="K185" s="297">
        <f t="shared" ca="1" si="15"/>
        <v>0</v>
      </c>
      <c r="L185" s="298" t="e">
        <f t="shared" ca="1" si="16"/>
        <v>#DIV/0!</v>
      </c>
      <c r="M185" s="299">
        <f t="shared" ca="1" si="17"/>
        <v>0</v>
      </c>
      <c r="N185" s="326"/>
      <c r="O185" s="319"/>
      <c r="P185" s="366"/>
      <c r="Q185" s="366"/>
    </row>
    <row r="186" spans="1:17" s="367" customFormat="1" ht="20.25" customHeight="1">
      <c r="A186" s="313" t="s">
        <v>1589</v>
      </c>
      <c r="B186" s="317" t="s">
        <v>1513</v>
      </c>
      <c r="C186" s="292" t="s">
        <v>1349</v>
      </c>
      <c r="D186" s="319" t="s">
        <v>1590</v>
      </c>
      <c r="E186" s="333" t="s">
        <v>1478</v>
      </c>
      <c r="F186" s="321">
        <v>644860</v>
      </c>
      <c r="G186" s="295">
        <f t="shared" si="18"/>
        <v>644860</v>
      </c>
      <c r="H186" s="296">
        <f t="shared" ca="1" si="13"/>
        <v>0</v>
      </c>
      <c r="I186" s="296">
        <f t="shared" si="14"/>
        <v>644860</v>
      </c>
      <c r="J186" s="296">
        <v>0</v>
      </c>
      <c r="K186" s="297">
        <f t="shared" ca="1" si="15"/>
        <v>0</v>
      </c>
      <c r="L186" s="298">
        <f t="shared" ca="1" si="16"/>
        <v>0</v>
      </c>
      <c r="M186" s="299">
        <f t="shared" ca="1" si="17"/>
        <v>644860</v>
      </c>
      <c r="N186" s="326"/>
      <c r="O186" s="319" t="s">
        <v>1591</v>
      </c>
      <c r="P186" s="366"/>
      <c r="Q186" s="366"/>
    </row>
    <row r="187" spans="1:17" s="367" customFormat="1" ht="20.25" customHeight="1">
      <c r="A187" s="378" t="s">
        <v>1592</v>
      </c>
      <c r="B187" s="317"/>
      <c r="C187" s="292" t="s">
        <v>1005</v>
      </c>
      <c r="D187" s="319" t="s">
        <v>1593</v>
      </c>
      <c r="E187" s="333"/>
      <c r="F187" s="321">
        <v>5600</v>
      </c>
      <c r="G187" s="295">
        <f t="shared" si="18"/>
        <v>5600</v>
      </c>
      <c r="H187" s="296">
        <f t="shared" ca="1" si="13"/>
        <v>0</v>
      </c>
      <c r="I187" s="296">
        <f t="shared" si="14"/>
        <v>5600</v>
      </c>
      <c r="J187" s="296">
        <v>0</v>
      </c>
      <c r="K187" s="297">
        <f t="shared" ca="1" si="15"/>
        <v>0</v>
      </c>
      <c r="L187" s="298">
        <f t="shared" ca="1" si="16"/>
        <v>0</v>
      </c>
      <c r="M187" s="299">
        <f t="shared" ca="1" si="17"/>
        <v>5600</v>
      </c>
      <c r="N187" s="326"/>
      <c r="O187" s="319"/>
      <c r="P187" s="366"/>
      <c r="Q187" s="366"/>
    </row>
    <row r="188" spans="1:17" s="367" customFormat="1" ht="20.25" customHeight="1">
      <c r="A188" s="378" t="s">
        <v>1594</v>
      </c>
      <c r="B188" s="317"/>
      <c r="C188" s="292" t="s">
        <v>1337</v>
      </c>
      <c r="D188" s="319" t="s">
        <v>1595</v>
      </c>
      <c r="E188" s="333"/>
      <c r="F188" s="321">
        <v>94393.59</v>
      </c>
      <c r="G188" s="295">
        <f t="shared" si="18"/>
        <v>94393.59</v>
      </c>
      <c r="H188" s="296">
        <f t="shared" ca="1" si="13"/>
        <v>0</v>
      </c>
      <c r="I188" s="296">
        <f t="shared" si="14"/>
        <v>94393.59</v>
      </c>
      <c r="J188" s="296">
        <v>0</v>
      </c>
      <c r="K188" s="297">
        <f t="shared" ca="1" si="15"/>
        <v>0</v>
      </c>
      <c r="L188" s="298">
        <f t="shared" ca="1" si="16"/>
        <v>0</v>
      </c>
      <c r="M188" s="299">
        <f t="shared" ca="1" si="17"/>
        <v>94393.59</v>
      </c>
      <c r="N188" s="326"/>
      <c r="O188" s="319"/>
      <c r="P188" s="366"/>
      <c r="Q188" s="366"/>
    </row>
    <row r="189" spans="1:17" s="367" customFormat="1" ht="20.25" customHeight="1">
      <c r="A189" s="378"/>
      <c r="B189" s="317"/>
      <c r="C189" s="292"/>
      <c r="D189" s="319"/>
      <c r="E189" s="333"/>
      <c r="F189" s="321"/>
      <c r="G189" s="295">
        <f t="shared" si="18"/>
        <v>0</v>
      </c>
      <c r="H189" s="296">
        <f t="shared" ca="1" si="13"/>
        <v>0</v>
      </c>
      <c r="I189" s="296">
        <f t="shared" si="14"/>
        <v>0</v>
      </c>
      <c r="J189" s="296">
        <v>0</v>
      </c>
      <c r="K189" s="297">
        <f t="shared" ca="1" si="15"/>
        <v>0</v>
      </c>
      <c r="L189" s="298" t="e">
        <f t="shared" ca="1" si="16"/>
        <v>#DIV/0!</v>
      </c>
      <c r="M189" s="299">
        <f t="shared" ca="1" si="17"/>
        <v>0</v>
      </c>
      <c r="N189" s="326"/>
      <c r="O189" s="319"/>
      <c r="P189" s="366"/>
      <c r="Q189" s="366"/>
    </row>
    <row r="190" spans="1:17" s="367" customFormat="1" ht="20.25" customHeight="1">
      <c r="A190" s="378"/>
      <c r="B190" s="317"/>
      <c r="C190" s="292"/>
      <c r="D190" s="319"/>
      <c r="E190" s="333"/>
      <c r="F190" s="321"/>
      <c r="G190" s="295">
        <f t="shared" si="18"/>
        <v>0</v>
      </c>
      <c r="H190" s="296">
        <f t="shared" ca="1" si="13"/>
        <v>0</v>
      </c>
      <c r="I190" s="296">
        <f t="shared" si="14"/>
        <v>0</v>
      </c>
      <c r="J190" s="296">
        <v>0</v>
      </c>
      <c r="K190" s="297">
        <f t="shared" ca="1" si="15"/>
        <v>0</v>
      </c>
      <c r="L190" s="298" t="e">
        <f t="shared" ca="1" si="16"/>
        <v>#DIV/0!</v>
      </c>
      <c r="M190" s="299">
        <f t="shared" ca="1" si="17"/>
        <v>0</v>
      </c>
      <c r="N190" s="326"/>
      <c r="O190" s="319"/>
      <c r="P190" s="366"/>
      <c r="Q190" s="366"/>
    </row>
    <row r="191" spans="1:17" s="367" customFormat="1" ht="20.25" customHeight="1">
      <c r="A191" s="378"/>
      <c r="B191" s="317"/>
      <c r="C191" s="292"/>
      <c r="D191" s="319"/>
      <c r="E191" s="333"/>
      <c r="F191" s="321"/>
      <c r="G191" s="295">
        <f t="shared" si="18"/>
        <v>0</v>
      </c>
      <c r="H191" s="296">
        <f t="shared" ca="1" si="13"/>
        <v>0</v>
      </c>
      <c r="I191" s="296">
        <f t="shared" si="14"/>
        <v>0</v>
      </c>
      <c r="J191" s="296">
        <v>0</v>
      </c>
      <c r="K191" s="297">
        <f t="shared" ca="1" si="15"/>
        <v>0</v>
      </c>
      <c r="L191" s="298" t="e">
        <f t="shared" ca="1" si="16"/>
        <v>#DIV/0!</v>
      </c>
      <c r="M191" s="299">
        <f t="shared" ca="1" si="17"/>
        <v>0</v>
      </c>
      <c r="N191" s="326"/>
      <c r="O191" s="319"/>
      <c r="P191" s="366"/>
      <c r="Q191" s="366"/>
    </row>
    <row r="192" spans="1:17" s="367" customFormat="1" ht="20.25" customHeight="1">
      <c r="A192" s="378"/>
      <c r="B192" s="317"/>
      <c r="C192" s="292"/>
      <c r="D192" s="319"/>
      <c r="E192" s="333"/>
      <c r="F192" s="321"/>
      <c r="G192" s="295">
        <f t="shared" si="18"/>
        <v>0</v>
      </c>
      <c r="H192" s="296">
        <f t="shared" ca="1" si="13"/>
        <v>0</v>
      </c>
      <c r="I192" s="296">
        <f t="shared" si="14"/>
        <v>0</v>
      </c>
      <c r="J192" s="296">
        <v>0</v>
      </c>
      <c r="K192" s="297">
        <f t="shared" ca="1" si="15"/>
        <v>0</v>
      </c>
      <c r="L192" s="298" t="e">
        <f t="shared" ca="1" si="16"/>
        <v>#DIV/0!</v>
      </c>
      <c r="M192" s="299">
        <f t="shared" ca="1" si="17"/>
        <v>0</v>
      </c>
      <c r="N192" s="326"/>
      <c r="O192" s="319"/>
      <c r="P192" s="366"/>
      <c r="Q192" s="366"/>
    </row>
    <row r="193" spans="1:17" s="367" customFormat="1" ht="20.25" customHeight="1">
      <c r="A193" s="378"/>
      <c r="B193" s="317"/>
      <c r="C193" s="292"/>
      <c r="D193" s="319"/>
      <c r="E193" s="333"/>
      <c r="F193" s="321"/>
      <c r="G193" s="295">
        <f t="shared" si="18"/>
        <v>0</v>
      </c>
      <c r="H193" s="296">
        <f t="shared" ca="1" si="13"/>
        <v>0</v>
      </c>
      <c r="I193" s="296">
        <f t="shared" si="14"/>
        <v>0</v>
      </c>
      <c r="J193" s="296">
        <v>0</v>
      </c>
      <c r="K193" s="297">
        <f t="shared" ca="1" si="15"/>
        <v>0</v>
      </c>
      <c r="L193" s="298" t="e">
        <f t="shared" ca="1" si="16"/>
        <v>#DIV/0!</v>
      </c>
      <c r="M193" s="299">
        <f t="shared" ca="1" si="17"/>
        <v>0</v>
      </c>
      <c r="N193" s="326"/>
      <c r="O193" s="319"/>
      <c r="P193" s="366"/>
      <c r="Q193" s="366"/>
    </row>
    <row r="194" spans="1:17" s="367" customFormat="1" ht="20.25" customHeight="1">
      <c r="A194" s="378"/>
      <c r="B194" s="317"/>
      <c r="C194" s="292"/>
      <c r="D194" s="319"/>
      <c r="E194" s="333"/>
      <c r="F194" s="321"/>
      <c r="G194" s="295">
        <f t="shared" si="18"/>
        <v>0</v>
      </c>
      <c r="H194" s="296">
        <f t="shared" ca="1" si="13"/>
        <v>0</v>
      </c>
      <c r="I194" s="296">
        <f t="shared" si="14"/>
        <v>0</v>
      </c>
      <c r="J194" s="296">
        <v>0</v>
      </c>
      <c r="K194" s="297">
        <f t="shared" ca="1" si="15"/>
        <v>0</v>
      </c>
      <c r="L194" s="298" t="e">
        <f t="shared" ca="1" si="16"/>
        <v>#DIV/0!</v>
      </c>
      <c r="M194" s="299">
        <f t="shared" ca="1" si="17"/>
        <v>0</v>
      </c>
      <c r="N194" s="326"/>
      <c r="O194" s="319"/>
      <c r="P194" s="366"/>
      <c r="Q194" s="366"/>
    </row>
    <row r="195" spans="1:17">
      <c r="A195" s="394"/>
      <c r="B195" s="395" t="s">
        <v>162</v>
      </c>
      <c r="C195" s="395"/>
      <c r="D195" s="396"/>
      <c r="E195" s="396"/>
      <c r="F195" s="397">
        <f>SUM(F4:F194)</f>
        <v>827556548.72000003</v>
      </c>
      <c r="G195" s="397">
        <f>SUM(G4:G194)</f>
        <v>825769107.72000003</v>
      </c>
      <c r="H195" s="397">
        <f t="shared" ref="H195:K195" ca="1" si="20">SUM(H4:H194)</f>
        <v>538762008.25999999</v>
      </c>
      <c r="I195" s="397">
        <f t="shared" si="20"/>
        <v>825769107.72000003</v>
      </c>
      <c r="J195" s="397">
        <f t="shared" si="20"/>
        <v>-1787441</v>
      </c>
      <c r="K195" s="397">
        <f t="shared" ca="1" si="20"/>
        <v>538812008.25999999</v>
      </c>
      <c r="L195" s="397" t="e">
        <f t="shared" ref="L195" ca="1" si="21">SUM(L4:L101)</f>
        <v>#DIV/0!</v>
      </c>
      <c r="M195" s="397">
        <f ca="1">SUM(M4:M194)</f>
        <v>286957099.45999998</v>
      </c>
      <c r="N195" s="326"/>
      <c r="O195" s="319"/>
    </row>
    <row r="196" spans="1:17">
      <c r="A196" s="398"/>
      <c r="F196" s="400"/>
      <c r="H196" s="402"/>
    </row>
    <row r="197" spans="1:17">
      <c r="A197" s="403"/>
      <c r="E197" s="275"/>
      <c r="F197" s="404">
        <f>38662056.09-3800</f>
        <v>38658256.090000004</v>
      </c>
      <c r="G197" s="404"/>
      <c r="H197" s="404"/>
      <c r="I197" s="404">
        <f>38662056.09-I91+456905150.59</f>
        <v>495527295.15999997</v>
      </c>
      <c r="J197" s="404">
        <f t="shared" ref="J197:M197" si="22">SUM(J4:J26)+SUM(J37:J58)</f>
        <v>-1824781</v>
      </c>
      <c r="K197" s="404">
        <f t="shared" ca="1" si="22"/>
        <v>423931042.59000003</v>
      </c>
      <c r="L197" s="404" t="e">
        <f t="shared" ca="1" si="22"/>
        <v>#DIV/0!</v>
      </c>
      <c r="M197" s="404">
        <f t="shared" ca="1" si="22"/>
        <v>14016043.75</v>
      </c>
    </row>
    <row r="198" spans="1:17" ht="15.75" customHeight="1">
      <c r="A198" s="405"/>
      <c r="F198" s="400"/>
      <c r="H198" s="406"/>
    </row>
    <row r="199" spans="1:17">
      <c r="A199" s="18"/>
      <c r="D199" s="275" t="s">
        <v>1596</v>
      </c>
      <c r="E199" s="273"/>
      <c r="H199" s="406"/>
    </row>
    <row r="200" spans="1:17" ht="15.75" customHeight="1">
      <c r="A200" s="405"/>
      <c r="B200" s="272" t="s">
        <v>1597</v>
      </c>
      <c r="H200" s="406"/>
    </row>
    <row r="201" spans="1:17" ht="18" customHeight="1" thickBot="1">
      <c r="A201" s="18"/>
      <c r="K201" s="408"/>
      <c r="L201" s="408"/>
    </row>
    <row r="202" spans="1:17" ht="18" customHeight="1">
      <c r="A202" s="18"/>
      <c r="D202" s="409"/>
      <c r="E202" s="410" t="s">
        <v>163</v>
      </c>
      <c r="F202" s="707">
        <f ca="1">SUMIF(C$4:C$25,"土*",H$4:H$25)</f>
        <v>395284264.17000002</v>
      </c>
      <c r="G202" s="708"/>
      <c r="H202" s="275" t="s">
        <v>1598</v>
      </c>
    </row>
    <row r="203" spans="1:17" ht="18" customHeight="1">
      <c r="A203" s="18"/>
      <c r="D203" s="411"/>
      <c r="E203" s="412" t="s">
        <v>1599</v>
      </c>
      <c r="F203" s="693">
        <f ca="1">SUMIF(C$4:C$25,"前*",H$4:H$25)</f>
        <v>11354020.17</v>
      </c>
      <c r="G203" s="694"/>
      <c r="H203" s="275" t="s">
        <v>1314</v>
      </c>
      <c r="K203" s="408"/>
      <c r="M203" s="413"/>
    </row>
    <row r="204" spans="1:17" ht="18" customHeight="1">
      <c r="A204" s="18"/>
      <c r="D204" s="411"/>
      <c r="E204" s="412" t="s">
        <v>164</v>
      </c>
      <c r="F204" s="693">
        <f>SUMIF(C$4:C$25,"基*",H$4:H$25)</f>
        <v>0</v>
      </c>
      <c r="G204" s="694"/>
      <c r="H204" s="275" t="s">
        <v>1600</v>
      </c>
      <c r="M204" s="414"/>
    </row>
    <row r="205" spans="1:17" ht="18" customHeight="1">
      <c r="A205" s="18"/>
      <c r="D205" s="411"/>
      <c r="E205" s="412" t="s">
        <v>1601</v>
      </c>
      <c r="F205" s="693">
        <f ca="1">SUMIF(C$4:C$25,"建*",H$4:H$25)</f>
        <v>3312076.7999999998</v>
      </c>
      <c r="G205" s="694"/>
      <c r="H205" s="275" t="s">
        <v>1602</v>
      </c>
    </row>
    <row r="206" spans="1:17" ht="18" customHeight="1">
      <c r="A206" s="405"/>
      <c r="D206" s="411"/>
      <c r="E206" s="412" t="s">
        <v>1603</v>
      </c>
      <c r="F206" s="693">
        <f>SUMIF(C$4:C$25,"公*",H$4:H$25)</f>
        <v>0</v>
      </c>
      <c r="G206" s="694"/>
      <c r="H206" s="275" t="s">
        <v>1604</v>
      </c>
    </row>
    <row r="207" spans="1:17" ht="18" customHeight="1" thickBot="1">
      <c r="A207" s="18"/>
      <c r="D207" s="411"/>
      <c r="E207" s="415" t="s">
        <v>165</v>
      </c>
      <c r="F207" s="695">
        <f>SUMIF(C$4:C$25,"销*",H$4:H$25)</f>
        <v>0</v>
      </c>
      <c r="G207" s="696"/>
      <c r="H207" s="275" t="s">
        <v>1605</v>
      </c>
    </row>
    <row r="208" spans="1:17" ht="18" customHeight="1" thickBot="1">
      <c r="A208" s="18"/>
      <c r="D208" s="411"/>
      <c r="F208" s="407" t="e">
        <f>SUBTOTAL(9,#REF!)</f>
        <v>#REF!</v>
      </c>
    </row>
    <row r="209" spans="1:13" ht="18" customHeight="1">
      <c r="A209" s="5"/>
      <c r="D209" s="411"/>
      <c r="E209" s="416" t="s">
        <v>1606</v>
      </c>
      <c r="F209" s="697">
        <v>1</v>
      </c>
      <c r="G209" s="698"/>
    </row>
    <row r="210" spans="1:13" ht="18" customHeight="1" thickBot="1">
      <c r="A210" s="18"/>
      <c r="D210" s="411"/>
      <c r="E210" s="417" t="s">
        <v>1607</v>
      </c>
      <c r="F210" s="699">
        <v>3000</v>
      </c>
      <c r="G210" s="700"/>
    </row>
    <row r="211" spans="1:13" ht="18" customHeight="1" thickBot="1">
      <c r="A211" s="405"/>
      <c r="D211" s="418" t="s">
        <v>1608</v>
      </c>
      <c r="F211" s="419"/>
    </row>
    <row r="212" spans="1:13" ht="18" customHeight="1">
      <c r="A212" s="18"/>
      <c r="D212" s="411"/>
      <c r="E212" s="420" t="s">
        <v>1609</v>
      </c>
      <c r="F212" s="421" t="s">
        <v>166</v>
      </c>
      <c r="G212" s="422" t="s">
        <v>1610</v>
      </c>
    </row>
    <row r="213" spans="1:13" ht="18" customHeight="1">
      <c r="A213" s="405"/>
      <c r="D213" s="411"/>
      <c r="E213" s="423">
        <v>1</v>
      </c>
      <c r="F213" s="424">
        <v>4</v>
      </c>
      <c r="G213" s="425">
        <v>20</v>
      </c>
      <c r="K213" s="275" t="str">
        <f>"拨款台帐!A"&amp;F209&amp;":A"&amp;F210</f>
        <v>拨款台帐!A1:A3000</v>
      </c>
    </row>
    <row r="214" spans="1:13" ht="18" customHeight="1">
      <c r="A214" s="18"/>
      <c r="D214" s="411"/>
      <c r="E214" s="423">
        <v>2</v>
      </c>
      <c r="F214" s="424">
        <f t="shared" ref="F214:F224" si="23">G213+1</f>
        <v>21</v>
      </c>
      <c r="G214" s="425">
        <v>24</v>
      </c>
      <c r="K214" s="275" t="str">
        <f>"拨款台帐!C"&amp;F209&amp;":C"&amp;F210</f>
        <v>拨款台帐!C1:C3000</v>
      </c>
    </row>
    <row r="215" spans="1:13" ht="18" customHeight="1">
      <c r="A215" s="18"/>
      <c r="D215" s="411"/>
      <c r="E215" s="423">
        <v>3</v>
      </c>
      <c r="F215" s="424">
        <f t="shared" si="23"/>
        <v>25</v>
      </c>
      <c r="G215" s="425">
        <v>33</v>
      </c>
      <c r="K215" s="275" t="str">
        <f>"拨款台帐!F"&amp;F209&amp;":F"&amp;F210</f>
        <v>拨款台帐!F1:F3000</v>
      </c>
    </row>
    <row r="216" spans="1:13" ht="18" customHeight="1">
      <c r="A216" s="18"/>
      <c r="D216" s="411"/>
      <c r="E216" s="423">
        <v>4</v>
      </c>
      <c r="F216" s="424">
        <f t="shared" si="23"/>
        <v>34</v>
      </c>
      <c r="G216" s="425">
        <v>41</v>
      </c>
      <c r="K216" s="275" t="str">
        <f>"拨款台帐!A2:A"&amp;F210</f>
        <v>拨款台帐!A2:A3000</v>
      </c>
    </row>
    <row r="217" spans="1:13" ht="18" customHeight="1">
      <c r="A217" s="18"/>
      <c r="D217" s="411"/>
      <c r="E217" s="423">
        <v>5</v>
      </c>
      <c r="F217" s="424">
        <f t="shared" si="23"/>
        <v>42</v>
      </c>
      <c r="G217" s="425">
        <v>56</v>
      </c>
      <c r="H217" s="426"/>
      <c r="K217" s="275" t="str">
        <f>"拨款台帐!C2:C"&amp;F210</f>
        <v>拨款台帐!C2:C3000</v>
      </c>
      <c r="M217" s="427"/>
    </row>
    <row r="218" spans="1:13" ht="18" customHeight="1">
      <c r="A218" s="18"/>
      <c r="D218" s="411"/>
      <c r="E218" s="423">
        <v>6</v>
      </c>
      <c r="F218" s="428">
        <f t="shared" si="23"/>
        <v>57</v>
      </c>
      <c r="G218" s="429">
        <v>65</v>
      </c>
      <c r="K218" s="275" t="str">
        <f>"拨款台帐!F2:F"&amp;F210</f>
        <v>拨款台帐!F2:F3000</v>
      </c>
    </row>
    <row r="219" spans="1:13" ht="18" customHeight="1">
      <c r="A219" s="405"/>
      <c r="D219" s="411"/>
      <c r="E219" s="423">
        <v>7</v>
      </c>
      <c r="F219" s="424">
        <f t="shared" si="23"/>
        <v>66</v>
      </c>
      <c r="G219" s="430">
        <v>73</v>
      </c>
    </row>
    <row r="220" spans="1:13" ht="18" customHeight="1">
      <c r="A220" s="18"/>
      <c r="D220" s="411"/>
      <c r="E220" s="423">
        <v>8</v>
      </c>
      <c r="F220" s="424">
        <f t="shared" si="23"/>
        <v>74</v>
      </c>
      <c r="G220" s="430">
        <v>80</v>
      </c>
    </row>
    <row r="221" spans="1:13" ht="18" customHeight="1">
      <c r="A221" s="18"/>
      <c r="D221" s="411"/>
      <c r="E221" s="423">
        <v>9</v>
      </c>
      <c r="F221" s="424">
        <f t="shared" si="23"/>
        <v>81</v>
      </c>
      <c r="G221" s="430">
        <v>87</v>
      </c>
    </row>
    <row r="222" spans="1:13" ht="18" customHeight="1">
      <c r="A222" s="405"/>
      <c r="D222" s="411"/>
      <c r="E222" s="423">
        <v>10</v>
      </c>
      <c r="F222" s="424">
        <f t="shared" si="23"/>
        <v>88</v>
      </c>
      <c r="G222" s="430">
        <v>91</v>
      </c>
    </row>
    <row r="223" spans="1:13" ht="18" customHeight="1">
      <c r="A223" s="405"/>
      <c r="D223" s="411"/>
      <c r="E223" s="423">
        <v>11</v>
      </c>
      <c r="F223" s="424">
        <f t="shared" si="23"/>
        <v>92</v>
      </c>
      <c r="G223" s="430">
        <v>95</v>
      </c>
    </row>
    <row r="224" spans="1:13" ht="18" customHeight="1">
      <c r="A224" s="5"/>
      <c r="D224" s="411"/>
      <c r="E224" s="423">
        <v>12</v>
      </c>
      <c r="F224" s="424">
        <f t="shared" si="23"/>
        <v>96</v>
      </c>
      <c r="G224" s="430"/>
    </row>
    <row r="225" spans="1:7" ht="18" customHeight="1">
      <c r="A225" s="18"/>
      <c r="D225" s="411"/>
      <c r="E225" s="423"/>
      <c r="F225" s="424"/>
      <c r="G225" s="430"/>
    </row>
    <row r="226" spans="1:7" ht="18" customHeight="1" thickBot="1">
      <c r="A226" s="405"/>
      <c r="D226" s="431"/>
      <c r="E226" s="423"/>
      <c r="F226" s="424"/>
      <c r="G226" s="430"/>
    </row>
    <row r="227" spans="1:7" ht="18" customHeight="1">
      <c r="A227" s="18"/>
    </row>
    <row r="228" spans="1:7" ht="18.75" customHeight="1">
      <c r="A228" s="18"/>
      <c r="E228" s="432" t="s">
        <v>1611</v>
      </c>
      <c r="F228" s="701" t="e">
        <f>SUBTOTAL(9,#REF!)</f>
        <v>#REF!</v>
      </c>
      <c r="G228" s="702"/>
    </row>
    <row r="229" spans="1:7">
      <c r="A229" s="18"/>
      <c r="E229" s="432" t="s">
        <v>1612</v>
      </c>
      <c r="F229" s="692">
        <v>2341209</v>
      </c>
      <c r="G229" s="692"/>
    </row>
    <row r="230" spans="1:7">
      <c r="A230" s="18"/>
      <c r="E230" s="432" t="s">
        <v>1613</v>
      </c>
      <c r="F230" s="692">
        <v>380940</v>
      </c>
      <c r="G230" s="692"/>
    </row>
  </sheetData>
  <autoFilter ref="A3:O195"/>
  <mergeCells count="14">
    <mergeCell ref="F204:G204"/>
    <mergeCell ref="A1:E1"/>
    <mergeCell ref="A2:B2"/>
    <mergeCell ref="L2:M2"/>
    <mergeCell ref="F202:G202"/>
    <mergeCell ref="F203:G203"/>
    <mergeCell ref="F229:G229"/>
    <mergeCell ref="F230:G230"/>
    <mergeCell ref="F205:G205"/>
    <mergeCell ref="F206:G206"/>
    <mergeCell ref="F207:G207"/>
    <mergeCell ref="F209:G209"/>
    <mergeCell ref="F210:G210"/>
    <mergeCell ref="F228:G228"/>
  </mergeCells>
  <phoneticPr fontId="4" type="noConversion"/>
  <printOptions horizontalCentered="1"/>
  <pageMargins left="0.15625" right="0.15625" top="0.43263888888888902" bottom="0.31388888888888899" header="0.43263888888888902" footer="0.15625"/>
  <pageSetup paperSize="9" scale="66" orientation="portrait" useFirstPageNumber="1" r:id="rId1"/>
  <headerFooter alignWithMargins="0">
    <oddFooter>&amp;C第&amp;"Times New Roman,常规"&amp;P&amp;"宋体,常规"页&amp;"Times New Roman,常规"        &amp;"宋体,常规"共&amp;"Times New Roman,常规"&amp;N&amp;"宋体,常规"页</oddFooter>
  </headerFooter>
  <colBreaks count="1" manualBreakCount="1">
    <brk id="13" max="1048575" man="1"/>
  </col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55"/>
  <sheetViews>
    <sheetView workbookViewId="0">
      <selection activeCell="BR4" sqref="BR4"/>
    </sheetView>
  </sheetViews>
  <sheetFormatPr defaultColWidth="8.875" defaultRowHeight="12"/>
  <cols>
    <col min="1" max="3" width="8.875" style="98"/>
    <col min="4" max="4" width="8.875" style="97"/>
    <col min="5" max="17" width="8.875" style="98"/>
    <col min="18" max="18" width="8.875" style="99"/>
    <col min="19" max="16384" width="8.875" style="98"/>
  </cols>
  <sheetData>
    <row r="1" spans="1:149">
      <c r="A1" s="100"/>
      <c r="B1" s="101"/>
      <c r="C1" s="101"/>
      <c r="D1" s="102"/>
      <c r="E1" s="742" t="s">
        <v>266</v>
      </c>
      <c r="F1" s="742"/>
      <c r="G1" s="742"/>
      <c r="H1" s="742"/>
      <c r="I1" s="742"/>
      <c r="J1" s="743" t="s">
        <v>267</v>
      </c>
      <c r="K1" s="743"/>
      <c r="L1" s="743"/>
      <c r="M1" s="743"/>
      <c r="N1" s="743"/>
      <c r="O1" s="743"/>
      <c r="P1" s="743"/>
      <c r="Q1" s="743"/>
      <c r="R1" s="743"/>
      <c r="S1" s="743"/>
      <c r="T1" s="743"/>
      <c r="U1" s="743"/>
      <c r="V1" s="743"/>
      <c r="W1" s="743" t="s">
        <v>268</v>
      </c>
      <c r="X1" s="743"/>
      <c r="Y1" s="743"/>
      <c r="Z1" s="743"/>
      <c r="AA1" s="743"/>
      <c r="AB1" s="743"/>
      <c r="AC1" s="743"/>
      <c r="AD1" s="743"/>
      <c r="AE1" s="743"/>
      <c r="AF1" s="743"/>
      <c r="AG1" s="743"/>
      <c r="AH1" s="743"/>
      <c r="AI1" s="743"/>
      <c r="AJ1" s="743" t="s">
        <v>269</v>
      </c>
      <c r="AK1" s="743"/>
      <c r="AL1" s="743"/>
      <c r="AM1" s="743"/>
      <c r="AN1" s="743"/>
      <c r="AO1" s="743"/>
      <c r="AP1" s="743"/>
      <c r="AQ1" s="743"/>
      <c r="AR1" s="743"/>
      <c r="AS1" s="743"/>
      <c r="AT1" s="743"/>
      <c r="AU1" s="743"/>
      <c r="AV1" s="743"/>
      <c r="AW1" s="743" t="s">
        <v>270</v>
      </c>
      <c r="AX1" s="743"/>
      <c r="AY1" s="743"/>
      <c r="AZ1" s="743"/>
      <c r="BA1" s="743"/>
      <c r="BB1" s="743"/>
      <c r="BC1" s="743"/>
      <c r="BD1" s="743"/>
      <c r="BE1" s="743"/>
      <c r="BF1" s="743"/>
      <c r="BG1" s="743"/>
      <c r="BH1" s="743"/>
      <c r="BI1" s="743"/>
      <c r="BJ1" s="737" t="s">
        <v>271</v>
      </c>
      <c r="BK1" s="738"/>
      <c r="BL1" s="738"/>
      <c r="BM1" s="738"/>
      <c r="BN1" s="738"/>
      <c r="BO1" s="739"/>
      <c r="BP1" s="188" t="s">
        <v>1767</v>
      </c>
    </row>
    <row r="2" spans="1:149" s="95" customFormat="1" ht="24.75">
      <c r="A2" s="103"/>
      <c r="B2" s="104"/>
      <c r="C2" s="105"/>
      <c r="D2" s="106" t="s">
        <v>272</v>
      </c>
      <c r="E2" s="107" t="s">
        <v>273</v>
      </c>
      <c r="F2" s="107" t="s">
        <v>274</v>
      </c>
      <c r="G2" s="107" t="s">
        <v>275</v>
      </c>
      <c r="H2" s="107" t="s">
        <v>276</v>
      </c>
      <c r="I2" s="136" t="s">
        <v>277</v>
      </c>
      <c r="J2" s="118" t="s">
        <v>278</v>
      </c>
      <c r="K2" s="118" t="s">
        <v>279</v>
      </c>
      <c r="L2" s="118" t="s">
        <v>280</v>
      </c>
      <c r="M2" s="118" t="s">
        <v>281</v>
      </c>
      <c r="N2" s="118" t="s">
        <v>282</v>
      </c>
      <c r="O2" s="118" t="s">
        <v>283</v>
      </c>
      <c r="P2" s="137">
        <v>42210</v>
      </c>
      <c r="Q2" s="118" t="s">
        <v>284</v>
      </c>
      <c r="R2" s="118" t="s">
        <v>285</v>
      </c>
      <c r="S2" s="118" t="s">
        <v>274</v>
      </c>
      <c r="T2" s="118" t="s">
        <v>275</v>
      </c>
      <c r="U2" s="118" t="s">
        <v>276</v>
      </c>
      <c r="V2" s="136" t="s">
        <v>286</v>
      </c>
      <c r="W2" s="118" t="s">
        <v>278</v>
      </c>
      <c r="X2" s="118" t="s">
        <v>279</v>
      </c>
      <c r="Y2" s="118" t="s">
        <v>280</v>
      </c>
      <c r="Z2" s="118" t="s">
        <v>281</v>
      </c>
      <c r="AA2" s="118" t="s">
        <v>287</v>
      </c>
      <c r="AB2" s="118" t="s">
        <v>283</v>
      </c>
      <c r="AC2" s="118" t="s">
        <v>288</v>
      </c>
      <c r="AD2" s="118" t="s">
        <v>284</v>
      </c>
      <c r="AE2" s="118" t="s">
        <v>273</v>
      </c>
      <c r="AF2" s="118" t="s">
        <v>289</v>
      </c>
      <c r="AG2" s="118" t="s">
        <v>290</v>
      </c>
      <c r="AH2" s="118" t="s">
        <v>291</v>
      </c>
      <c r="AI2" s="136" t="s">
        <v>292</v>
      </c>
      <c r="AJ2" s="118" t="s">
        <v>278</v>
      </c>
      <c r="AK2" s="118" t="s">
        <v>279</v>
      </c>
      <c r="AL2" s="118" t="s">
        <v>280</v>
      </c>
      <c r="AM2" s="118" t="s">
        <v>281</v>
      </c>
      <c r="AN2" s="118" t="s">
        <v>282</v>
      </c>
      <c r="AO2" s="118" t="s">
        <v>283</v>
      </c>
      <c r="AP2" s="118" t="s">
        <v>288</v>
      </c>
      <c r="AQ2" s="118" t="s">
        <v>284</v>
      </c>
      <c r="AR2" s="118" t="s">
        <v>285</v>
      </c>
      <c r="AS2" s="118" t="s">
        <v>274</v>
      </c>
      <c r="AT2" s="118" t="s">
        <v>275</v>
      </c>
      <c r="AU2" s="118" t="s">
        <v>276</v>
      </c>
      <c r="AV2" s="136" t="s">
        <v>293</v>
      </c>
      <c r="AW2" s="118" t="s">
        <v>278</v>
      </c>
      <c r="AX2" s="118" t="s">
        <v>279</v>
      </c>
      <c r="AY2" s="118" t="s">
        <v>280</v>
      </c>
      <c r="AZ2" s="118" t="s">
        <v>281</v>
      </c>
      <c r="BA2" s="118" t="s">
        <v>282</v>
      </c>
      <c r="BB2" s="118" t="s">
        <v>283</v>
      </c>
      <c r="BC2" s="118" t="s">
        <v>288</v>
      </c>
      <c r="BD2" s="118" t="s">
        <v>284</v>
      </c>
      <c r="BE2" s="118" t="s">
        <v>285</v>
      </c>
      <c r="BF2" s="118" t="s">
        <v>274</v>
      </c>
      <c r="BG2" s="118" t="s">
        <v>275</v>
      </c>
      <c r="BH2" s="118" t="s">
        <v>276</v>
      </c>
      <c r="BI2" s="136" t="s">
        <v>294</v>
      </c>
      <c r="BJ2" s="170" t="s">
        <v>295</v>
      </c>
      <c r="BK2" s="170" t="s">
        <v>296</v>
      </c>
      <c r="BL2" s="170" t="s">
        <v>297</v>
      </c>
      <c r="BM2" s="170" t="s">
        <v>298</v>
      </c>
      <c r="BN2" s="170" t="s">
        <v>299</v>
      </c>
      <c r="BO2" s="170" t="s">
        <v>300</v>
      </c>
      <c r="BP2" s="189" t="s">
        <v>162</v>
      </c>
    </row>
    <row r="3" spans="1:149" s="95" customFormat="1" ht="48">
      <c r="A3" s="740" t="s">
        <v>301</v>
      </c>
      <c r="B3" s="741"/>
      <c r="C3" s="741"/>
      <c r="D3" s="741"/>
      <c r="E3" s="108"/>
      <c r="F3" s="108"/>
      <c r="H3" s="108"/>
      <c r="I3" s="138"/>
      <c r="J3" s="108"/>
      <c r="K3" s="108"/>
      <c r="L3" s="108"/>
      <c r="O3" s="139" t="s">
        <v>302</v>
      </c>
      <c r="P3" s="140" t="s">
        <v>303</v>
      </c>
      <c r="Q3" s="108"/>
      <c r="S3" s="140" t="s">
        <v>304</v>
      </c>
      <c r="U3" s="152"/>
      <c r="V3" s="153"/>
      <c r="W3" s="140" t="s">
        <v>305</v>
      </c>
      <c r="X3" s="108"/>
      <c r="Y3" s="152"/>
      <c r="Z3" s="152"/>
      <c r="AA3" s="140" t="s">
        <v>306</v>
      </c>
      <c r="AB3" s="152"/>
      <c r="AC3" s="152"/>
      <c r="AD3" s="152" t="s">
        <v>307</v>
      </c>
      <c r="AE3" s="140" t="s">
        <v>308</v>
      </c>
      <c r="AG3" s="108"/>
      <c r="AH3" s="108"/>
      <c r="AI3" s="153"/>
      <c r="AJ3" s="108"/>
      <c r="AK3" s="108"/>
      <c r="AL3" s="116"/>
      <c r="AM3" s="140" t="s">
        <v>304</v>
      </c>
      <c r="AN3" s="108"/>
      <c r="AO3" s="108"/>
      <c r="AP3" s="108"/>
      <c r="AQ3" s="108"/>
      <c r="AR3" s="140" t="s">
        <v>304</v>
      </c>
      <c r="AS3" s="116"/>
      <c r="AT3" s="108"/>
      <c r="AU3" s="108"/>
      <c r="AV3" s="169"/>
      <c r="AW3" s="108"/>
      <c r="AX3" s="108"/>
      <c r="AY3" s="116"/>
      <c r="AZ3" s="116"/>
      <c r="BA3" s="116"/>
      <c r="BB3" s="116"/>
      <c r="BC3" s="116"/>
      <c r="BD3" s="116"/>
      <c r="BE3" s="116"/>
      <c r="BF3" s="116"/>
      <c r="BG3" s="116"/>
      <c r="BH3" s="116"/>
      <c r="BI3" s="171"/>
      <c r="BJ3" s="172"/>
      <c r="BK3" s="172"/>
      <c r="BL3" s="172"/>
      <c r="BM3" s="172"/>
      <c r="BN3" s="172"/>
      <c r="BO3" s="172"/>
      <c r="BP3" s="190"/>
    </row>
    <row r="4" spans="1:149">
      <c r="A4" s="719" t="s">
        <v>309</v>
      </c>
      <c r="B4" s="719" t="s">
        <v>310</v>
      </c>
      <c r="C4" s="109" t="s">
        <v>311</v>
      </c>
      <c r="D4" s="110">
        <v>192</v>
      </c>
      <c r="E4" s="111">
        <v>0</v>
      </c>
      <c r="F4" s="111">
        <v>0</v>
      </c>
      <c r="G4" s="111">
        <v>0</v>
      </c>
      <c r="H4" s="111">
        <v>0</v>
      </c>
      <c r="I4" s="112">
        <f t="shared" ref="I4:I9" si="0">SUM(E4:H4)</f>
        <v>0</v>
      </c>
      <c r="J4" s="111">
        <v>0</v>
      </c>
      <c r="K4" s="111">
        <v>0</v>
      </c>
      <c r="L4" s="111">
        <v>0</v>
      </c>
      <c r="M4" s="111">
        <v>0</v>
      </c>
      <c r="N4" s="111"/>
      <c r="O4" s="111"/>
      <c r="P4" s="141">
        <v>17</v>
      </c>
      <c r="Q4" s="141">
        <v>9</v>
      </c>
      <c r="R4" s="141">
        <v>9</v>
      </c>
      <c r="S4" s="141">
        <v>19</v>
      </c>
      <c r="T4" s="141">
        <v>2</v>
      </c>
      <c r="U4" s="141">
        <v>4</v>
      </c>
      <c r="V4" s="112">
        <f t="shared" ref="V4:V9" si="1">SUM(J4:U4)</f>
        <v>60</v>
      </c>
      <c r="W4" s="111">
        <v>8</v>
      </c>
      <c r="X4" s="111">
        <v>4</v>
      </c>
      <c r="Y4" s="111">
        <v>5</v>
      </c>
      <c r="Z4" s="111">
        <v>5</v>
      </c>
      <c r="AA4" s="111">
        <v>5</v>
      </c>
      <c r="AB4" s="111">
        <v>6</v>
      </c>
      <c r="AC4" s="111">
        <v>5</v>
      </c>
      <c r="AD4" s="111">
        <v>5</v>
      </c>
      <c r="AE4" s="111">
        <v>7</v>
      </c>
      <c r="AF4" s="111">
        <v>5</v>
      </c>
      <c r="AG4" s="111">
        <v>5</v>
      </c>
      <c r="AH4" s="111">
        <v>5</v>
      </c>
      <c r="AI4" s="112">
        <f t="shared" ref="AI4:AI9" si="2">SUM(W4:AH4)</f>
        <v>65</v>
      </c>
      <c r="AJ4" s="111">
        <v>5</v>
      </c>
      <c r="AK4" s="111">
        <v>4</v>
      </c>
      <c r="AL4" s="111">
        <v>5</v>
      </c>
      <c r="AM4" s="111">
        <v>7</v>
      </c>
      <c r="AN4" s="111">
        <v>5</v>
      </c>
      <c r="AO4" s="111">
        <v>5</v>
      </c>
      <c r="AP4" s="111">
        <v>5</v>
      </c>
      <c r="AQ4" s="111">
        <v>4</v>
      </c>
      <c r="AR4" s="111">
        <v>7</v>
      </c>
      <c r="AS4" s="111">
        <v>5</v>
      </c>
      <c r="AT4" s="111">
        <v>4</v>
      </c>
      <c r="AU4" s="111">
        <v>5</v>
      </c>
      <c r="AV4" s="112">
        <f t="shared" ref="AV4:AV9" si="3">SUM(AJ4:AU4)</f>
        <v>61</v>
      </c>
      <c r="AW4" s="111">
        <v>5</v>
      </c>
      <c r="AX4" s="111">
        <v>1</v>
      </c>
      <c r="AY4" s="111">
        <v>0</v>
      </c>
      <c r="AZ4" s="111">
        <v>0</v>
      </c>
      <c r="BA4" s="111">
        <v>0</v>
      </c>
      <c r="BB4" s="111">
        <v>0</v>
      </c>
      <c r="BC4" s="111">
        <v>0</v>
      </c>
      <c r="BD4" s="111">
        <v>0</v>
      </c>
      <c r="BE4" s="111">
        <v>0</v>
      </c>
      <c r="BF4" s="111">
        <v>0</v>
      </c>
      <c r="BG4" s="111"/>
      <c r="BH4" s="111"/>
      <c r="BI4" s="112">
        <f t="shared" ref="BI4:BI9" si="4">SUM(AW4:BH4)</f>
        <v>6</v>
      </c>
      <c r="BJ4" s="173"/>
      <c r="BK4" s="173"/>
      <c r="BL4" s="173"/>
      <c r="BM4" s="173"/>
      <c r="BN4" s="173"/>
      <c r="BO4" s="173"/>
      <c r="BP4" s="191">
        <f t="shared" ref="BP4:BP9" si="5">I4+V4+AI4+AV4+BI4</f>
        <v>192</v>
      </c>
      <c r="BQ4" s="192">
        <f>BP4-D4</f>
        <v>0</v>
      </c>
      <c r="BR4" s="192"/>
      <c r="BS4" s="192"/>
      <c r="BT4" s="192"/>
      <c r="BU4" s="192"/>
      <c r="BV4" s="192"/>
      <c r="BW4" s="192"/>
      <c r="BX4" s="192"/>
      <c r="BY4" s="192"/>
      <c r="BZ4" s="192"/>
      <c r="CA4" s="192"/>
      <c r="CB4" s="192"/>
      <c r="CC4" s="192"/>
      <c r="CD4" s="192"/>
      <c r="CE4" s="192"/>
      <c r="CF4" s="192"/>
      <c r="CG4" s="192"/>
      <c r="CH4" s="192"/>
      <c r="CI4" s="192"/>
      <c r="CJ4" s="192"/>
      <c r="CK4" s="192"/>
      <c r="CL4" s="192"/>
      <c r="CM4" s="192"/>
      <c r="CN4" s="192"/>
      <c r="CO4" s="192"/>
      <c r="CP4" s="192"/>
      <c r="CQ4" s="192"/>
      <c r="CR4" s="192"/>
      <c r="CS4" s="192"/>
      <c r="CT4" s="192"/>
      <c r="CU4" s="192"/>
      <c r="CV4" s="192"/>
      <c r="CW4" s="192"/>
      <c r="CX4" s="192"/>
      <c r="CY4" s="192"/>
      <c r="CZ4" s="192"/>
      <c r="DA4" s="192"/>
      <c r="DB4" s="192"/>
      <c r="DC4" s="192"/>
      <c r="DD4" s="192"/>
      <c r="DE4" s="192"/>
      <c r="DF4" s="192"/>
      <c r="DG4" s="192"/>
      <c r="DH4" s="192"/>
      <c r="DI4" s="192"/>
      <c r="DJ4" s="192"/>
      <c r="DK4" s="192"/>
      <c r="DL4" s="192"/>
      <c r="DM4" s="192"/>
      <c r="DN4" s="192"/>
      <c r="DO4" s="192"/>
      <c r="DP4" s="192"/>
      <c r="DQ4" s="192"/>
      <c r="DR4" s="192"/>
      <c r="DS4" s="192"/>
      <c r="DT4" s="192"/>
      <c r="DU4" s="192"/>
      <c r="DV4" s="192"/>
      <c r="DW4" s="192"/>
      <c r="DX4" s="192"/>
      <c r="DY4" s="192"/>
      <c r="DZ4" s="192"/>
      <c r="EA4" s="192"/>
      <c r="EB4" s="192"/>
      <c r="EC4" s="192"/>
      <c r="ED4" s="192"/>
      <c r="EE4" s="192"/>
      <c r="EF4" s="192"/>
      <c r="EG4" s="192"/>
      <c r="EH4" s="192"/>
      <c r="EI4" s="192"/>
      <c r="EJ4" s="192"/>
      <c r="EK4" s="192"/>
      <c r="EL4" s="192"/>
      <c r="EM4" s="192"/>
      <c r="EN4" s="192"/>
      <c r="EO4" s="192"/>
      <c r="EP4" s="192"/>
      <c r="EQ4" s="192"/>
      <c r="ER4" s="192"/>
      <c r="ES4" s="192"/>
    </row>
    <row r="5" spans="1:149">
      <c r="A5" s="719"/>
      <c r="B5" s="719"/>
      <c r="C5" s="109" t="s">
        <v>312</v>
      </c>
      <c r="D5" s="110">
        <v>143</v>
      </c>
      <c r="E5" s="111">
        <f>E4*D5</f>
        <v>0</v>
      </c>
      <c r="F5" s="111">
        <f>F4*D5</f>
        <v>0</v>
      </c>
      <c r="G5" s="111">
        <f>G4*D5</f>
        <v>0</v>
      </c>
      <c r="H5" s="111">
        <f>H4*D5</f>
        <v>0</v>
      </c>
      <c r="I5" s="112">
        <f t="shared" si="0"/>
        <v>0</v>
      </c>
      <c r="J5" s="111">
        <f>J4*D5</f>
        <v>0</v>
      </c>
      <c r="K5" s="111">
        <f>K4*D5</f>
        <v>0</v>
      </c>
      <c r="L5" s="111">
        <f>L4*D5</f>
        <v>0</v>
      </c>
      <c r="M5" s="111">
        <f>M4*D5</f>
        <v>0</v>
      </c>
      <c r="N5" s="111">
        <f>N4*D5</f>
        <v>0</v>
      </c>
      <c r="O5" s="111">
        <f>O4*D5</f>
        <v>0</v>
      </c>
      <c r="P5" s="111">
        <f>P4*D5</f>
        <v>2431</v>
      </c>
      <c r="Q5" s="111">
        <f>Q4*D5</f>
        <v>1287</v>
      </c>
      <c r="R5" s="111">
        <f>R4*D5</f>
        <v>1287</v>
      </c>
      <c r="S5" s="111">
        <f>S4*D5</f>
        <v>2717</v>
      </c>
      <c r="T5" s="111">
        <f>T4*D5</f>
        <v>286</v>
      </c>
      <c r="U5" s="111">
        <f>U4*D5</f>
        <v>572</v>
      </c>
      <c r="V5" s="112">
        <f t="shared" si="1"/>
        <v>8580</v>
      </c>
      <c r="W5" s="111">
        <f>W4*D5</f>
        <v>1144</v>
      </c>
      <c r="X5" s="111">
        <f>X4*D5</f>
        <v>572</v>
      </c>
      <c r="Y5" s="111">
        <f>Y4*D5</f>
        <v>715</v>
      </c>
      <c r="Z5" s="111">
        <f>Z4*D5</f>
        <v>715</v>
      </c>
      <c r="AA5" s="111">
        <f>AA4*D5</f>
        <v>715</v>
      </c>
      <c r="AB5" s="111">
        <f>AB4*D5</f>
        <v>858</v>
      </c>
      <c r="AC5" s="111">
        <f>AC4*D5</f>
        <v>715</v>
      </c>
      <c r="AD5" s="111">
        <f>AD4*D5</f>
        <v>715</v>
      </c>
      <c r="AE5" s="111">
        <f>AE4*D5</f>
        <v>1001</v>
      </c>
      <c r="AF5" s="111">
        <f>AF4*D5</f>
        <v>715</v>
      </c>
      <c r="AG5" s="111">
        <f>AG4*D5</f>
        <v>715</v>
      </c>
      <c r="AH5" s="111">
        <f>AH4*D5</f>
        <v>715</v>
      </c>
      <c r="AI5" s="112">
        <f t="shared" si="2"/>
        <v>9295</v>
      </c>
      <c r="AJ5" s="111">
        <f>AJ4*D5</f>
        <v>715</v>
      </c>
      <c r="AK5" s="111">
        <f>AK4*D5</f>
        <v>572</v>
      </c>
      <c r="AL5" s="111">
        <f>AL4*D5</f>
        <v>715</v>
      </c>
      <c r="AM5" s="111">
        <f>AM4*D5</f>
        <v>1001</v>
      </c>
      <c r="AN5" s="111">
        <f>AN4*D5</f>
        <v>715</v>
      </c>
      <c r="AO5" s="111">
        <f>AO4*D5</f>
        <v>715</v>
      </c>
      <c r="AP5" s="111">
        <f>AP4*D5</f>
        <v>715</v>
      </c>
      <c r="AQ5" s="111">
        <f>AQ4*D5</f>
        <v>572</v>
      </c>
      <c r="AR5" s="111">
        <f>AR4*D5</f>
        <v>1001</v>
      </c>
      <c r="AS5" s="111">
        <f>AS4*D5</f>
        <v>715</v>
      </c>
      <c r="AT5" s="111">
        <f>AT4*D5</f>
        <v>572</v>
      </c>
      <c r="AU5" s="111">
        <f>AU4*D5</f>
        <v>715</v>
      </c>
      <c r="AV5" s="112">
        <f t="shared" si="3"/>
        <v>8723</v>
      </c>
      <c r="AW5" s="111">
        <f>AW4*D5</f>
        <v>715</v>
      </c>
      <c r="AX5" s="111">
        <f>AX4*D5</f>
        <v>143</v>
      </c>
      <c r="AY5" s="111">
        <f>AY4*D5</f>
        <v>0</v>
      </c>
      <c r="AZ5" s="111">
        <f>AZ4*D5</f>
        <v>0</v>
      </c>
      <c r="BA5" s="111">
        <f>BA4*D5</f>
        <v>0</v>
      </c>
      <c r="BB5" s="111">
        <f>BB4*D5</f>
        <v>0</v>
      </c>
      <c r="BC5" s="111">
        <f>BC4*D5</f>
        <v>0</v>
      </c>
      <c r="BD5" s="111">
        <f>BD4*D5</f>
        <v>0</v>
      </c>
      <c r="BE5" s="111">
        <f>BE4*D5</f>
        <v>0</v>
      </c>
      <c r="BF5" s="111">
        <f>BF4*D5</f>
        <v>0</v>
      </c>
      <c r="BG5" s="111">
        <f>BG4*D5</f>
        <v>0</v>
      </c>
      <c r="BH5" s="111">
        <f>BH4*D5</f>
        <v>0</v>
      </c>
      <c r="BI5" s="112">
        <f t="shared" si="4"/>
        <v>858</v>
      </c>
      <c r="BJ5" s="174"/>
      <c r="BK5" s="174"/>
      <c r="BL5" s="174"/>
      <c r="BM5" s="174"/>
      <c r="BN5" s="174"/>
      <c r="BO5" s="174"/>
      <c r="BP5" s="193">
        <f t="shared" si="5"/>
        <v>27456</v>
      </c>
      <c r="BQ5" s="192"/>
      <c r="BR5" s="192"/>
      <c r="BS5" s="192"/>
      <c r="BT5" s="192"/>
      <c r="BU5" s="192"/>
      <c r="BV5" s="192"/>
      <c r="BW5" s="192"/>
      <c r="BX5" s="192"/>
      <c r="BY5" s="192"/>
      <c r="BZ5" s="192"/>
      <c r="CA5" s="192"/>
      <c r="CB5" s="192"/>
      <c r="CC5" s="192"/>
      <c r="CD5" s="192"/>
      <c r="CE5" s="192"/>
      <c r="CF5" s="192"/>
      <c r="CG5" s="192"/>
      <c r="CH5" s="192"/>
      <c r="CI5" s="192"/>
      <c r="CJ5" s="192"/>
      <c r="CK5" s="192"/>
      <c r="CL5" s="192"/>
      <c r="CM5" s="192"/>
      <c r="CN5" s="192"/>
      <c r="CO5" s="192"/>
      <c r="CP5" s="192"/>
      <c r="CQ5" s="192"/>
      <c r="CR5" s="192"/>
      <c r="CS5" s="192"/>
      <c r="CT5" s="192"/>
      <c r="CU5" s="192"/>
      <c r="CV5" s="192"/>
      <c r="CW5" s="192"/>
      <c r="CX5" s="192"/>
      <c r="CY5" s="192"/>
      <c r="CZ5" s="192"/>
      <c r="DA5" s="192"/>
      <c r="DB5" s="192"/>
      <c r="DC5" s="192"/>
      <c r="DD5" s="192"/>
      <c r="DE5" s="192"/>
      <c r="DF5" s="192"/>
      <c r="DG5" s="192"/>
      <c r="DH5" s="192"/>
      <c r="DI5" s="192"/>
      <c r="DJ5" s="192"/>
      <c r="DK5" s="192"/>
      <c r="DL5" s="192"/>
      <c r="DM5" s="192"/>
      <c r="DN5" s="192"/>
      <c r="DO5" s="192"/>
      <c r="DP5" s="192"/>
      <c r="DQ5" s="192"/>
      <c r="DR5" s="192"/>
      <c r="DS5" s="192"/>
      <c r="DT5" s="192"/>
      <c r="DU5" s="192"/>
      <c r="DV5" s="192"/>
      <c r="DW5" s="192"/>
      <c r="DX5" s="192"/>
      <c r="DY5" s="192"/>
      <c r="DZ5" s="192"/>
      <c r="EA5" s="192"/>
      <c r="EB5" s="192"/>
      <c r="EC5" s="192"/>
      <c r="ED5" s="192"/>
      <c r="EE5" s="192"/>
      <c r="EF5" s="192"/>
      <c r="EG5" s="192"/>
      <c r="EH5" s="192"/>
      <c r="EI5" s="192"/>
      <c r="EJ5" s="192"/>
      <c r="EK5" s="192"/>
      <c r="EL5" s="192"/>
      <c r="EM5" s="192"/>
      <c r="EN5" s="192"/>
      <c r="EO5" s="192"/>
      <c r="EP5" s="192"/>
      <c r="EQ5" s="192"/>
      <c r="ER5" s="192"/>
      <c r="ES5" s="192"/>
    </row>
    <row r="6" spans="1:149">
      <c r="A6" s="719"/>
      <c r="B6" s="719"/>
      <c r="C6" s="724" t="s">
        <v>313</v>
      </c>
      <c r="D6" s="725"/>
      <c r="E6" s="112">
        <v>0</v>
      </c>
      <c r="F6" s="111">
        <v>0</v>
      </c>
      <c r="G6" s="111">
        <v>0</v>
      </c>
      <c r="H6" s="111">
        <v>0</v>
      </c>
      <c r="I6" s="142" t="e">
        <f>I7/I5*10000</f>
        <v>#DIV/0!</v>
      </c>
      <c r="J6" s="111">
        <v>0</v>
      </c>
      <c r="K6" s="111">
        <v>0</v>
      </c>
      <c r="L6" s="111">
        <v>0</v>
      </c>
      <c r="M6" s="111"/>
      <c r="N6" s="111"/>
      <c r="O6" s="111"/>
      <c r="P6" s="141">
        <v>11333</v>
      </c>
      <c r="Q6" s="141">
        <v>10800</v>
      </c>
      <c r="R6" s="141">
        <v>10925</v>
      </c>
      <c r="S6" s="141">
        <v>11940</v>
      </c>
      <c r="T6" s="141">
        <v>11760</v>
      </c>
      <c r="U6" s="141">
        <f t="shared" ref="U6:Z6" si="6">T6</f>
        <v>11760</v>
      </c>
      <c r="V6" s="142">
        <f>V7/V5*10000</f>
        <v>11426.766666666668</v>
      </c>
      <c r="W6" s="111">
        <f>U6+400</f>
        <v>12160</v>
      </c>
      <c r="X6" s="111">
        <f t="shared" si="6"/>
        <v>12160</v>
      </c>
      <c r="Y6" s="111">
        <f t="shared" si="6"/>
        <v>12160</v>
      </c>
      <c r="Z6" s="111">
        <f t="shared" si="6"/>
        <v>12160</v>
      </c>
      <c r="AA6" s="111">
        <f>Z6+200</f>
        <v>12360</v>
      </c>
      <c r="AB6" s="111">
        <f t="shared" ref="AB6:AD6" si="7">AA6</f>
        <v>12360</v>
      </c>
      <c r="AC6" s="111">
        <f t="shared" si="7"/>
        <v>12360</v>
      </c>
      <c r="AD6" s="111">
        <f t="shared" si="7"/>
        <v>12360</v>
      </c>
      <c r="AE6" s="111">
        <f>AD6+200</f>
        <v>12560</v>
      </c>
      <c r="AF6" s="111">
        <f t="shared" ref="AF6:AH6" si="8">AE6</f>
        <v>12560</v>
      </c>
      <c r="AG6" s="111">
        <f t="shared" si="8"/>
        <v>12560</v>
      </c>
      <c r="AH6" s="111">
        <f t="shared" si="8"/>
        <v>12560</v>
      </c>
      <c r="AI6" s="142">
        <f>AI7/AI5*10000</f>
        <v>12360.000000000002</v>
      </c>
      <c r="AJ6" s="111">
        <f>AH6</f>
        <v>12560</v>
      </c>
      <c r="AK6" s="111">
        <f t="shared" ref="AK6:AQ6" si="9">AJ6</f>
        <v>12560</v>
      </c>
      <c r="AL6" s="111">
        <f t="shared" si="9"/>
        <v>12560</v>
      </c>
      <c r="AM6" s="111">
        <f>AL6+200</f>
        <v>12760</v>
      </c>
      <c r="AN6" s="111">
        <f t="shared" si="9"/>
        <v>12760</v>
      </c>
      <c r="AO6" s="111">
        <f t="shared" si="9"/>
        <v>12760</v>
      </c>
      <c r="AP6" s="111">
        <f t="shared" si="9"/>
        <v>12760</v>
      </c>
      <c r="AQ6" s="111">
        <f t="shared" si="9"/>
        <v>12760</v>
      </c>
      <c r="AR6" s="111">
        <f>AQ6+200</f>
        <v>12960</v>
      </c>
      <c r="AS6" s="111">
        <f t="shared" ref="AS6:AU6" si="10">AR6</f>
        <v>12960</v>
      </c>
      <c r="AT6" s="111">
        <f t="shared" si="10"/>
        <v>12960</v>
      </c>
      <c r="AU6" s="111">
        <f t="shared" si="10"/>
        <v>12960</v>
      </c>
      <c r="AV6" s="142">
        <f>AV7/AV5*10000</f>
        <v>12782.950819672129</v>
      </c>
      <c r="AW6" s="111">
        <f>AU6+200</f>
        <v>13160</v>
      </c>
      <c r="AX6" s="111">
        <f t="shared" ref="AX6:BH6" si="11">AW6</f>
        <v>13160</v>
      </c>
      <c r="AY6" s="111">
        <f t="shared" si="11"/>
        <v>13160</v>
      </c>
      <c r="AZ6" s="111">
        <f t="shared" si="11"/>
        <v>13160</v>
      </c>
      <c r="BA6" s="111">
        <f t="shared" si="11"/>
        <v>13160</v>
      </c>
      <c r="BB6" s="111">
        <f t="shared" si="11"/>
        <v>13160</v>
      </c>
      <c r="BC6" s="111">
        <f t="shared" si="11"/>
        <v>13160</v>
      </c>
      <c r="BD6" s="111">
        <f t="shared" si="11"/>
        <v>13160</v>
      </c>
      <c r="BE6" s="111">
        <f t="shared" si="11"/>
        <v>13160</v>
      </c>
      <c r="BF6" s="111">
        <f t="shared" si="11"/>
        <v>13160</v>
      </c>
      <c r="BG6" s="111">
        <f t="shared" si="11"/>
        <v>13160</v>
      </c>
      <c r="BH6" s="111">
        <f t="shared" si="11"/>
        <v>13160</v>
      </c>
      <c r="BI6" s="142">
        <f>BI7/BI5*10000</f>
        <v>13160.000000000004</v>
      </c>
      <c r="BJ6" s="175"/>
      <c r="BK6" s="175"/>
      <c r="BL6" s="175"/>
      <c r="BM6" s="175"/>
      <c r="BN6" s="175"/>
      <c r="BO6" s="175"/>
      <c r="BP6" s="194">
        <f>BP7/BP5*10000</f>
        <v>12227.739583333334</v>
      </c>
      <c r="BQ6" s="192"/>
      <c r="BR6" s="192"/>
      <c r="BS6" s="192"/>
      <c r="BT6" s="192"/>
      <c r="BU6" s="192"/>
      <c r="BV6" s="192"/>
      <c r="BW6" s="192"/>
      <c r="BX6" s="192"/>
      <c r="BY6" s="192"/>
      <c r="BZ6" s="192"/>
      <c r="CA6" s="192"/>
      <c r="CB6" s="192"/>
      <c r="CC6" s="192"/>
      <c r="CD6" s="192"/>
      <c r="CE6" s="192"/>
      <c r="CF6" s="192"/>
      <c r="CG6" s="192"/>
      <c r="CH6" s="192"/>
      <c r="CI6" s="192"/>
      <c r="CJ6" s="192"/>
      <c r="CK6" s="192"/>
      <c r="CL6" s="192"/>
      <c r="CM6" s="192"/>
      <c r="CN6" s="192"/>
      <c r="CO6" s="192"/>
      <c r="CP6" s="192"/>
      <c r="CQ6" s="192"/>
      <c r="CR6" s="192"/>
      <c r="CS6" s="192"/>
      <c r="CT6" s="192"/>
      <c r="CU6" s="192"/>
      <c r="CV6" s="192"/>
      <c r="CW6" s="192"/>
      <c r="CX6" s="192"/>
      <c r="CY6" s="192"/>
      <c r="CZ6" s="192"/>
      <c r="DA6" s="192"/>
      <c r="DB6" s="192"/>
      <c r="DC6" s="192"/>
      <c r="DD6" s="192"/>
      <c r="DE6" s="192"/>
      <c r="DF6" s="192"/>
      <c r="DG6" s="192"/>
      <c r="DH6" s="192"/>
      <c r="DI6" s="192"/>
      <c r="DJ6" s="192"/>
      <c r="DK6" s="192"/>
      <c r="DL6" s="192"/>
      <c r="DM6" s="192"/>
      <c r="DN6" s="192"/>
      <c r="DO6" s="192"/>
      <c r="DP6" s="192"/>
      <c r="DQ6" s="192"/>
      <c r="DR6" s="192"/>
      <c r="DS6" s="192"/>
      <c r="DT6" s="192"/>
      <c r="DU6" s="192"/>
      <c r="DV6" s="192"/>
      <c r="DW6" s="192"/>
      <c r="DX6" s="192"/>
      <c r="DY6" s="192"/>
      <c r="DZ6" s="192"/>
      <c r="EA6" s="192"/>
      <c r="EB6" s="192"/>
      <c r="EC6" s="192"/>
      <c r="ED6" s="192"/>
      <c r="EE6" s="192"/>
      <c r="EF6" s="192"/>
      <c r="EG6" s="192"/>
      <c r="EH6" s="192"/>
      <c r="EI6" s="192"/>
      <c r="EJ6" s="192"/>
      <c r="EK6" s="192"/>
      <c r="EL6" s="192"/>
      <c r="EM6" s="192"/>
      <c r="EN6" s="192"/>
      <c r="EO6" s="192"/>
      <c r="EP6" s="192"/>
      <c r="EQ6" s="192"/>
      <c r="ER6" s="192"/>
      <c r="ES6" s="192"/>
    </row>
    <row r="7" spans="1:149">
      <c r="A7" s="719"/>
      <c r="B7" s="719"/>
      <c r="C7" s="719" t="s">
        <v>314</v>
      </c>
      <c r="D7" s="719"/>
      <c r="E7" s="109">
        <f t="shared" ref="E7:H7" si="12">E5*E6/10000</f>
        <v>0</v>
      </c>
      <c r="F7" s="109">
        <f t="shared" si="12"/>
        <v>0</v>
      </c>
      <c r="G7" s="109">
        <f t="shared" si="12"/>
        <v>0</v>
      </c>
      <c r="H7" s="109">
        <f t="shared" si="12"/>
        <v>0</v>
      </c>
      <c r="I7" s="112">
        <f t="shared" si="0"/>
        <v>0</v>
      </c>
      <c r="J7" s="111">
        <f t="shared" ref="J7:N7" si="13">J5*J6/10000</f>
        <v>0</v>
      </c>
      <c r="K7" s="111">
        <f t="shared" si="13"/>
        <v>0</v>
      </c>
      <c r="L7" s="111">
        <f t="shared" si="13"/>
        <v>0</v>
      </c>
      <c r="M7" s="111">
        <f t="shared" si="13"/>
        <v>0</v>
      </c>
      <c r="N7" s="111">
        <f t="shared" si="13"/>
        <v>0</v>
      </c>
      <c r="O7" s="111">
        <f t="shared" ref="O7:U7" si="14">O5*O6/10000</f>
        <v>0</v>
      </c>
      <c r="P7" s="111">
        <f t="shared" si="14"/>
        <v>2755.0522999999998</v>
      </c>
      <c r="Q7" s="111">
        <f t="shared" si="14"/>
        <v>1389.96</v>
      </c>
      <c r="R7" s="111">
        <f t="shared" si="14"/>
        <v>1406.0474999999999</v>
      </c>
      <c r="S7" s="111">
        <f t="shared" si="14"/>
        <v>3244.098</v>
      </c>
      <c r="T7" s="111">
        <f t="shared" si="14"/>
        <v>336.33600000000001</v>
      </c>
      <c r="U7" s="111">
        <f t="shared" si="14"/>
        <v>672.67200000000003</v>
      </c>
      <c r="V7" s="112">
        <f t="shared" si="1"/>
        <v>9804.1658000000007</v>
      </c>
      <c r="W7" s="111">
        <f t="shared" ref="W7:Y7" si="15">W5*W6/10000</f>
        <v>1391.104</v>
      </c>
      <c r="X7" s="111">
        <f t="shared" si="15"/>
        <v>695.55200000000002</v>
      </c>
      <c r="Y7" s="111">
        <f t="shared" si="15"/>
        <v>869.44</v>
      </c>
      <c r="Z7" s="111">
        <f t="shared" ref="Z7:AH7" si="16">Z5*Z6/10000</f>
        <v>869.44</v>
      </c>
      <c r="AA7" s="111">
        <f t="shared" si="16"/>
        <v>883.74</v>
      </c>
      <c r="AB7" s="111">
        <f t="shared" si="16"/>
        <v>1060.4880000000001</v>
      </c>
      <c r="AC7" s="111">
        <f t="shared" si="16"/>
        <v>883.74</v>
      </c>
      <c r="AD7" s="111">
        <f t="shared" si="16"/>
        <v>883.74</v>
      </c>
      <c r="AE7" s="111">
        <f t="shared" si="16"/>
        <v>1257.2560000000001</v>
      </c>
      <c r="AF7" s="111">
        <f t="shared" si="16"/>
        <v>898.04</v>
      </c>
      <c r="AG7" s="111">
        <f t="shared" si="16"/>
        <v>898.04</v>
      </c>
      <c r="AH7" s="111">
        <f t="shared" si="16"/>
        <v>898.04</v>
      </c>
      <c r="AI7" s="166">
        <f t="shared" si="2"/>
        <v>11488.620000000003</v>
      </c>
      <c r="AJ7" s="111">
        <f>AJ5*AJ6/10000</f>
        <v>898.04</v>
      </c>
      <c r="AK7" s="111">
        <f t="shared" ref="AK7:AU7" si="17">AK5*AK6/10000</f>
        <v>718.43200000000002</v>
      </c>
      <c r="AL7" s="111">
        <f t="shared" si="17"/>
        <v>898.04</v>
      </c>
      <c r="AM7" s="111">
        <f t="shared" si="17"/>
        <v>1277.2760000000001</v>
      </c>
      <c r="AN7" s="111">
        <f t="shared" si="17"/>
        <v>912.34</v>
      </c>
      <c r="AO7" s="111">
        <f t="shared" si="17"/>
        <v>912.34</v>
      </c>
      <c r="AP7" s="111">
        <f t="shared" si="17"/>
        <v>912.34</v>
      </c>
      <c r="AQ7" s="111">
        <f t="shared" si="17"/>
        <v>729.87199999999996</v>
      </c>
      <c r="AR7" s="111">
        <f t="shared" si="17"/>
        <v>1297.296</v>
      </c>
      <c r="AS7" s="111">
        <f t="shared" si="17"/>
        <v>926.64</v>
      </c>
      <c r="AT7" s="111">
        <f t="shared" si="17"/>
        <v>741.31200000000001</v>
      </c>
      <c r="AU7" s="111">
        <f t="shared" si="17"/>
        <v>926.64</v>
      </c>
      <c r="AV7" s="166">
        <f t="shared" si="3"/>
        <v>11150.567999999999</v>
      </c>
      <c r="AW7" s="111">
        <f>AW5*AW6/10000</f>
        <v>940.94</v>
      </c>
      <c r="AX7" s="111">
        <f t="shared" ref="AX7:BH7" si="18">AX5*AX6/10000</f>
        <v>188.18799999999999</v>
      </c>
      <c r="AY7" s="111">
        <f t="shared" si="18"/>
        <v>0</v>
      </c>
      <c r="AZ7" s="111">
        <f t="shared" si="18"/>
        <v>0</v>
      </c>
      <c r="BA7" s="111">
        <f t="shared" si="18"/>
        <v>0</v>
      </c>
      <c r="BB7" s="111">
        <f t="shared" si="18"/>
        <v>0</v>
      </c>
      <c r="BC7" s="111">
        <f t="shared" si="18"/>
        <v>0</v>
      </c>
      <c r="BD7" s="111">
        <f t="shared" si="18"/>
        <v>0</v>
      </c>
      <c r="BE7" s="111">
        <f t="shared" si="18"/>
        <v>0</v>
      </c>
      <c r="BF7" s="111">
        <f t="shared" si="18"/>
        <v>0</v>
      </c>
      <c r="BG7" s="111">
        <f t="shared" si="18"/>
        <v>0</v>
      </c>
      <c r="BH7" s="111">
        <f t="shared" si="18"/>
        <v>0</v>
      </c>
      <c r="BI7" s="112">
        <f t="shared" si="4"/>
        <v>1129.1280000000002</v>
      </c>
      <c r="BJ7" s="174"/>
      <c r="BK7" s="174"/>
      <c r="BL7" s="174"/>
      <c r="BM7" s="174"/>
      <c r="BN7" s="174"/>
      <c r="BO7" s="174"/>
      <c r="BP7" s="193">
        <f t="shared" si="5"/>
        <v>33572.481800000001</v>
      </c>
      <c r="BQ7" s="192"/>
      <c r="BR7" s="192"/>
      <c r="BS7" s="192"/>
      <c r="BT7" s="192"/>
      <c r="BU7" s="192"/>
      <c r="BV7" s="192"/>
      <c r="BW7" s="192"/>
      <c r="BX7" s="192"/>
      <c r="BY7" s="192"/>
      <c r="BZ7" s="192"/>
      <c r="CA7" s="192"/>
      <c r="CB7" s="192"/>
      <c r="CC7" s="192"/>
      <c r="CD7" s="192"/>
      <c r="CE7" s="192"/>
      <c r="CF7" s="192"/>
      <c r="CG7" s="192"/>
      <c r="CH7" s="192"/>
      <c r="CI7" s="192"/>
      <c r="CJ7" s="192"/>
      <c r="CK7" s="192"/>
      <c r="CL7" s="192"/>
      <c r="CM7" s="192"/>
      <c r="CN7" s="192"/>
      <c r="CO7" s="192"/>
      <c r="CP7" s="192"/>
      <c r="CQ7" s="192"/>
      <c r="CR7" s="192"/>
      <c r="CS7" s="192"/>
      <c r="CT7" s="192"/>
      <c r="CU7" s="192"/>
      <c r="CV7" s="192"/>
      <c r="CW7" s="192"/>
      <c r="CX7" s="192"/>
      <c r="CY7" s="192"/>
      <c r="CZ7" s="192"/>
      <c r="DA7" s="192"/>
      <c r="DB7" s="192"/>
      <c r="DC7" s="192"/>
      <c r="DD7" s="192"/>
      <c r="DE7" s="192"/>
      <c r="DF7" s="192"/>
      <c r="DG7" s="192"/>
      <c r="DH7" s="192"/>
      <c r="DI7" s="192"/>
      <c r="DJ7" s="192"/>
      <c r="DK7" s="192"/>
      <c r="DL7" s="192"/>
      <c r="DM7" s="192"/>
      <c r="DN7" s="192"/>
      <c r="DO7" s="192"/>
      <c r="DP7" s="192"/>
      <c r="DQ7" s="192"/>
      <c r="DR7" s="192"/>
      <c r="DS7" s="192"/>
      <c r="DT7" s="192"/>
      <c r="DU7" s="192"/>
      <c r="DV7" s="192"/>
      <c r="DW7" s="192"/>
      <c r="DX7" s="192"/>
      <c r="DY7" s="192"/>
      <c r="DZ7" s="192"/>
      <c r="EA7" s="192"/>
      <c r="EB7" s="192"/>
      <c r="EC7" s="192"/>
      <c r="ED7" s="192"/>
      <c r="EE7" s="192"/>
      <c r="EF7" s="192"/>
      <c r="EG7" s="192"/>
      <c r="EH7" s="192"/>
      <c r="EI7" s="192"/>
      <c r="EJ7" s="192"/>
      <c r="EK7" s="192"/>
      <c r="EL7" s="192"/>
      <c r="EM7" s="192"/>
      <c r="EN7" s="192"/>
      <c r="EO7" s="192"/>
      <c r="EP7" s="192"/>
      <c r="EQ7" s="192"/>
      <c r="ER7" s="192"/>
      <c r="ES7" s="192"/>
    </row>
    <row r="8" spans="1:149">
      <c r="A8" s="719"/>
      <c r="B8" s="719" t="s">
        <v>315</v>
      </c>
      <c r="C8" s="109" t="s">
        <v>311</v>
      </c>
      <c r="D8" s="110">
        <v>192</v>
      </c>
      <c r="E8" s="111">
        <v>0</v>
      </c>
      <c r="F8" s="111">
        <v>0</v>
      </c>
      <c r="G8" s="111">
        <v>0</v>
      </c>
      <c r="H8" s="111">
        <v>0</v>
      </c>
      <c r="I8" s="112">
        <f t="shared" si="0"/>
        <v>0</v>
      </c>
      <c r="J8" s="111">
        <v>0</v>
      </c>
      <c r="K8" s="111">
        <v>0</v>
      </c>
      <c r="L8" s="111">
        <v>0</v>
      </c>
      <c r="M8" s="111">
        <v>0</v>
      </c>
      <c r="N8" s="111"/>
      <c r="O8" s="111"/>
      <c r="P8" s="141">
        <v>10</v>
      </c>
      <c r="Q8" s="141">
        <v>5</v>
      </c>
      <c r="R8" s="141">
        <v>8</v>
      </c>
      <c r="S8" s="141">
        <v>10</v>
      </c>
      <c r="T8" s="141">
        <v>9</v>
      </c>
      <c r="U8" s="141">
        <v>3</v>
      </c>
      <c r="V8" s="112">
        <f t="shared" si="1"/>
        <v>45</v>
      </c>
      <c r="W8" s="111">
        <v>3</v>
      </c>
      <c r="X8" s="111">
        <v>4</v>
      </c>
      <c r="Y8" s="111">
        <v>5</v>
      </c>
      <c r="Z8" s="111">
        <v>5</v>
      </c>
      <c r="AA8" s="111">
        <v>4</v>
      </c>
      <c r="AB8" s="111">
        <v>4</v>
      </c>
      <c r="AC8" s="111">
        <v>4</v>
      </c>
      <c r="AD8" s="111">
        <v>4</v>
      </c>
      <c r="AE8" s="111">
        <v>5</v>
      </c>
      <c r="AF8" s="111">
        <v>5</v>
      </c>
      <c r="AG8" s="111">
        <v>4</v>
      </c>
      <c r="AH8" s="111">
        <v>5</v>
      </c>
      <c r="AI8" s="112">
        <f t="shared" si="2"/>
        <v>52</v>
      </c>
      <c r="AJ8" s="111">
        <v>4</v>
      </c>
      <c r="AK8" s="111">
        <v>4</v>
      </c>
      <c r="AL8" s="111">
        <v>4</v>
      </c>
      <c r="AM8" s="111">
        <v>3</v>
      </c>
      <c r="AN8" s="111">
        <v>5</v>
      </c>
      <c r="AO8" s="111">
        <v>5</v>
      </c>
      <c r="AP8" s="111">
        <v>5</v>
      </c>
      <c r="AQ8" s="111">
        <v>5</v>
      </c>
      <c r="AR8" s="111">
        <v>5</v>
      </c>
      <c r="AS8" s="111">
        <v>5</v>
      </c>
      <c r="AT8" s="111">
        <v>5</v>
      </c>
      <c r="AU8" s="111">
        <v>5</v>
      </c>
      <c r="AV8" s="112">
        <f t="shared" si="3"/>
        <v>55</v>
      </c>
      <c r="AW8" s="111">
        <v>5</v>
      </c>
      <c r="AX8" s="111">
        <v>5</v>
      </c>
      <c r="AY8" s="111">
        <v>5</v>
      </c>
      <c r="AZ8" s="111">
        <v>5</v>
      </c>
      <c r="BA8" s="111">
        <v>5</v>
      </c>
      <c r="BB8" s="111">
        <v>5</v>
      </c>
      <c r="BC8" s="111">
        <v>5</v>
      </c>
      <c r="BD8" s="111">
        <v>5</v>
      </c>
      <c r="BE8" s="111">
        <v>0</v>
      </c>
      <c r="BF8" s="111">
        <v>0</v>
      </c>
      <c r="BG8" s="111"/>
      <c r="BH8" s="111"/>
      <c r="BI8" s="112">
        <f t="shared" si="4"/>
        <v>40</v>
      </c>
      <c r="BJ8" s="173"/>
      <c r="BK8" s="173"/>
      <c r="BL8" s="173"/>
      <c r="BM8" s="173"/>
      <c r="BN8" s="173"/>
      <c r="BO8" s="173"/>
      <c r="BP8" s="191">
        <f t="shared" si="5"/>
        <v>192</v>
      </c>
      <c r="BQ8" s="192">
        <f>BP8-D8</f>
        <v>0</v>
      </c>
      <c r="BR8" s="192"/>
      <c r="BS8" s="192"/>
      <c r="BT8" s="192"/>
      <c r="BU8" s="192"/>
      <c r="BV8" s="192"/>
      <c r="BW8" s="192"/>
      <c r="BX8" s="192"/>
      <c r="BY8" s="192"/>
      <c r="BZ8" s="192"/>
      <c r="CA8" s="192"/>
      <c r="CB8" s="192"/>
      <c r="CC8" s="192"/>
      <c r="CD8" s="192"/>
      <c r="CE8" s="192"/>
      <c r="CF8" s="192"/>
      <c r="CG8" s="192"/>
      <c r="CH8" s="192"/>
      <c r="CI8" s="192"/>
      <c r="CJ8" s="192"/>
      <c r="CK8" s="192"/>
      <c r="CL8" s="192"/>
      <c r="CM8" s="192"/>
      <c r="CN8" s="192"/>
      <c r="CO8" s="192"/>
      <c r="CP8" s="192"/>
      <c r="CQ8" s="192"/>
      <c r="CR8" s="192"/>
      <c r="CS8" s="192"/>
      <c r="CT8" s="192"/>
      <c r="CU8" s="192"/>
      <c r="CV8" s="192"/>
      <c r="CW8" s="192"/>
      <c r="CX8" s="192"/>
      <c r="CY8" s="192"/>
      <c r="CZ8" s="192"/>
      <c r="DA8" s="192"/>
      <c r="DB8" s="192"/>
      <c r="DC8" s="192"/>
      <c r="DD8" s="192"/>
      <c r="DE8" s="192"/>
      <c r="DF8" s="192"/>
      <c r="DG8" s="192"/>
      <c r="DH8" s="192"/>
      <c r="DI8" s="192"/>
      <c r="DJ8" s="192"/>
      <c r="DK8" s="192"/>
      <c r="DL8" s="192"/>
      <c r="DM8" s="192"/>
      <c r="DN8" s="192"/>
      <c r="DO8" s="192"/>
      <c r="DP8" s="192"/>
      <c r="DQ8" s="192"/>
      <c r="DR8" s="192"/>
      <c r="DS8" s="192"/>
      <c r="DT8" s="192"/>
      <c r="DU8" s="192"/>
      <c r="DV8" s="192"/>
      <c r="DW8" s="192"/>
      <c r="DX8" s="192"/>
      <c r="DY8" s="192"/>
      <c r="DZ8" s="192"/>
      <c r="EA8" s="192"/>
      <c r="EB8" s="192"/>
      <c r="EC8" s="192"/>
      <c r="ED8" s="192"/>
      <c r="EE8" s="192"/>
      <c r="EF8" s="192"/>
      <c r="EG8" s="192"/>
      <c r="EH8" s="192"/>
      <c r="EI8" s="192"/>
      <c r="EJ8" s="192"/>
      <c r="EK8" s="192"/>
      <c r="EL8" s="192"/>
      <c r="EM8" s="192"/>
      <c r="EN8" s="192"/>
      <c r="EO8" s="192"/>
      <c r="EP8" s="192"/>
      <c r="EQ8" s="192"/>
      <c r="ER8" s="192"/>
      <c r="ES8" s="192"/>
    </row>
    <row r="9" spans="1:149">
      <c r="A9" s="719"/>
      <c r="B9" s="719"/>
      <c r="C9" s="109" t="s">
        <v>312</v>
      </c>
      <c r="D9" s="110">
        <v>138.59</v>
      </c>
      <c r="E9" s="111">
        <f>E8*D9</f>
        <v>0</v>
      </c>
      <c r="F9" s="111">
        <f>F8*D9</f>
        <v>0</v>
      </c>
      <c r="G9" s="111">
        <f>G8*D9</f>
        <v>0</v>
      </c>
      <c r="H9" s="111">
        <f>H8*D9</f>
        <v>0</v>
      </c>
      <c r="I9" s="112">
        <f t="shared" si="0"/>
        <v>0</v>
      </c>
      <c r="J9" s="111">
        <f>J8*D9</f>
        <v>0</v>
      </c>
      <c r="K9" s="111">
        <f>K8*D9</f>
        <v>0</v>
      </c>
      <c r="L9" s="111">
        <f>L8*D9</f>
        <v>0</v>
      </c>
      <c r="M9" s="111">
        <f>M8*D9</f>
        <v>0</v>
      </c>
      <c r="N9" s="111">
        <f>N8*D9</f>
        <v>0</v>
      </c>
      <c r="O9" s="111">
        <f>O8*D9</f>
        <v>0</v>
      </c>
      <c r="P9" s="111">
        <f>P8*D9</f>
        <v>1385.9</v>
      </c>
      <c r="Q9" s="111">
        <f>Q8*D9</f>
        <v>692.95</v>
      </c>
      <c r="R9" s="111">
        <f>R8*D9</f>
        <v>1108.72</v>
      </c>
      <c r="S9" s="111">
        <f>S8*D9</f>
        <v>1385.9</v>
      </c>
      <c r="T9" s="111">
        <f>T8*D9</f>
        <v>1247.31</v>
      </c>
      <c r="U9" s="111">
        <f>U8*D9</f>
        <v>415.77</v>
      </c>
      <c r="V9" s="112">
        <f t="shared" si="1"/>
        <v>6236.5500000000011</v>
      </c>
      <c r="W9" s="111">
        <f>W8*D9</f>
        <v>415.77</v>
      </c>
      <c r="X9" s="111">
        <f>X8*D9</f>
        <v>554.36</v>
      </c>
      <c r="Y9" s="111">
        <f>Y8*D9</f>
        <v>692.95</v>
      </c>
      <c r="Z9" s="111">
        <f>Z8*D9</f>
        <v>692.95</v>
      </c>
      <c r="AA9" s="111">
        <f>AA8*D9</f>
        <v>554.36</v>
      </c>
      <c r="AB9" s="111">
        <f>AB8*D9</f>
        <v>554.36</v>
      </c>
      <c r="AC9" s="111">
        <f>AC8*D9</f>
        <v>554.36</v>
      </c>
      <c r="AD9" s="111">
        <f>AD8*D9</f>
        <v>554.36</v>
      </c>
      <c r="AE9" s="111">
        <f>AE8*D9</f>
        <v>692.95</v>
      </c>
      <c r="AF9" s="111">
        <f>AF8*D9</f>
        <v>692.95</v>
      </c>
      <c r="AG9" s="111">
        <f>AG8*D9</f>
        <v>554.36</v>
      </c>
      <c r="AH9" s="111">
        <f>AH8*D9</f>
        <v>692.95</v>
      </c>
      <c r="AI9" s="112">
        <f t="shared" si="2"/>
        <v>7206.6799999999994</v>
      </c>
      <c r="AJ9" s="111">
        <f>AJ8*D9</f>
        <v>554.36</v>
      </c>
      <c r="AK9" s="111">
        <f>AK8*D9</f>
        <v>554.36</v>
      </c>
      <c r="AL9" s="111">
        <f>AL8*D9</f>
        <v>554.36</v>
      </c>
      <c r="AM9" s="111">
        <f>AM8*D9</f>
        <v>415.77</v>
      </c>
      <c r="AN9" s="111">
        <f>AN8*D9</f>
        <v>692.95</v>
      </c>
      <c r="AO9" s="111">
        <f>AO8*D9</f>
        <v>692.95</v>
      </c>
      <c r="AP9" s="111">
        <f>AP8*D9</f>
        <v>692.95</v>
      </c>
      <c r="AQ9" s="111">
        <f>AQ8*D9</f>
        <v>692.95</v>
      </c>
      <c r="AR9" s="111">
        <f>AR8*D9</f>
        <v>692.95</v>
      </c>
      <c r="AS9" s="111">
        <f>AS8*D9</f>
        <v>692.95</v>
      </c>
      <c r="AT9" s="111">
        <f>AT8*D9</f>
        <v>692.95</v>
      </c>
      <c r="AU9" s="111">
        <f>AU8*D9</f>
        <v>692.95</v>
      </c>
      <c r="AV9" s="112">
        <f t="shared" si="3"/>
        <v>7622.4499999999989</v>
      </c>
      <c r="AW9" s="111">
        <f>AW8*D9</f>
        <v>692.95</v>
      </c>
      <c r="AX9" s="111">
        <f>AX8*D9</f>
        <v>692.95</v>
      </c>
      <c r="AY9" s="111">
        <f>AY8*D9</f>
        <v>692.95</v>
      </c>
      <c r="AZ9" s="111">
        <f>AZ8*D9</f>
        <v>692.95</v>
      </c>
      <c r="BA9" s="111">
        <f>BA8*D9</f>
        <v>692.95</v>
      </c>
      <c r="BB9" s="111">
        <f>BB8*D9</f>
        <v>692.95</v>
      </c>
      <c r="BC9" s="111">
        <f>BC8*D9</f>
        <v>692.95</v>
      </c>
      <c r="BD9" s="111">
        <f>BD8*D9</f>
        <v>692.95</v>
      </c>
      <c r="BE9" s="111">
        <f>BE8*D9</f>
        <v>0</v>
      </c>
      <c r="BF9" s="111">
        <f>BF8*D9</f>
        <v>0</v>
      </c>
      <c r="BG9" s="111">
        <f>BG8*D9</f>
        <v>0</v>
      </c>
      <c r="BH9" s="111">
        <f>BH8*D9</f>
        <v>0</v>
      </c>
      <c r="BI9" s="112">
        <f t="shared" si="4"/>
        <v>5543.5999999999995</v>
      </c>
      <c r="BJ9" s="174"/>
      <c r="BK9" s="174"/>
      <c r="BL9" s="174"/>
      <c r="BM9" s="174"/>
      <c r="BN9" s="174"/>
      <c r="BO9" s="174"/>
      <c r="BP9" s="193">
        <f t="shared" si="5"/>
        <v>26609.279999999999</v>
      </c>
      <c r="BQ9" s="192"/>
      <c r="BR9" s="192"/>
      <c r="BS9" s="192"/>
      <c r="BT9" s="192"/>
      <c r="BU9" s="192"/>
      <c r="BV9" s="192"/>
      <c r="BW9" s="192"/>
      <c r="BX9" s="192"/>
      <c r="BY9" s="192"/>
      <c r="BZ9" s="192"/>
      <c r="CA9" s="192"/>
      <c r="CB9" s="192"/>
      <c r="CC9" s="192"/>
      <c r="CD9" s="192"/>
      <c r="CE9" s="192"/>
      <c r="CF9" s="192"/>
      <c r="CG9" s="192"/>
      <c r="CH9" s="192"/>
      <c r="CI9" s="192"/>
      <c r="CJ9" s="192"/>
      <c r="CK9" s="192"/>
      <c r="CL9" s="192"/>
      <c r="CM9" s="192"/>
      <c r="CN9" s="192"/>
      <c r="CO9" s="192"/>
      <c r="CP9" s="192"/>
      <c r="CQ9" s="192"/>
      <c r="CR9" s="192"/>
      <c r="CS9" s="192"/>
      <c r="CT9" s="192"/>
      <c r="CU9" s="192"/>
      <c r="CV9" s="192"/>
      <c r="CW9" s="192"/>
      <c r="CX9" s="192"/>
      <c r="CY9" s="192"/>
      <c r="CZ9" s="192"/>
      <c r="DA9" s="192"/>
      <c r="DB9" s="192"/>
      <c r="DC9" s="192"/>
      <c r="DD9" s="192"/>
      <c r="DE9" s="192"/>
      <c r="DF9" s="192"/>
      <c r="DG9" s="192"/>
      <c r="DH9" s="192"/>
      <c r="DI9" s="192"/>
      <c r="DJ9" s="192"/>
      <c r="DK9" s="192"/>
      <c r="DL9" s="192"/>
      <c r="DM9" s="192"/>
      <c r="DN9" s="192"/>
      <c r="DO9" s="192"/>
      <c r="DP9" s="192"/>
      <c r="DQ9" s="192"/>
      <c r="DR9" s="192"/>
      <c r="DS9" s="192"/>
      <c r="DT9" s="192"/>
      <c r="DU9" s="192"/>
      <c r="DV9" s="192"/>
      <c r="DW9" s="192"/>
      <c r="DX9" s="192"/>
      <c r="DY9" s="192"/>
      <c r="DZ9" s="192"/>
      <c r="EA9" s="192"/>
      <c r="EB9" s="192"/>
      <c r="EC9" s="192"/>
      <c r="ED9" s="192"/>
      <c r="EE9" s="192"/>
      <c r="EF9" s="192"/>
      <c r="EG9" s="192"/>
      <c r="EH9" s="192"/>
      <c r="EI9" s="192"/>
      <c r="EJ9" s="192"/>
      <c r="EK9" s="192"/>
      <c r="EL9" s="192"/>
      <c r="EM9" s="192"/>
      <c r="EN9" s="192"/>
      <c r="EO9" s="192"/>
      <c r="EP9" s="192"/>
      <c r="EQ9" s="192"/>
      <c r="ER9" s="192"/>
      <c r="ES9" s="192"/>
    </row>
    <row r="10" spans="1:149">
      <c r="A10" s="719"/>
      <c r="B10" s="719"/>
      <c r="C10" s="724" t="s">
        <v>313</v>
      </c>
      <c r="D10" s="725"/>
      <c r="E10" s="112">
        <v>0</v>
      </c>
      <c r="F10" s="111">
        <v>0</v>
      </c>
      <c r="G10" s="111">
        <v>0</v>
      </c>
      <c r="H10" s="111">
        <v>0</v>
      </c>
      <c r="I10" s="142" t="e">
        <f>I11/I9*10000</f>
        <v>#DIV/0!</v>
      </c>
      <c r="J10" s="111">
        <f>E10</f>
        <v>0</v>
      </c>
      <c r="K10" s="111">
        <f>J10</f>
        <v>0</v>
      </c>
      <c r="L10" s="111">
        <v>0</v>
      </c>
      <c r="M10" s="111"/>
      <c r="N10" s="111"/>
      <c r="O10" s="111"/>
      <c r="P10" s="141">
        <v>10250</v>
      </c>
      <c r="Q10" s="141">
        <f t="shared" ref="Q10:U10" si="19">P10</f>
        <v>10250</v>
      </c>
      <c r="R10" s="141">
        <f>Q10+200</f>
        <v>10450</v>
      </c>
      <c r="S10" s="141">
        <f t="shared" si="19"/>
        <v>10450</v>
      </c>
      <c r="T10" s="141">
        <f>S10+300</f>
        <v>10750</v>
      </c>
      <c r="U10" s="141">
        <f t="shared" si="19"/>
        <v>10750</v>
      </c>
      <c r="V10" s="142">
        <f>V11/V9*10000</f>
        <v>10463.333333333334</v>
      </c>
      <c r="W10" s="111">
        <f>U10+500</f>
        <v>11250</v>
      </c>
      <c r="X10" s="111">
        <f t="shared" ref="X10:Z10" si="20">W10</f>
        <v>11250</v>
      </c>
      <c r="Y10" s="111">
        <f t="shared" si="20"/>
        <v>11250</v>
      </c>
      <c r="Z10" s="111">
        <f t="shared" si="20"/>
        <v>11250</v>
      </c>
      <c r="AA10" s="111">
        <f>Z10+200</f>
        <v>11450</v>
      </c>
      <c r="AB10" s="111">
        <f t="shared" ref="AB10:AD10" si="21">AA10</f>
        <v>11450</v>
      </c>
      <c r="AC10" s="111">
        <f t="shared" si="21"/>
        <v>11450</v>
      </c>
      <c r="AD10" s="111">
        <f t="shared" si="21"/>
        <v>11450</v>
      </c>
      <c r="AE10" s="111">
        <f>AD10+200</f>
        <v>11650</v>
      </c>
      <c r="AF10" s="111">
        <f t="shared" ref="AF10:AH10" si="22">AE10</f>
        <v>11650</v>
      </c>
      <c r="AG10" s="111">
        <f t="shared" si="22"/>
        <v>11650</v>
      </c>
      <c r="AH10" s="111">
        <f t="shared" si="22"/>
        <v>11650</v>
      </c>
      <c r="AI10" s="142">
        <f>AI11/AI9*10000</f>
        <v>11457.692307692309</v>
      </c>
      <c r="AJ10" s="111">
        <f>AH10</f>
        <v>11650</v>
      </c>
      <c r="AK10" s="111">
        <f t="shared" ref="AK10:AQ10" si="23">AJ10</f>
        <v>11650</v>
      </c>
      <c r="AL10" s="111">
        <f t="shared" si="23"/>
        <v>11650</v>
      </c>
      <c r="AM10" s="111">
        <f>AL10+200</f>
        <v>11850</v>
      </c>
      <c r="AN10" s="111">
        <f t="shared" si="23"/>
        <v>11850</v>
      </c>
      <c r="AO10" s="111">
        <f t="shared" si="23"/>
        <v>11850</v>
      </c>
      <c r="AP10" s="111">
        <f t="shared" si="23"/>
        <v>11850</v>
      </c>
      <c r="AQ10" s="111">
        <f t="shared" si="23"/>
        <v>11850</v>
      </c>
      <c r="AR10" s="111">
        <f>AQ10+200</f>
        <v>12050</v>
      </c>
      <c r="AS10" s="111">
        <f t="shared" ref="AS10:AU10" si="24">AR10</f>
        <v>12050</v>
      </c>
      <c r="AT10" s="111">
        <f t="shared" si="24"/>
        <v>12050</v>
      </c>
      <c r="AU10" s="111">
        <f t="shared" si="24"/>
        <v>12050</v>
      </c>
      <c r="AV10" s="142">
        <f>AV11/AV9*10000</f>
        <v>11879.09090909091</v>
      </c>
      <c r="AW10" s="111">
        <f>AU10+200</f>
        <v>12250</v>
      </c>
      <c r="AX10" s="111">
        <f t="shared" ref="AX10:BH10" si="25">AW10</f>
        <v>12250</v>
      </c>
      <c r="AY10" s="111">
        <f t="shared" si="25"/>
        <v>12250</v>
      </c>
      <c r="AZ10" s="111">
        <f t="shared" si="25"/>
        <v>12250</v>
      </c>
      <c r="BA10" s="111">
        <f t="shared" si="25"/>
        <v>12250</v>
      </c>
      <c r="BB10" s="111">
        <f t="shared" si="25"/>
        <v>12250</v>
      </c>
      <c r="BC10" s="111">
        <f t="shared" si="25"/>
        <v>12250</v>
      </c>
      <c r="BD10" s="111">
        <f t="shared" si="25"/>
        <v>12250</v>
      </c>
      <c r="BE10" s="111">
        <f t="shared" si="25"/>
        <v>12250</v>
      </c>
      <c r="BF10" s="111">
        <f t="shared" si="25"/>
        <v>12250</v>
      </c>
      <c r="BG10" s="111">
        <f t="shared" si="25"/>
        <v>12250</v>
      </c>
      <c r="BH10" s="111">
        <f t="shared" si="25"/>
        <v>12250</v>
      </c>
      <c r="BI10" s="142">
        <f>BI11/BI9*10000</f>
        <v>12250.000000000005</v>
      </c>
      <c r="BJ10" s="175"/>
      <c r="BK10" s="175"/>
      <c r="BL10" s="175"/>
      <c r="BM10" s="175"/>
      <c r="BN10" s="175"/>
      <c r="BO10" s="175"/>
      <c r="BP10" s="194">
        <f>BP11/BP9*10000</f>
        <v>11510.416666666668</v>
      </c>
      <c r="BQ10" s="192"/>
      <c r="BR10" s="192"/>
      <c r="BS10" s="192"/>
      <c r="BT10" s="192"/>
      <c r="BU10" s="192"/>
      <c r="BV10" s="192"/>
      <c r="BW10" s="192"/>
      <c r="BX10" s="192"/>
      <c r="BY10" s="192"/>
      <c r="BZ10" s="192"/>
      <c r="CA10" s="192"/>
      <c r="CB10" s="192"/>
      <c r="CC10" s="192"/>
      <c r="CD10" s="192"/>
      <c r="CE10" s="192"/>
      <c r="CF10" s="192"/>
      <c r="CG10" s="192"/>
      <c r="CH10" s="192"/>
      <c r="CI10" s="192"/>
      <c r="CJ10" s="192"/>
      <c r="CK10" s="192"/>
      <c r="CL10" s="192"/>
      <c r="CM10" s="192"/>
      <c r="CN10" s="192"/>
      <c r="CO10" s="192"/>
      <c r="CP10" s="192"/>
      <c r="CQ10" s="192"/>
      <c r="CR10" s="192"/>
      <c r="CS10" s="192"/>
      <c r="CT10" s="192"/>
      <c r="CU10" s="192"/>
      <c r="CV10" s="192"/>
      <c r="CW10" s="192"/>
      <c r="CX10" s="192"/>
      <c r="CY10" s="192"/>
      <c r="CZ10" s="192"/>
      <c r="DA10" s="192"/>
      <c r="DB10" s="192"/>
      <c r="DC10" s="192"/>
      <c r="DD10" s="192"/>
      <c r="DE10" s="192"/>
      <c r="DF10" s="192"/>
      <c r="DG10" s="192"/>
      <c r="DH10" s="192"/>
      <c r="DI10" s="192"/>
      <c r="DJ10" s="192"/>
      <c r="DK10" s="192"/>
      <c r="DL10" s="192"/>
      <c r="DM10" s="192"/>
      <c r="DN10" s="192"/>
      <c r="DO10" s="192"/>
      <c r="DP10" s="192"/>
      <c r="DQ10" s="192"/>
      <c r="DR10" s="192"/>
      <c r="DS10" s="192"/>
      <c r="DT10" s="192"/>
      <c r="DU10" s="192"/>
      <c r="DV10" s="192"/>
      <c r="DW10" s="192"/>
      <c r="DX10" s="192"/>
      <c r="DY10" s="192"/>
      <c r="DZ10" s="192"/>
      <c r="EA10" s="192"/>
      <c r="EB10" s="192"/>
      <c r="EC10" s="192"/>
      <c r="ED10" s="192"/>
      <c r="EE10" s="192"/>
      <c r="EF10" s="192"/>
      <c r="EG10" s="192"/>
      <c r="EH10" s="192"/>
      <c r="EI10" s="192"/>
      <c r="EJ10" s="192"/>
      <c r="EK10" s="192"/>
      <c r="EL10" s="192"/>
      <c r="EM10" s="192"/>
      <c r="EN10" s="192"/>
      <c r="EO10" s="192"/>
      <c r="EP10" s="192"/>
      <c r="EQ10" s="192"/>
      <c r="ER10" s="192"/>
      <c r="ES10" s="192"/>
    </row>
    <row r="11" spans="1:149">
      <c r="A11" s="719"/>
      <c r="B11" s="719"/>
      <c r="C11" s="719" t="s">
        <v>314</v>
      </c>
      <c r="D11" s="719"/>
      <c r="E11" s="109">
        <f t="shared" ref="E11:H11" si="26">E9*E10/10000</f>
        <v>0</v>
      </c>
      <c r="F11" s="109">
        <f t="shared" si="26"/>
        <v>0</v>
      </c>
      <c r="G11" s="109">
        <f t="shared" si="26"/>
        <v>0</v>
      </c>
      <c r="H11" s="109">
        <f t="shared" si="26"/>
        <v>0</v>
      </c>
      <c r="I11" s="112">
        <f>SUM(E11:H11)</f>
        <v>0</v>
      </c>
      <c r="J11" s="111">
        <f>J9*J10/10000</f>
        <v>0</v>
      </c>
      <c r="K11" s="111">
        <f t="shared" ref="K11:U11" si="27">K9*K10/10000</f>
        <v>0</v>
      </c>
      <c r="L11" s="111">
        <f t="shared" si="27"/>
        <v>0</v>
      </c>
      <c r="M11" s="111">
        <f t="shared" si="27"/>
        <v>0</v>
      </c>
      <c r="N11" s="111">
        <f t="shared" si="27"/>
        <v>0</v>
      </c>
      <c r="O11" s="111">
        <f t="shared" si="27"/>
        <v>0</v>
      </c>
      <c r="P11" s="111">
        <f t="shared" si="27"/>
        <v>1420.5475000000001</v>
      </c>
      <c r="Q11" s="111">
        <f t="shared" si="27"/>
        <v>710.27375000000006</v>
      </c>
      <c r="R11" s="111">
        <f t="shared" si="27"/>
        <v>1158.6124</v>
      </c>
      <c r="S11" s="111">
        <f t="shared" si="27"/>
        <v>1448.2655000000002</v>
      </c>
      <c r="T11" s="111">
        <f t="shared" si="27"/>
        <v>1340.85825</v>
      </c>
      <c r="U11" s="111">
        <f t="shared" si="27"/>
        <v>446.95274999999998</v>
      </c>
      <c r="V11" s="112">
        <f>SUM(J11:U11)</f>
        <v>6525.510150000001</v>
      </c>
      <c r="W11" s="111">
        <f>W9*W10/10000</f>
        <v>467.74124999999998</v>
      </c>
      <c r="X11" s="111">
        <f>X9*X10/10000</f>
        <v>623.65499999999997</v>
      </c>
      <c r="Y11" s="111">
        <f t="shared" ref="Y11:AH11" si="28">Y9*Y10/10000</f>
        <v>779.56875000000014</v>
      </c>
      <c r="Z11" s="111">
        <f t="shared" si="28"/>
        <v>779.56875000000014</v>
      </c>
      <c r="AA11" s="111">
        <f t="shared" si="28"/>
        <v>634.74220000000003</v>
      </c>
      <c r="AB11" s="111">
        <f t="shared" si="28"/>
        <v>634.74220000000003</v>
      </c>
      <c r="AC11" s="111">
        <f t="shared" si="28"/>
        <v>634.74220000000003</v>
      </c>
      <c r="AD11" s="111">
        <f t="shared" si="28"/>
        <v>634.74220000000003</v>
      </c>
      <c r="AE11" s="111">
        <f t="shared" si="28"/>
        <v>807.2867500000001</v>
      </c>
      <c r="AF11" s="111">
        <f t="shared" si="28"/>
        <v>807.2867500000001</v>
      </c>
      <c r="AG11" s="111">
        <f t="shared" si="28"/>
        <v>645.82939999999996</v>
      </c>
      <c r="AH11" s="111">
        <f t="shared" si="28"/>
        <v>807.2867500000001</v>
      </c>
      <c r="AI11" s="166">
        <f>SUM(W11:AH11)</f>
        <v>8257.1921999999995</v>
      </c>
      <c r="AJ11" s="111">
        <f>AJ9*AJ10/10000</f>
        <v>645.82939999999996</v>
      </c>
      <c r="AK11" s="111">
        <f t="shared" ref="AK11:AU11" si="29">AK9*AK10/10000</f>
        <v>645.82939999999996</v>
      </c>
      <c r="AL11" s="111">
        <f t="shared" si="29"/>
        <v>645.82939999999996</v>
      </c>
      <c r="AM11" s="111">
        <f t="shared" si="29"/>
        <v>492.68745000000001</v>
      </c>
      <c r="AN11" s="111">
        <f t="shared" si="29"/>
        <v>821.14575000000013</v>
      </c>
      <c r="AO11" s="111">
        <f t="shared" si="29"/>
        <v>821.14575000000013</v>
      </c>
      <c r="AP11" s="111">
        <f t="shared" si="29"/>
        <v>821.14575000000013</v>
      </c>
      <c r="AQ11" s="111">
        <f t="shared" si="29"/>
        <v>821.14575000000013</v>
      </c>
      <c r="AR11" s="111">
        <f t="shared" si="29"/>
        <v>835.00475000000006</v>
      </c>
      <c r="AS11" s="111">
        <f t="shared" si="29"/>
        <v>835.00475000000006</v>
      </c>
      <c r="AT11" s="111">
        <f t="shared" si="29"/>
        <v>835.00475000000006</v>
      </c>
      <c r="AU11" s="111">
        <f t="shared" si="29"/>
        <v>835.00475000000006</v>
      </c>
      <c r="AV11" s="166">
        <f>SUM(AJ11:AU11)</f>
        <v>9054.77765</v>
      </c>
      <c r="AW11" s="111">
        <f>AW9*AW10/10000</f>
        <v>848.86374999999998</v>
      </c>
      <c r="AX11" s="111">
        <f t="shared" ref="AX11:BH11" si="30">AX9*AX10/10000</f>
        <v>848.86374999999998</v>
      </c>
      <c r="AY11" s="111">
        <f t="shared" si="30"/>
        <v>848.86374999999998</v>
      </c>
      <c r="AZ11" s="111">
        <f t="shared" si="30"/>
        <v>848.86374999999998</v>
      </c>
      <c r="BA11" s="111">
        <f t="shared" si="30"/>
        <v>848.86374999999998</v>
      </c>
      <c r="BB11" s="111">
        <f t="shared" si="30"/>
        <v>848.86374999999998</v>
      </c>
      <c r="BC11" s="111">
        <f t="shared" si="30"/>
        <v>848.86374999999998</v>
      </c>
      <c r="BD11" s="111">
        <f t="shared" si="30"/>
        <v>848.86374999999998</v>
      </c>
      <c r="BE11" s="111">
        <f t="shared" si="30"/>
        <v>0</v>
      </c>
      <c r="BF11" s="111">
        <f t="shared" si="30"/>
        <v>0</v>
      </c>
      <c r="BG11" s="111">
        <f t="shared" si="30"/>
        <v>0</v>
      </c>
      <c r="BH11" s="111">
        <f t="shared" si="30"/>
        <v>0</v>
      </c>
      <c r="BI11" s="112">
        <f>SUM(AW11:BH11)</f>
        <v>6790.9100000000017</v>
      </c>
      <c r="BJ11" s="174"/>
      <c r="BK11" s="174"/>
      <c r="BL11" s="174"/>
      <c r="BM11" s="174"/>
      <c r="BN11" s="174"/>
      <c r="BO11" s="174"/>
      <c r="BP11" s="193">
        <f t="shared" ref="BP11:BP13" si="31">I11+V11+AI11+AV11+BI11</f>
        <v>30628.39</v>
      </c>
      <c r="BQ11" s="192"/>
      <c r="BR11" s="192"/>
      <c r="BS11" s="192"/>
      <c r="BT11" s="192"/>
      <c r="BU11" s="192"/>
      <c r="BV11" s="192"/>
      <c r="BW11" s="192"/>
      <c r="BX11" s="192"/>
      <c r="BY11" s="192"/>
      <c r="BZ11" s="192"/>
      <c r="CA11" s="192"/>
      <c r="CB11" s="192"/>
      <c r="CC11" s="192"/>
      <c r="CD11" s="192"/>
      <c r="CE11" s="192"/>
      <c r="CF11" s="192"/>
      <c r="CG11" s="192"/>
      <c r="CH11" s="192"/>
      <c r="CI11" s="192"/>
      <c r="CJ11" s="192"/>
      <c r="CK11" s="192"/>
      <c r="CL11" s="192"/>
      <c r="CM11" s="192"/>
      <c r="CN11" s="192"/>
      <c r="CO11" s="192"/>
      <c r="CP11" s="192"/>
      <c r="CQ11" s="192"/>
      <c r="CR11" s="192"/>
      <c r="CS11" s="192"/>
      <c r="CT11" s="192"/>
      <c r="CU11" s="192"/>
      <c r="CV11" s="192"/>
      <c r="CW11" s="192"/>
      <c r="CX11" s="192"/>
      <c r="CY11" s="192"/>
      <c r="CZ11" s="192"/>
      <c r="DA11" s="192"/>
      <c r="DB11" s="192"/>
      <c r="DC11" s="192"/>
      <c r="DD11" s="192"/>
      <c r="DE11" s="192"/>
      <c r="DF11" s="192"/>
      <c r="DG11" s="192"/>
      <c r="DH11" s="192"/>
      <c r="DI11" s="192"/>
      <c r="DJ11" s="192"/>
      <c r="DK11" s="192"/>
      <c r="DL11" s="192"/>
      <c r="DM11" s="192"/>
      <c r="DN11" s="192"/>
      <c r="DO11" s="192"/>
      <c r="DP11" s="192"/>
      <c r="DQ11" s="192"/>
      <c r="DR11" s="192"/>
      <c r="DS11" s="192"/>
      <c r="DT11" s="192"/>
      <c r="DU11" s="192"/>
      <c r="DV11" s="192"/>
      <c r="DW11" s="192"/>
      <c r="DX11" s="192"/>
      <c r="DY11" s="192"/>
      <c r="DZ11" s="192"/>
      <c r="EA11" s="192"/>
      <c r="EB11" s="192"/>
      <c r="EC11" s="192"/>
      <c r="ED11" s="192"/>
      <c r="EE11" s="192"/>
      <c r="EF11" s="192"/>
      <c r="EG11" s="192"/>
      <c r="EH11" s="192"/>
      <c r="EI11" s="192"/>
      <c r="EJ11" s="192"/>
      <c r="EK11" s="192"/>
      <c r="EL11" s="192"/>
      <c r="EM11" s="192"/>
      <c r="EN11" s="192"/>
      <c r="EO11" s="192"/>
      <c r="EP11" s="192"/>
      <c r="EQ11" s="192"/>
      <c r="ER11" s="192"/>
      <c r="ES11" s="192"/>
    </row>
    <row r="12" spans="1:149">
      <c r="A12" s="719"/>
      <c r="B12" s="728" t="s">
        <v>316</v>
      </c>
      <c r="C12" s="113" t="s">
        <v>311</v>
      </c>
      <c r="D12" s="114">
        <f t="shared" ref="D12:U13" si="32">D4+D8</f>
        <v>384</v>
      </c>
      <c r="E12" s="115">
        <f t="shared" si="32"/>
        <v>0</v>
      </c>
      <c r="F12" s="115">
        <f t="shared" si="32"/>
        <v>0</v>
      </c>
      <c r="G12" s="115">
        <f t="shared" si="32"/>
        <v>0</v>
      </c>
      <c r="H12" s="115">
        <f t="shared" si="32"/>
        <v>0</v>
      </c>
      <c r="I12" s="115">
        <f t="shared" si="32"/>
        <v>0</v>
      </c>
      <c r="J12" s="115">
        <f t="shared" si="32"/>
        <v>0</v>
      </c>
      <c r="K12" s="115">
        <f t="shared" si="32"/>
        <v>0</v>
      </c>
      <c r="L12" s="115">
        <f t="shared" si="32"/>
        <v>0</v>
      </c>
      <c r="M12" s="115">
        <f t="shared" si="32"/>
        <v>0</v>
      </c>
      <c r="N12" s="115">
        <f t="shared" si="32"/>
        <v>0</v>
      </c>
      <c r="O12" s="115">
        <f t="shared" si="32"/>
        <v>0</v>
      </c>
      <c r="P12" s="115">
        <f>P4+P8</f>
        <v>27</v>
      </c>
      <c r="Q12" s="115">
        <f t="shared" si="32"/>
        <v>14</v>
      </c>
      <c r="R12" s="115">
        <f t="shared" si="32"/>
        <v>17</v>
      </c>
      <c r="S12" s="115">
        <f t="shared" si="32"/>
        <v>29</v>
      </c>
      <c r="T12" s="115">
        <f t="shared" si="32"/>
        <v>11</v>
      </c>
      <c r="U12" s="115">
        <f t="shared" si="32"/>
        <v>7</v>
      </c>
      <c r="V12" s="154">
        <f>V4+V8</f>
        <v>105</v>
      </c>
      <c r="W12" s="115">
        <f>W4+W8</f>
        <v>11</v>
      </c>
      <c r="X12" s="115">
        <f t="shared" ref="X12:AI13" si="33">X4+X8</f>
        <v>8</v>
      </c>
      <c r="Y12" s="115">
        <f t="shared" si="33"/>
        <v>10</v>
      </c>
      <c r="Z12" s="115">
        <f t="shared" si="33"/>
        <v>10</v>
      </c>
      <c r="AA12" s="115">
        <f t="shared" si="33"/>
        <v>9</v>
      </c>
      <c r="AB12" s="115">
        <f t="shared" si="33"/>
        <v>10</v>
      </c>
      <c r="AC12" s="115">
        <f t="shared" si="33"/>
        <v>9</v>
      </c>
      <c r="AD12" s="115">
        <f t="shared" si="33"/>
        <v>9</v>
      </c>
      <c r="AE12" s="115">
        <f t="shared" si="33"/>
        <v>12</v>
      </c>
      <c r="AF12" s="115">
        <f t="shared" si="33"/>
        <v>10</v>
      </c>
      <c r="AG12" s="115">
        <f t="shared" si="33"/>
        <v>9</v>
      </c>
      <c r="AH12" s="115">
        <f t="shared" si="33"/>
        <v>10</v>
      </c>
      <c r="AI12" s="115">
        <f t="shared" si="33"/>
        <v>117</v>
      </c>
      <c r="AJ12" s="115">
        <f>AJ4+AJ8</f>
        <v>9</v>
      </c>
      <c r="AK12" s="115">
        <f t="shared" ref="AK12:BI13" si="34">AK4+AK8</f>
        <v>8</v>
      </c>
      <c r="AL12" s="115">
        <f t="shared" si="34"/>
        <v>9</v>
      </c>
      <c r="AM12" s="115">
        <f t="shared" si="34"/>
        <v>10</v>
      </c>
      <c r="AN12" s="115">
        <f t="shared" si="34"/>
        <v>10</v>
      </c>
      <c r="AO12" s="115">
        <f t="shared" si="34"/>
        <v>10</v>
      </c>
      <c r="AP12" s="115">
        <f t="shared" si="34"/>
        <v>10</v>
      </c>
      <c r="AQ12" s="115">
        <f t="shared" si="34"/>
        <v>9</v>
      </c>
      <c r="AR12" s="115">
        <f t="shared" si="34"/>
        <v>12</v>
      </c>
      <c r="AS12" s="115">
        <f t="shared" si="34"/>
        <v>10</v>
      </c>
      <c r="AT12" s="115">
        <f t="shared" si="34"/>
        <v>9</v>
      </c>
      <c r="AU12" s="115">
        <f t="shared" si="34"/>
        <v>10</v>
      </c>
      <c r="AV12" s="115">
        <f t="shared" si="34"/>
        <v>116</v>
      </c>
      <c r="AW12" s="115">
        <f t="shared" si="34"/>
        <v>10</v>
      </c>
      <c r="AX12" s="115">
        <f t="shared" si="34"/>
        <v>6</v>
      </c>
      <c r="AY12" s="115">
        <f t="shared" si="34"/>
        <v>5</v>
      </c>
      <c r="AZ12" s="115">
        <f t="shared" si="34"/>
        <v>5</v>
      </c>
      <c r="BA12" s="115">
        <f t="shared" si="34"/>
        <v>5</v>
      </c>
      <c r="BB12" s="115">
        <f t="shared" si="34"/>
        <v>5</v>
      </c>
      <c r="BC12" s="115">
        <f t="shared" si="34"/>
        <v>5</v>
      </c>
      <c r="BD12" s="115">
        <f t="shared" si="34"/>
        <v>5</v>
      </c>
      <c r="BE12" s="115">
        <f t="shared" si="34"/>
        <v>0</v>
      </c>
      <c r="BF12" s="115">
        <f t="shared" si="34"/>
        <v>0</v>
      </c>
      <c r="BG12" s="115">
        <f t="shared" si="34"/>
        <v>0</v>
      </c>
      <c r="BH12" s="115">
        <f t="shared" si="34"/>
        <v>0</v>
      </c>
      <c r="BI12" s="115">
        <f t="shared" si="34"/>
        <v>46</v>
      </c>
      <c r="BJ12" s="176"/>
      <c r="BK12" s="176"/>
      <c r="BL12" s="176"/>
      <c r="BM12" s="176"/>
      <c r="BN12" s="176"/>
      <c r="BO12" s="176"/>
      <c r="BP12" s="191">
        <f t="shared" si="31"/>
        <v>384</v>
      </c>
      <c r="BQ12" s="192">
        <f>BP12-D12</f>
        <v>0</v>
      </c>
      <c r="BR12" s="192"/>
      <c r="BS12" s="192"/>
      <c r="BT12" s="192"/>
      <c r="BU12" s="192"/>
      <c r="BV12" s="192"/>
      <c r="BW12" s="192"/>
      <c r="BX12" s="192"/>
      <c r="BY12" s="192"/>
      <c r="BZ12" s="192"/>
      <c r="CA12" s="192"/>
      <c r="CB12" s="192"/>
      <c r="CC12" s="192"/>
      <c r="CD12" s="192"/>
      <c r="CE12" s="192"/>
      <c r="CF12" s="192"/>
      <c r="CG12" s="192"/>
      <c r="CH12" s="192"/>
      <c r="CI12" s="192"/>
      <c r="CJ12" s="192"/>
      <c r="CK12" s="192"/>
      <c r="CL12" s="192"/>
      <c r="CM12" s="192"/>
      <c r="CN12" s="192"/>
      <c r="CO12" s="192"/>
      <c r="CP12" s="192"/>
      <c r="CQ12" s="192"/>
      <c r="CR12" s="192"/>
      <c r="CS12" s="192"/>
      <c r="CT12" s="192"/>
      <c r="CU12" s="192"/>
      <c r="CV12" s="192"/>
      <c r="CW12" s="192"/>
      <c r="CX12" s="192"/>
      <c r="CY12" s="192"/>
      <c r="CZ12" s="192"/>
      <c r="DA12" s="192"/>
      <c r="DB12" s="192"/>
      <c r="DC12" s="192"/>
      <c r="DD12" s="192"/>
      <c r="DE12" s="192"/>
      <c r="DF12" s="192"/>
      <c r="DG12" s="192"/>
      <c r="DH12" s="192"/>
      <c r="DI12" s="192"/>
      <c r="DJ12" s="192"/>
      <c r="DK12" s="192"/>
      <c r="DL12" s="192"/>
      <c r="DM12" s="192"/>
      <c r="DN12" s="192"/>
      <c r="DO12" s="192"/>
      <c r="DP12" s="192"/>
      <c r="DQ12" s="192"/>
      <c r="DR12" s="192"/>
      <c r="DS12" s="192"/>
      <c r="DT12" s="192"/>
      <c r="DU12" s="192"/>
      <c r="DV12" s="192"/>
      <c r="DW12" s="192"/>
      <c r="DX12" s="192"/>
      <c r="DY12" s="192"/>
      <c r="DZ12" s="192"/>
      <c r="EA12" s="192"/>
      <c r="EB12" s="192"/>
      <c r="EC12" s="192"/>
      <c r="ED12" s="192"/>
      <c r="EE12" s="192"/>
      <c r="EF12" s="192"/>
      <c r="EG12" s="192"/>
      <c r="EH12" s="192"/>
      <c r="EI12" s="192"/>
      <c r="EJ12" s="192"/>
      <c r="EK12" s="192"/>
      <c r="EL12" s="192"/>
      <c r="EM12" s="192"/>
      <c r="EN12" s="192"/>
      <c r="EO12" s="192"/>
      <c r="EP12" s="192"/>
      <c r="EQ12" s="192"/>
      <c r="ER12" s="192"/>
      <c r="ES12" s="192"/>
    </row>
    <row r="13" spans="1:149">
      <c r="A13" s="719"/>
      <c r="B13" s="728"/>
      <c r="C13" s="113" t="s">
        <v>312</v>
      </c>
      <c r="D13" s="114"/>
      <c r="E13" s="115">
        <f t="shared" si="32"/>
        <v>0</v>
      </c>
      <c r="F13" s="115">
        <f t="shared" si="32"/>
        <v>0</v>
      </c>
      <c r="G13" s="115">
        <f t="shared" si="32"/>
        <v>0</v>
      </c>
      <c r="H13" s="115">
        <f t="shared" si="32"/>
        <v>0</v>
      </c>
      <c r="I13" s="115">
        <f t="shared" si="32"/>
        <v>0</v>
      </c>
      <c r="J13" s="115">
        <f t="shared" si="32"/>
        <v>0</v>
      </c>
      <c r="K13" s="115">
        <f t="shared" si="32"/>
        <v>0</v>
      </c>
      <c r="L13" s="115">
        <f t="shared" si="32"/>
        <v>0</v>
      </c>
      <c r="M13" s="115">
        <f t="shared" si="32"/>
        <v>0</v>
      </c>
      <c r="N13" s="115">
        <f t="shared" si="32"/>
        <v>0</v>
      </c>
      <c r="O13" s="115">
        <f t="shared" si="32"/>
        <v>0</v>
      </c>
      <c r="P13" s="115">
        <f t="shared" si="32"/>
        <v>3816.9</v>
      </c>
      <c r="Q13" s="115">
        <f t="shared" si="32"/>
        <v>1979.95</v>
      </c>
      <c r="R13" s="115">
        <f t="shared" si="32"/>
        <v>2395.7200000000003</v>
      </c>
      <c r="S13" s="115">
        <f t="shared" si="32"/>
        <v>4102.8999999999996</v>
      </c>
      <c r="T13" s="115">
        <f t="shared" si="32"/>
        <v>1533.31</v>
      </c>
      <c r="U13" s="115">
        <f t="shared" si="32"/>
        <v>987.77</v>
      </c>
      <c r="V13" s="115">
        <f>V5+V9</f>
        <v>14816.550000000001</v>
      </c>
      <c r="W13" s="115">
        <f>W5+W9</f>
        <v>1559.77</v>
      </c>
      <c r="X13" s="115">
        <f t="shared" si="33"/>
        <v>1126.3600000000001</v>
      </c>
      <c r="Y13" s="115">
        <f t="shared" si="33"/>
        <v>1407.95</v>
      </c>
      <c r="Z13" s="115">
        <f t="shared" si="33"/>
        <v>1407.95</v>
      </c>
      <c r="AA13" s="115">
        <f t="shared" si="33"/>
        <v>1269.3600000000001</v>
      </c>
      <c r="AB13" s="115">
        <f t="shared" si="33"/>
        <v>1412.3600000000001</v>
      </c>
      <c r="AC13" s="115">
        <f t="shared" si="33"/>
        <v>1269.3600000000001</v>
      </c>
      <c r="AD13" s="115">
        <f t="shared" si="33"/>
        <v>1269.3600000000001</v>
      </c>
      <c r="AE13" s="115">
        <f t="shared" si="33"/>
        <v>1693.95</v>
      </c>
      <c r="AF13" s="115">
        <f t="shared" si="33"/>
        <v>1407.95</v>
      </c>
      <c r="AG13" s="115">
        <f t="shared" ref="AG13:AJ13" si="35">AG5+AG9</f>
        <v>1269.3600000000001</v>
      </c>
      <c r="AH13" s="115">
        <f t="shared" si="35"/>
        <v>1407.95</v>
      </c>
      <c r="AI13" s="115">
        <f t="shared" si="35"/>
        <v>16501.68</v>
      </c>
      <c r="AJ13" s="115">
        <f t="shared" si="35"/>
        <v>1269.3600000000001</v>
      </c>
      <c r="AK13" s="115">
        <f t="shared" si="34"/>
        <v>1126.3600000000001</v>
      </c>
      <c r="AL13" s="115">
        <f t="shared" si="34"/>
        <v>1269.3600000000001</v>
      </c>
      <c r="AM13" s="115">
        <f t="shared" si="34"/>
        <v>1416.77</v>
      </c>
      <c r="AN13" s="115">
        <f t="shared" si="34"/>
        <v>1407.95</v>
      </c>
      <c r="AO13" s="115">
        <f t="shared" si="34"/>
        <v>1407.95</v>
      </c>
      <c r="AP13" s="115">
        <f t="shared" si="34"/>
        <v>1407.95</v>
      </c>
      <c r="AQ13" s="115">
        <f t="shared" si="34"/>
        <v>1264.95</v>
      </c>
      <c r="AR13" s="115">
        <f t="shared" si="34"/>
        <v>1693.95</v>
      </c>
      <c r="AS13" s="115">
        <f t="shared" si="34"/>
        <v>1407.95</v>
      </c>
      <c r="AT13" s="115">
        <f t="shared" si="34"/>
        <v>1264.95</v>
      </c>
      <c r="AU13" s="115">
        <f t="shared" si="34"/>
        <v>1407.95</v>
      </c>
      <c r="AV13" s="115">
        <f t="shared" si="34"/>
        <v>16345.449999999999</v>
      </c>
      <c r="AW13" s="115">
        <f t="shared" si="34"/>
        <v>1407.95</v>
      </c>
      <c r="AX13" s="115">
        <f t="shared" si="34"/>
        <v>835.95</v>
      </c>
      <c r="AY13" s="115">
        <f t="shared" si="34"/>
        <v>692.95</v>
      </c>
      <c r="AZ13" s="115">
        <f t="shared" si="34"/>
        <v>692.95</v>
      </c>
      <c r="BA13" s="115">
        <f t="shared" si="34"/>
        <v>692.95</v>
      </c>
      <c r="BB13" s="115">
        <f t="shared" si="34"/>
        <v>692.95</v>
      </c>
      <c r="BC13" s="115">
        <f t="shared" si="34"/>
        <v>692.95</v>
      </c>
      <c r="BD13" s="115">
        <f t="shared" si="34"/>
        <v>692.95</v>
      </c>
      <c r="BE13" s="115">
        <f t="shared" si="34"/>
        <v>0</v>
      </c>
      <c r="BF13" s="115">
        <f t="shared" si="34"/>
        <v>0</v>
      </c>
      <c r="BG13" s="115">
        <f t="shared" si="34"/>
        <v>0</v>
      </c>
      <c r="BH13" s="115">
        <f t="shared" si="34"/>
        <v>0</v>
      </c>
      <c r="BI13" s="115">
        <f t="shared" si="34"/>
        <v>6401.5999999999995</v>
      </c>
      <c r="BJ13" s="177"/>
      <c r="BK13" s="177"/>
      <c r="BL13" s="177"/>
      <c r="BM13" s="177"/>
      <c r="BN13" s="177"/>
      <c r="BO13" s="177"/>
      <c r="BP13" s="193">
        <f t="shared" si="31"/>
        <v>54065.279999999999</v>
      </c>
      <c r="BQ13" s="192"/>
      <c r="BR13" s="192"/>
      <c r="BS13" s="192"/>
      <c r="BT13" s="192"/>
      <c r="BU13" s="192"/>
      <c r="BV13" s="192"/>
      <c r="BW13" s="192"/>
      <c r="BX13" s="192"/>
      <c r="BY13" s="192"/>
      <c r="BZ13" s="192"/>
      <c r="CA13" s="192"/>
      <c r="CB13" s="192"/>
      <c r="CC13" s="192"/>
      <c r="CD13" s="192"/>
      <c r="CE13" s="192"/>
      <c r="CF13" s="192"/>
      <c r="CG13" s="192"/>
      <c r="CH13" s="192"/>
      <c r="CI13" s="192"/>
      <c r="CJ13" s="192"/>
      <c r="CK13" s="192"/>
      <c r="CL13" s="192"/>
      <c r="CM13" s="192"/>
      <c r="CN13" s="192"/>
      <c r="CO13" s="192"/>
      <c r="CP13" s="192"/>
      <c r="CQ13" s="192"/>
      <c r="CR13" s="192"/>
      <c r="CS13" s="192"/>
      <c r="CT13" s="192"/>
      <c r="CU13" s="192"/>
      <c r="CV13" s="192"/>
      <c r="CW13" s="192"/>
      <c r="CX13" s="192"/>
      <c r="CY13" s="192"/>
      <c r="CZ13" s="192"/>
      <c r="DA13" s="192"/>
      <c r="DB13" s="192"/>
      <c r="DC13" s="192"/>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row>
    <row r="14" spans="1:149">
      <c r="A14" s="719"/>
      <c r="B14" s="728"/>
      <c r="C14" s="744" t="s">
        <v>313</v>
      </c>
      <c r="D14" s="745"/>
      <c r="E14" s="115" t="e">
        <f t="shared" ref="E14:H14" si="36">E15/E13*10000</f>
        <v>#DIV/0!</v>
      </c>
      <c r="F14" s="115" t="e">
        <f t="shared" si="36"/>
        <v>#DIV/0!</v>
      </c>
      <c r="G14" s="115" t="e">
        <f t="shared" si="36"/>
        <v>#DIV/0!</v>
      </c>
      <c r="H14" s="115" t="e">
        <f t="shared" si="36"/>
        <v>#DIV/0!</v>
      </c>
      <c r="I14" s="115" t="e">
        <f t="shared" ref="I14:W14" si="37">I15/I13*10000</f>
        <v>#DIV/0!</v>
      </c>
      <c r="J14" s="115" t="e">
        <f t="shared" si="37"/>
        <v>#DIV/0!</v>
      </c>
      <c r="K14" s="115" t="e">
        <f t="shared" si="37"/>
        <v>#DIV/0!</v>
      </c>
      <c r="L14" s="115" t="e">
        <f t="shared" si="37"/>
        <v>#DIV/0!</v>
      </c>
      <c r="M14" s="115" t="e">
        <f t="shared" si="37"/>
        <v>#DIV/0!</v>
      </c>
      <c r="N14" s="115" t="e">
        <f t="shared" si="37"/>
        <v>#DIV/0!</v>
      </c>
      <c r="O14" s="115" t="e">
        <f t="shared" si="37"/>
        <v>#DIV/0!</v>
      </c>
      <c r="P14" s="115">
        <f t="shared" si="37"/>
        <v>10939.767350467657</v>
      </c>
      <c r="Q14" s="115">
        <f t="shared" si="37"/>
        <v>10607.509028005759</v>
      </c>
      <c r="R14" s="115">
        <f t="shared" si="37"/>
        <v>10705.173809961096</v>
      </c>
      <c r="S14" s="115">
        <f t="shared" si="37"/>
        <v>11436.699651466039</v>
      </c>
      <c r="T14" s="115">
        <f t="shared" si="37"/>
        <v>10938.389823323398</v>
      </c>
      <c r="U14" s="115">
        <f t="shared" si="37"/>
        <v>11334.872996750257</v>
      </c>
      <c r="V14" s="115">
        <f t="shared" si="37"/>
        <v>11021.240403467742</v>
      </c>
      <c r="W14" s="115">
        <f t="shared" si="37"/>
        <v>11917.431736730416</v>
      </c>
      <c r="X14" s="115">
        <f t="shared" ref="X14:AJ14" si="38">X15/X13*10000</f>
        <v>11712.12578571682</v>
      </c>
      <c r="Y14" s="115">
        <f t="shared" si="38"/>
        <v>11712.125785716822</v>
      </c>
      <c r="Z14" s="115">
        <f t="shared" si="38"/>
        <v>11712.125785716822</v>
      </c>
      <c r="AA14" s="115">
        <f t="shared" si="38"/>
        <v>11962.58114325329</v>
      </c>
      <c r="AB14" s="115">
        <f t="shared" si="38"/>
        <v>12002.819394488655</v>
      </c>
      <c r="AC14" s="115">
        <f t="shared" si="38"/>
        <v>11962.58114325329</v>
      </c>
      <c r="AD14" s="115">
        <f t="shared" si="38"/>
        <v>11962.58114325329</v>
      </c>
      <c r="AE14" s="115">
        <f t="shared" si="38"/>
        <v>12187.74314472092</v>
      </c>
      <c r="AF14" s="115">
        <f t="shared" si="38"/>
        <v>12112.125785716822</v>
      </c>
      <c r="AG14" s="115">
        <f t="shared" si="38"/>
        <v>12162.581143253292</v>
      </c>
      <c r="AH14" s="115">
        <f t="shared" si="38"/>
        <v>12112.125785716822</v>
      </c>
      <c r="AI14" s="115">
        <f t="shared" si="38"/>
        <v>11965.940558779468</v>
      </c>
      <c r="AJ14" s="115">
        <f t="shared" si="38"/>
        <v>12162.581143253292</v>
      </c>
      <c r="AK14" s="115">
        <f t="shared" ref="AK14:AW14" si="39">AK15/AK13*10000</f>
        <v>12112.12578571682</v>
      </c>
      <c r="AL14" s="115">
        <f t="shared" si="39"/>
        <v>12162.581143253292</v>
      </c>
      <c r="AM14" s="115">
        <f t="shared" si="39"/>
        <v>12492.948396705184</v>
      </c>
      <c r="AN14" s="115">
        <f t="shared" si="39"/>
        <v>12312.125785716824</v>
      </c>
      <c r="AO14" s="115">
        <f t="shared" si="39"/>
        <v>12312.125785716824</v>
      </c>
      <c r="AP14" s="115">
        <f t="shared" si="39"/>
        <v>12312.125785716824</v>
      </c>
      <c r="AQ14" s="115">
        <f t="shared" si="39"/>
        <v>12261.494525475315</v>
      </c>
      <c r="AR14" s="115">
        <f t="shared" si="39"/>
        <v>12587.74314472092</v>
      </c>
      <c r="AS14" s="115">
        <f t="shared" si="39"/>
        <v>12512.12578571682</v>
      </c>
      <c r="AT14" s="115">
        <f t="shared" si="39"/>
        <v>12461.494525475315</v>
      </c>
      <c r="AU14" s="115">
        <f t="shared" si="39"/>
        <v>12512.12578571682</v>
      </c>
      <c r="AV14" s="115">
        <f t="shared" si="39"/>
        <v>12361.449608300782</v>
      </c>
      <c r="AW14" s="115">
        <f t="shared" si="39"/>
        <v>12712.125785716822</v>
      </c>
      <c r="AX14" s="115">
        <f t="shared" ref="AX14:BI14" si="40">AX15/AX13*10000</f>
        <v>12405.667204976375</v>
      </c>
      <c r="AY14" s="115">
        <f t="shared" si="40"/>
        <v>12249.999999999998</v>
      </c>
      <c r="AZ14" s="115">
        <f t="shared" si="40"/>
        <v>12249.999999999998</v>
      </c>
      <c r="BA14" s="115">
        <f t="shared" si="40"/>
        <v>12249.999999999998</v>
      </c>
      <c r="BB14" s="115">
        <f t="shared" si="40"/>
        <v>12249.999999999998</v>
      </c>
      <c r="BC14" s="115">
        <f t="shared" si="40"/>
        <v>12249.999999999998</v>
      </c>
      <c r="BD14" s="115">
        <f t="shared" si="40"/>
        <v>12249.999999999998</v>
      </c>
      <c r="BE14" s="115" t="e">
        <f t="shared" si="40"/>
        <v>#DIV/0!</v>
      </c>
      <c r="BF14" s="115" t="e">
        <f t="shared" si="40"/>
        <v>#DIV/0!</v>
      </c>
      <c r="BG14" s="115" t="e">
        <f t="shared" si="40"/>
        <v>#DIV/0!</v>
      </c>
      <c r="BH14" s="115" t="e">
        <f t="shared" si="40"/>
        <v>#DIV/0!</v>
      </c>
      <c r="BI14" s="115">
        <f t="shared" si="40"/>
        <v>12371.966383404153</v>
      </c>
      <c r="BJ14" s="176"/>
      <c r="BK14" s="176"/>
      <c r="BL14" s="176"/>
      <c r="BM14" s="176"/>
      <c r="BN14" s="176"/>
      <c r="BO14" s="176"/>
      <c r="BP14" s="195">
        <f>BP15/BP13*10000</f>
        <v>11874.695146312015</v>
      </c>
      <c r="BQ14" s="192"/>
      <c r="BR14" s="192"/>
      <c r="BS14" s="192"/>
      <c r="BT14" s="192"/>
      <c r="BU14" s="192"/>
      <c r="BV14" s="192"/>
      <c r="BW14" s="192"/>
      <c r="BX14" s="192"/>
      <c r="BY14" s="192"/>
      <c r="BZ14" s="192"/>
      <c r="CA14" s="192"/>
      <c r="CB14" s="192"/>
      <c r="CC14" s="192"/>
      <c r="CD14" s="192"/>
      <c r="CE14" s="192"/>
      <c r="CF14" s="192"/>
      <c r="CG14" s="192"/>
      <c r="CH14" s="192"/>
      <c r="CI14" s="192"/>
      <c r="CJ14" s="192"/>
      <c r="CK14" s="192"/>
      <c r="CL14" s="192"/>
      <c r="CM14" s="192"/>
      <c r="CN14" s="192"/>
      <c r="CO14" s="192"/>
      <c r="CP14" s="192"/>
      <c r="CQ14" s="192"/>
      <c r="CR14" s="192"/>
      <c r="CS14" s="192"/>
      <c r="CT14" s="192"/>
      <c r="CU14" s="192"/>
      <c r="CV14" s="192"/>
      <c r="CW14" s="192"/>
      <c r="CX14" s="192"/>
      <c r="CY14" s="192"/>
      <c r="CZ14" s="192"/>
      <c r="DA14" s="192"/>
      <c r="DB14" s="192"/>
      <c r="DC14" s="192"/>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row>
    <row r="15" spans="1:149">
      <c r="A15" s="719"/>
      <c r="B15" s="728"/>
      <c r="C15" s="728" t="s">
        <v>314</v>
      </c>
      <c r="D15" s="728"/>
      <c r="E15" s="113">
        <f t="shared" ref="E15:W15" si="41">E7+E11</f>
        <v>0</v>
      </c>
      <c r="F15" s="113">
        <f t="shared" si="41"/>
        <v>0</v>
      </c>
      <c r="G15" s="113">
        <f t="shared" si="41"/>
        <v>0</v>
      </c>
      <c r="H15" s="113">
        <f t="shared" si="41"/>
        <v>0</v>
      </c>
      <c r="I15" s="115">
        <f t="shared" si="41"/>
        <v>0</v>
      </c>
      <c r="J15" s="115">
        <f t="shared" si="41"/>
        <v>0</v>
      </c>
      <c r="K15" s="115">
        <f t="shared" si="41"/>
        <v>0</v>
      </c>
      <c r="L15" s="115">
        <f t="shared" si="41"/>
        <v>0</v>
      </c>
      <c r="M15" s="115">
        <f t="shared" si="41"/>
        <v>0</v>
      </c>
      <c r="N15" s="115">
        <f t="shared" si="41"/>
        <v>0</v>
      </c>
      <c r="O15" s="115">
        <f t="shared" si="41"/>
        <v>0</v>
      </c>
      <c r="P15" s="115">
        <f t="shared" si="41"/>
        <v>4175.5998</v>
      </c>
      <c r="Q15" s="115">
        <f t="shared" si="41"/>
        <v>2100.2337500000003</v>
      </c>
      <c r="R15" s="115">
        <f t="shared" si="41"/>
        <v>2564.6598999999997</v>
      </c>
      <c r="S15" s="115">
        <f t="shared" si="41"/>
        <v>4692.3635000000004</v>
      </c>
      <c r="T15" s="115">
        <f t="shared" si="41"/>
        <v>1677.19425</v>
      </c>
      <c r="U15" s="115">
        <f t="shared" si="41"/>
        <v>1119.6247499999999</v>
      </c>
      <c r="V15" s="115">
        <f t="shared" si="41"/>
        <v>16329.675950000001</v>
      </c>
      <c r="W15" s="115">
        <f t="shared" si="41"/>
        <v>1858.8452500000001</v>
      </c>
      <c r="X15" s="115">
        <f t="shared" ref="X15:AJ15" si="42">X7+X11</f>
        <v>1319.2069999999999</v>
      </c>
      <c r="Y15" s="115">
        <f t="shared" si="42"/>
        <v>1649.0087500000002</v>
      </c>
      <c r="Z15" s="115">
        <f t="shared" si="42"/>
        <v>1649.0087500000002</v>
      </c>
      <c r="AA15" s="115">
        <f t="shared" si="42"/>
        <v>1518.4821999999999</v>
      </c>
      <c r="AB15" s="115">
        <f t="shared" si="42"/>
        <v>1695.2302</v>
      </c>
      <c r="AC15" s="115">
        <f t="shared" si="42"/>
        <v>1518.4821999999999</v>
      </c>
      <c r="AD15" s="115">
        <f t="shared" si="42"/>
        <v>1518.4821999999999</v>
      </c>
      <c r="AE15" s="115">
        <f t="shared" si="42"/>
        <v>2064.5427500000001</v>
      </c>
      <c r="AF15" s="115">
        <f t="shared" si="42"/>
        <v>1705.3267500000002</v>
      </c>
      <c r="AG15" s="115">
        <f t="shared" si="42"/>
        <v>1543.8694</v>
      </c>
      <c r="AH15" s="115">
        <f t="shared" si="42"/>
        <v>1705.3267500000002</v>
      </c>
      <c r="AI15" s="115">
        <f t="shared" si="42"/>
        <v>19745.8122</v>
      </c>
      <c r="AJ15" s="115">
        <f t="shared" si="42"/>
        <v>1543.8694</v>
      </c>
      <c r="AK15" s="115">
        <f t="shared" ref="AK15:BI15" si="43">AK7+AK11</f>
        <v>1364.2613999999999</v>
      </c>
      <c r="AL15" s="115">
        <f t="shared" si="43"/>
        <v>1543.8694</v>
      </c>
      <c r="AM15" s="115">
        <f t="shared" si="43"/>
        <v>1769.9634500000002</v>
      </c>
      <c r="AN15" s="115">
        <f t="shared" si="43"/>
        <v>1733.4857500000003</v>
      </c>
      <c r="AO15" s="115">
        <f t="shared" si="43"/>
        <v>1733.4857500000003</v>
      </c>
      <c r="AP15" s="115">
        <f t="shared" si="43"/>
        <v>1733.4857500000003</v>
      </c>
      <c r="AQ15" s="115">
        <f t="shared" si="43"/>
        <v>1551.01775</v>
      </c>
      <c r="AR15" s="115">
        <f t="shared" si="43"/>
        <v>2132.3007500000003</v>
      </c>
      <c r="AS15" s="115">
        <f t="shared" si="43"/>
        <v>1761.6447499999999</v>
      </c>
      <c r="AT15" s="115">
        <f t="shared" si="43"/>
        <v>1576.31675</v>
      </c>
      <c r="AU15" s="115">
        <f t="shared" si="43"/>
        <v>1761.6447499999999</v>
      </c>
      <c r="AV15" s="115">
        <f t="shared" si="43"/>
        <v>20205.345649999999</v>
      </c>
      <c r="AW15" s="115">
        <f t="shared" si="43"/>
        <v>1789.80375</v>
      </c>
      <c r="AX15" s="115">
        <f t="shared" si="43"/>
        <v>1037.0517500000001</v>
      </c>
      <c r="AY15" s="115">
        <f t="shared" si="43"/>
        <v>848.86374999999998</v>
      </c>
      <c r="AZ15" s="115">
        <f t="shared" si="43"/>
        <v>848.86374999999998</v>
      </c>
      <c r="BA15" s="115">
        <f t="shared" si="43"/>
        <v>848.86374999999998</v>
      </c>
      <c r="BB15" s="115">
        <f t="shared" si="43"/>
        <v>848.86374999999998</v>
      </c>
      <c r="BC15" s="115">
        <f t="shared" si="43"/>
        <v>848.86374999999998</v>
      </c>
      <c r="BD15" s="115">
        <f t="shared" si="43"/>
        <v>848.86374999999998</v>
      </c>
      <c r="BE15" s="115">
        <f t="shared" si="43"/>
        <v>0</v>
      </c>
      <c r="BF15" s="115">
        <f t="shared" si="43"/>
        <v>0</v>
      </c>
      <c r="BG15" s="115">
        <f t="shared" si="43"/>
        <v>0</v>
      </c>
      <c r="BH15" s="115">
        <f t="shared" si="43"/>
        <v>0</v>
      </c>
      <c r="BI15" s="115">
        <f t="shared" si="43"/>
        <v>7920.0380000000023</v>
      </c>
      <c r="BJ15" s="177"/>
      <c r="BK15" s="177"/>
      <c r="BL15" s="177"/>
      <c r="BM15" s="177"/>
      <c r="BN15" s="177"/>
      <c r="BO15" s="177"/>
      <c r="BP15" s="193">
        <f t="shared" ref="BP15:BP17" si="44">I15+V15+AI15+AV15+BI15</f>
        <v>64200.871800000008</v>
      </c>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c r="CS15" s="192"/>
      <c r="CT15" s="192"/>
      <c r="CU15" s="192"/>
      <c r="CV15" s="192"/>
      <c r="CW15" s="192"/>
      <c r="CX15" s="192"/>
      <c r="CY15" s="192"/>
      <c r="CZ15" s="192"/>
      <c r="DA15" s="192"/>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row>
    <row r="16" spans="1:149" s="95" customFormat="1" ht="12.75">
      <c r="A16" s="729" t="s">
        <v>317</v>
      </c>
      <c r="B16" s="731" t="s">
        <v>318</v>
      </c>
      <c r="C16" s="109" t="s">
        <v>311</v>
      </c>
      <c r="D16" s="110">
        <v>30</v>
      </c>
      <c r="E16" s="117"/>
      <c r="F16" s="117"/>
      <c r="G16" s="118"/>
      <c r="H16" s="118"/>
      <c r="I16" s="143"/>
      <c r="J16" s="118"/>
      <c r="K16" s="118"/>
      <c r="L16" s="118"/>
      <c r="M16" s="118"/>
      <c r="N16" s="117">
        <v>0</v>
      </c>
      <c r="O16" s="117">
        <v>0</v>
      </c>
      <c r="P16" s="118">
        <v>0</v>
      </c>
      <c r="Q16" s="118">
        <v>0</v>
      </c>
      <c r="R16" s="118">
        <v>0</v>
      </c>
      <c r="S16" s="155">
        <v>0</v>
      </c>
      <c r="T16" s="118">
        <v>0</v>
      </c>
      <c r="U16" s="117">
        <v>0</v>
      </c>
      <c r="V16" s="136">
        <f t="shared" ref="V16:V21" si="45">SUM(J16:U16)</f>
        <v>0</v>
      </c>
      <c r="W16" s="118">
        <v>0</v>
      </c>
      <c r="X16" s="118">
        <v>0</v>
      </c>
      <c r="Y16" s="117">
        <v>0</v>
      </c>
      <c r="Z16" s="117">
        <v>0</v>
      </c>
      <c r="AA16" s="117">
        <v>5</v>
      </c>
      <c r="AB16" s="117">
        <v>3</v>
      </c>
      <c r="AC16" s="117">
        <v>3</v>
      </c>
      <c r="AD16" s="117">
        <v>3</v>
      </c>
      <c r="AE16" s="117">
        <v>3</v>
      </c>
      <c r="AF16" s="117">
        <v>2</v>
      </c>
      <c r="AG16" s="118">
        <v>2</v>
      </c>
      <c r="AH16" s="118">
        <v>2</v>
      </c>
      <c r="AI16" s="136">
        <f t="shared" ref="AI16:AI21" si="46">SUM(W16:AH16)</f>
        <v>23</v>
      </c>
      <c r="AJ16" s="118">
        <v>1</v>
      </c>
      <c r="AK16" s="118">
        <v>1</v>
      </c>
      <c r="AL16" s="155">
        <v>1</v>
      </c>
      <c r="AM16" s="155">
        <v>1</v>
      </c>
      <c r="AN16" s="118">
        <v>1</v>
      </c>
      <c r="AO16" s="118">
        <v>1</v>
      </c>
      <c r="AP16" s="118">
        <v>1</v>
      </c>
      <c r="AQ16" s="118">
        <v>0</v>
      </c>
      <c r="AR16" s="117">
        <v>0</v>
      </c>
      <c r="AS16" s="155">
        <v>0</v>
      </c>
      <c r="AT16" s="118">
        <v>0</v>
      </c>
      <c r="AU16" s="118">
        <v>0</v>
      </c>
      <c r="AV16" s="136">
        <f t="shared" ref="AV16:AV21" si="47">SUM(AJ16:AU16)</f>
        <v>7</v>
      </c>
      <c r="AW16" s="118">
        <v>0</v>
      </c>
      <c r="AX16" s="118">
        <v>0</v>
      </c>
      <c r="AY16" s="155">
        <v>0</v>
      </c>
      <c r="AZ16" s="155">
        <v>0</v>
      </c>
      <c r="BA16" s="155"/>
      <c r="BB16" s="155"/>
      <c r="BC16" s="155"/>
      <c r="BD16" s="155"/>
      <c r="BE16" s="155"/>
      <c r="BF16" s="155"/>
      <c r="BG16" s="155"/>
      <c r="BH16" s="155"/>
      <c r="BI16" s="178">
        <f t="shared" ref="BI16:BI21" si="48">SUM(AW16:BH16)</f>
        <v>0</v>
      </c>
      <c r="BJ16" s="179"/>
      <c r="BK16" s="179"/>
      <c r="BL16" s="179"/>
      <c r="BM16" s="179"/>
      <c r="BN16" s="179"/>
      <c r="BO16" s="179"/>
      <c r="BP16" s="193">
        <f t="shared" si="44"/>
        <v>30</v>
      </c>
      <c r="BQ16" s="196">
        <f>BP16-D16</f>
        <v>0</v>
      </c>
    </row>
    <row r="17" spans="1:69" s="95" customFormat="1" ht="12.75">
      <c r="A17" s="730"/>
      <c r="B17" s="732"/>
      <c r="C17" s="109" t="s">
        <v>312</v>
      </c>
      <c r="D17" s="110">
        <v>147</v>
      </c>
      <c r="E17" s="111"/>
      <c r="F17" s="111"/>
      <c r="G17" s="111"/>
      <c r="H17" s="111"/>
      <c r="I17" s="143"/>
      <c r="J17" s="118"/>
      <c r="K17" s="117"/>
      <c r="L17" s="117"/>
      <c r="M17" s="117"/>
      <c r="N17" s="111">
        <f>N16*D17</f>
        <v>0</v>
      </c>
      <c r="O17" s="111">
        <f>O16*D17</f>
        <v>0</v>
      </c>
      <c r="P17" s="111">
        <f>P16*D17</f>
        <v>0</v>
      </c>
      <c r="Q17" s="111">
        <f>Q16*D17</f>
        <v>0</v>
      </c>
      <c r="R17" s="117">
        <f>R16*D17</f>
        <v>0</v>
      </c>
      <c r="S17" s="155">
        <f>S16*D17</f>
        <v>0</v>
      </c>
      <c r="T17" s="117">
        <f>T16*D17</f>
        <v>0</v>
      </c>
      <c r="U17" s="117">
        <f>U16*D17</f>
        <v>0</v>
      </c>
      <c r="V17" s="136">
        <f t="shared" si="45"/>
        <v>0</v>
      </c>
      <c r="W17" s="117">
        <f>W16*D17</f>
        <v>0</v>
      </c>
      <c r="X17" s="117">
        <f>X16*D17</f>
        <v>0</v>
      </c>
      <c r="Y17" s="117">
        <f>Y16*D17</f>
        <v>0</v>
      </c>
      <c r="Z17" s="117">
        <f>Z16*D17</f>
        <v>0</v>
      </c>
      <c r="AA17" s="117">
        <f>AA16*D17</f>
        <v>735</v>
      </c>
      <c r="AB17" s="117">
        <f>AB16*D17</f>
        <v>441</v>
      </c>
      <c r="AC17" s="117">
        <f>AC16*D17</f>
        <v>441</v>
      </c>
      <c r="AD17" s="117">
        <f>AD16*D17</f>
        <v>441</v>
      </c>
      <c r="AE17" s="117">
        <f>AE16*D17</f>
        <v>441</v>
      </c>
      <c r="AF17" s="117">
        <f>AF16*D17</f>
        <v>294</v>
      </c>
      <c r="AG17" s="117">
        <f>AG16*D17</f>
        <v>294</v>
      </c>
      <c r="AH17" s="117">
        <f>AH16*D17</f>
        <v>294</v>
      </c>
      <c r="AI17" s="136">
        <f t="shared" si="46"/>
        <v>3381</v>
      </c>
      <c r="AJ17" s="117">
        <f>AJ16*D17</f>
        <v>147</v>
      </c>
      <c r="AK17" s="117">
        <f>AK16*D17</f>
        <v>147</v>
      </c>
      <c r="AL17" s="117">
        <f>AL16*D17</f>
        <v>147</v>
      </c>
      <c r="AM17" s="117">
        <f>AM16*D17</f>
        <v>147</v>
      </c>
      <c r="AN17" s="117">
        <f>AN16*D17</f>
        <v>147</v>
      </c>
      <c r="AO17" s="117">
        <f>AO16*D17</f>
        <v>147</v>
      </c>
      <c r="AP17" s="117">
        <f>AP16*D17</f>
        <v>147</v>
      </c>
      <c r="AQ17" s="117">
        <f>AQ16*D17</f>
        <v>0</v>
      </c>
      <c r="AR17" s="117">
        <f>AR16*D17</f>
        <v>0</v>
      </c>
      <c r="AS17" s="117">
        <f>AS16*D17</f>
        <v>0</v>
      </c>
      <c r="AT17" s="117">
        <f>AT16*D17</f>
        <v>0</v>
      </c>
      <c r="AU17" s="117">
        <f>AU16*D17</f>
        <v>0</v>
      </c>
      <c r="AV17" s="136">
        <f t="shared" si="47"/>
        <v>1029</v>
      </c>
      <c r="AW17" s="118">
        <f>AW16*D17</f>
        <v>0</v>
      </c>
      <c r="AX17" s="118">
        <f>AX16*D17</f>
        <v>0</v>
      </c>
      <c r="AY17" s="118">
        <f>AY16*D17</f>
        <v>0</v>
      </c>
      <c r="AZ17" s="118">
        <f>AZ16*D17</f>
        <v>0</v>
      </c>
      <c r="BA17" s="118">
        <f t="shared" ref="BA17:BH17" si="49">BA16*190</f>
        <v>0</v>
      </c>
      <c r="BB17" s="118">
        <f t="shared" si="49"/>
        <v>0</v>
      </c>
      <c r="BC17" s="118">
        <f t="shared" si="49"/>
        <v>0</v>
      </c>
      <c r="BD17" s="118">
        <f t="shared" si="49"/>
        <v>0</v>
      </c>
      <c r="BE17" s="118">
        <f t="shared" si="49"/>
        <v>0</v>
      </c>
      <c r="BF17" s="118">
        <f t="shared" si="49"/>
        <v>0</v>
      </c>
      <c r="BG17" s="118">
        <f t="shared" si="49"/>
        <v>0</v>
      </c>
      <c r="BH17" s="118">
        <f t="shared" si="49"/>
        <v>0</v>
      </c>
      <c r="BI17" s="178">
        <f t="shared" si="48"/>
        <v>0</v>
      </c>
      <c r="BJ17" s="179"/>
      <c r="BK17" s="179"/>
      <c r="BL17" s="179"/>
      <c r="BM17" s="179"/>
      <c r="BN17" s="179"/>
      <c r="BO17" s="179"/>
      <c r="BP17" s="193">
        <f t="shared" si="44"/>
        <v>4410</v>
      </c>
    </row>
    <row r="18" spans="1:69" s="95" customFormat="1" ht="12.75">
      <c r="A18" s="730"/>
      <c r="B18" s="732"/>
      <c r="C18" s="724" t="s">
        <v>313</v>
      </c>
      <c r="D18" s="725"/>
      <c r="E18" s="117"/>
      <c r="F18" s="117"/>
      <c r="G18" s="117"/>
      <c r="H18" s="117"/>
      <c r="I18" s="143"/>
      <c r="J18" s="117"/>
      <c r="K18" s="117"/>
      <c r="L18" s="117"/>
      <c r="M18" s="117"/>
      <c r="N18" s="125">
        <v>0</v>
      </c>
      <c r="O18" s="117">
        <f t="shared" ref="O18:Q18" si="50">N18</f>
        <v>0</v>
      </c>
      <c r="P18" s="117">
        <f t="shared" si="50"/>
        <v>0</v>
      </c>
      <c r="Q18" s="117">
        <f t="shared" si="50"/>
        <v>0</v>
      </c>
      <c r="R18" s="117"/>
      <c r="S18" s="117">
        <f t="shared" ref="S18:U18" si="51">R18</f>
        <v>0</v>
      </c>
      <c r="T18" s="117">
        <f t="shared" si="51"/>
        <v>0</v>
      </c>
      <c r="U18" s="117">
        <f t="shared" si="51"/>
        <v>0</v>
      </c>
      <c r="V18" s="156" t="e">
        <f>V19/V17*10000</f>
        <v>#DIV/0!</v>
      </c>
      <c r="W18" s="111">
        <f>U18</f>
        <v>0</v>
      </c>
      <c r="X18" s="111">
        <f t="shared" ref="X18:AD18" si="52">W18</f>
        <v>0</v>
      </c>
      <c r="Y18" s="111">
        <f t="shared" si="52"/>
        <v>0</v>
      </c>
      <c r="Z18" s="111"/>
      <c r="AA18" s="111">
        <v>13500</v>
      </c>
      <c r="AB18" s="111">
        <f t="shared" si="52"/>
        <v>13500</v>
      </c>
      <c r="AC18" s="111">
        <f t="shared" si="52"/>
        <v>13500</v>
      </c>
      <c r="AD18" s="111">
        <f t="shared" si="52"/>
        <v>13500</v>
      </c>
      <c r="AE18" s="111">
        <f>AD18+300</f>
        <v>13800</v>
      </c>
      <c r="AF18" s="111">
        <f t="shared" ref="AF18:AH18" si="53">AE18</f>
        <v>13800</v>
      </c>
      <c r="AG18" s="111">
        <f t="shared" si="53"/>
        <v>13800</v>
      </c>
      <c r="AH18" s="111">
        <f t="shared" si="53"/>
        <v>13800</v>
      </c>
      <c r="AI18" s="156">
        <f>AI19/AI17*10000</f>
        <v>13617.391304347826</v>
      </c>
      <c r="AJ18" s="117">
        <f>AH18</f>
        <v>13800</v>
      </c>
      <c r="AK18" s="117">
        <f>AJ18</f>
        <v>13800</v>
      </c>
      <c r="AL18" s="117">
        <f>AK18</f>
        <v>13800</v>
      </c>
      <c r="AM18" s="117">
        <f>AL18+300</f>
        <v>14100</v>
      </c>
      <c r="AN18" s="117">
        <f t="shared" ref="AN18:AU18" si="54">AM18</f>
        <v>14100</v>
      </c>
      <c r="AO18" s="117">
        <f t="shared" si="54"/>
        <v>14100</v>
      </c>
      <c r="AP18" s="117">
        <f t="shared" si="54"/>
        <v>14100</v>
      </c>
      <c r="AQ18" s="117">
        <f t="shared" si="54"/>
        <v>14100</v>
      </c>
      <c r="AR18" s="117">
        <f>AQ18+300</f>
        <v>14400</v>
      </c>
      <c r="AS18" s="117">
        <f t="shared" si="54"/>
        <v>14400</v>
      </c>
      <c r="AT18" s="117">
        <f t="shared" si="54"/>
        <v>14400</v>
      </c>
      <c r="AU18" s="117">
        <f t="shared" si="54"/>
        <v>14400</v>
      </c>
      <c r="AV18" s="156">
        <f>AV19/AV17*10000</f>
        <v>13971.428571428572</v>
      </c>
      <c r="AW18" s="118">
        <f>AU18</f>
        <v>14400</v>
      </c>
      <c r="AX18" s="118">
        <f t="shared" ref="AX18:BH18" si="55">AW18</f>
        <v>14400</v>
      </c>
      <c r="AY18" s="118">
        <f t="shared" si="55"/>
        <v>14400</v>
      </c>
      <c r="AZ18" s="155">
        <f t="shared" si="55"/>
        <v>14400</v>
      </c>
      <c r="BA18" s="155">
        <f t="shared" si="55"/>
        <v>14400</v>
      </c>
      <c r="BB18" s="155">
        <f t="shared" si="55"/>
        <v>14400</v>
      </c>
      <c r="BC18" s="155">
        <f t="shared" si="55"/>
        <v>14400</v>
      </c>
      <c r="BD18" s="155">
        <f t="shared" si="55"/>
        <v>14400</v>
      </c>
      <c r="BE18" s="155">
        <f t="shared" si="55"/>
        <v>14400</v>
      </c>
      <c r="BF18" s="155">
        <f t="shared" si="55"/>
        <v>14400</v>
      </c>
      <c r="BG18" s="155">
        <f t="shared" si="55"/>
        <v>14400</v>
      </c>
      <c r="BH18" s="155">
        <f t="shared" si="55"/>
        <v>14400</v>
      </c>
      <c r="BI18" s="178" t="e">
        <f>BI19/BI17*10000</f>
        <v>#DIV/0!</v>
      </c>
      <c r="BJ18" s="179"/>
      <c r="BK18" s="179"/>
      <c r="BL18" s="179"/>
      <c r="BM18" s="179"/>
      <c r="BN18" s="179"/>
      <c r="BO18" s="179"/>
      <c r="BP18" s="197">
        <f>BP19/BP17*10000</f>
        <v>13699.999999999998</v>
      </c>
    </row>
    <row r="19" spans="1:69" s="95" customFormat="1" ht="12.75">
      <c r="A19" s="730"/>
      <c r="B19" s="733"/>
      <c r="C19" s="719" t="s">
        <v>314</v>
      </c>
      <c r="D19" s="719"/>
      <c r="E19" s="109"/>
      <c r="F19" s="109"/>
      <c r="G19" s="109"/>
      <c r="H19" s="109"/>
      <c r="I19" s="144"/>
      <c r="J19" s="117"/>
      <c r="K19" s="117"/>
      <c r="L19" s="117"/>
      <c r="M19" s="117"/>
      <c r="N19" s="117">
        <f t="shared" ref="N19:U19" si="56">N17*N18/10000</f>
        <v>0</v>
      </c>
      <c r="O19" s="117">
        <f t="shared" si="56"/>
        <v>0</v>
      </c>
      <c r="P19" s="117">
        <f t="shared" si="56"/>
        <v>0</v>
      </c>
      <c r="Q19" s="117">
        <f t="shared" si="56"/>
        <v>0</v>
      </c>
      <c r="R19" s="117">
        <f t="shared" si="56"/>
        <v>0</v>
      </c>
      <c r="S19" s="117">
        <f t="shared" si="56"/>
        <v>0</v>
      </c>
      <c r="T19" s="117">
        <f t="shared" si="56"/>
        <v>0</v>
      </c>
      <c r="U19" s="117">
        <f t="shared" si="56"/>
        <v>0</v>
      </c>
      <c r="V19" s="136">
        <f t="shared" si="45"/>
        <v>0</v>
      </c>
      <c r="W19" s="117">
        <f>W17*W18/10000</f>
        <v>0</v>
      </c>
      <c r="X19" s="117">
        <f t="shared" ref="X19:AH19" si="57">X17*X18/10000</f>
        <v>0</v>
      </c>
      <c r="Y19" s="117">
        <f t="shared" si="57"/>
        <v>0</v>
      </c>
      <c r="Z19" s="117">
        <f t="shared" si="57"/>
        <v>0</v>
      </c>
      <c r="AA19" s="117">
        <f t="shared" si="57"/>
        <v>992.25</v>
      </c>
      <c r="AB19" s="117">
        <f t="shared" si="57"/>
        <v>595.35</v>
      </c>
      <c r="AC19" s="117">
        <f t="shared" si="57"/>
        <v>595.35</v>
      </c>
      <c r="AD19" s="117">
        <f t="shared" si="57"/>
        <v>595.35</v>
      </c>
      <c r="AE19" s="117">
        <f t="shared" si="57"/>
        <v>608.58000000000004</v>
      </c>
      <c r="AF19" s="117">
        <f t="shared" si="57"/>
        <v>405.72</v>
      </c>
      <c r="AG19" s="117">
        <f t="shared" si="57"/>
        <v>405.72</v>
      </c>
      <c r="AH19" s="117">
        <f t="shared" si="57"/>
        <v>405.72</v>
      </c>
      <c r="AI19" s="136">
        <f t="shared" si="46"/>
        <v>4604.04</v>
      </c>
      <c r="AJ19" s="117">
        <f>AJ17*AJ18/10000</f>
        <v>202.86</v>
      </c>
      <c r="AK19" s="117">
        <f t="shared" ref="AK19:AU19" si="58">AK17*AK18/10000</f>
        <v>202.86</v>
      </c>
      <c r="AL19" s="117">
        <f t="shared" si="58"/>
        <v>202.86</v>
      </c>
      <c r="AM19" s="117">
        <f t="shared" si="58"/>
        <v>207.27</v>
      </c>
      <c r="AN19" s="117">
        <f t="shared" si="58"/>
        <v>207.27</v>
      </c>
      <c r="AO19" s="117">
        <f t="shared" si="58"/>
        <v>207.27</v>
      </c>
      <c r="AP19" s="117">
        <f t="shared" si="58"/>
        <v>207.27</v>
      </c>
      <c r="AQ19" s="118">
        <f t="shared" si="58"/>
        <v>0</v>
      </c>
      <c r="AR19" s="118">
        <f t="shared" si="58"/>
        <v>0</v>
      </c>
      <c r="AS19" s="118">
        <f t="shared" si="58"/>
        <v>0</v>
      </c>
      <c r="AT19" s="118">
        <f t="shared" si="58"/>
        <v>0</v>
      </c>
      <c r="AU19" s="118">
        <f t="shared" si="58"/>
        <v>0</v>
      </c>
      <c r="AV19" s="136">
        <f t="shared" si="47"/>
        <v>1437.66</v>
      </c>
      <c r="AW19" s="118">
        <f>AW17*AW18/10000</f>
        <v>0</v>
      </c>
      <c r="AX19" s="118">
        <f t="shared" ref="AX19:BH19" si="59">AX17*AX18/10000</f>
        <v>0</v>
      </c>
      <c r="AY19" s="118">
        <f t="shared" si="59"/>
        <v>0</v>
      </c>
      <c r="AZ19" s="118">
        <f t="shared" si="59"/>
        <v>0</v>
      </c>
      <c r="BA19" s="118">
        <f t="shared" si="59"/>
        <v>0</v>
      </c>
      <c r="BB19" s="118">
        <f t="shared" si="59"/>
        <v>0</v>
      </c>
      <c r="BC19" s="118">
        <f t="shared" si="59"/>
        <v>0</v>
      </c>
      <c r="BD19" s="118">
        <f t="shared" si="59"/>
        <v>0</v>
      </c>
      <c r="BE19" s="118">
        <f t="shared" si="59"/>
        <v>0</v>
      </c>
      <c r="BF19" s="118">
        <f t="shared" si="59"/>
        <v>0</v>
      </c>
      <c r="BG19" s="118">
        <f t="shared" si="59"/>
        <v>0</v>
      </c>
      <c r="BH19" s="118">
        <f t="shared" si="59"/>
        <v>0</v>
      </c>
      <c r="BI19" s="178">
        <f t="shared" si="48"/>
        <v>0</v>
      </c>
      <c r="BJ19" s="179"/>
      <c r="BK19" s="179"/>
      <c r="BL19" s="179"/>
      <c r="BM19" s="179"/>
      <c r="BN19" s="179"/>
      <c r="BO19" s="179"/>
      <c r="BP19" s="189">
        <f t="shared" ref="BP19:BP21" si="60">I19+V19+AI19+AV19+BI19</f>
        <v>6041.7</v>
      </c>
    </row>
    <row r="20" spans="1:69" s="95" customFormat="1" ht="12.75">
      <c r="A20" s="730"/>
      <c r="B20" s="731" t="s">
        <v>319</v>
      </c>
      <c r="C20" s="109" t="s">
        <v>311</v>
      </c>
      <c r="D20" s="110">
        <v>30</v>
      </c>
      <c r="E20" s="120"/>
      <c r="F20" s="120"/>
      <c r="G20" s="119"/>
      <c r="H20" s="119"/>
      <c r="I20" s="144"/>
      <c r="J20" s="119"/>
      <c r="K20" s="119"/>
      <c r="L20" s="145"/>
      <c r="M20" s="120"/>
      <c r="N20" s="120">
        <v>0</v>
      </c>
      <c r="O20" s="120">
        <v>0</v>
      </c>
      <c r="P20" s="119">
        <v>0</v>
      </c>
      <c r="Q20" s="119">
        <v>0</v>
      </c>
      <c r="R20" s="120">
        <v>0</v>
      </c>
      <c r="S20" s="145">
        <v>0</v>
      </c>
      <c r="T20" s="119">
        <v>0</v>
      </c>
      <c r="U20" s="120">
        <v>0</v>
      </c>
      <c r="V20" s="157">
        <f t="shared" si="45"/>
        <v>0</v>
      </c>
      <c r="W20" s="119">
        <v>0</v>
      </c>
      <c r="X20" s="119">
        <v>0</v>
      </c>
      <c r="Y20" s="120">
        <v>0</v>
      </c>
      <c r="Z20" s="120">
        <v>0</v>
      </c>
      <c r="AA20" s="120">
        <v>5</v>
      </c>
      <c r="AB20" s="120">
        <v>2</v>
      </c>
      <c r="AC20" s="120">
        <v>2</v>
      </c>
      <c r="AD20" s="120">
        <v>2</v>
      </c>
      <c r="AE20" s="120">
        <v>3</v>
      </c>
      <c r="AF20" s="120">
        <v>2</v>
      </c>
      <c r="AG20" s="119">
        <v>2</v>
      </c>
      <c r="AH20" s="119">
        <v>2</v>
      </c>
      <c r="AI20" s="157">
        <f t="shared" si="46"/>
        <v>20</v>
      </c>
      <c r="AJ20" s="119">
        <v>1</v>
      </c>
      <c r="AK20" s="119">
        <v>1</v>
      </c>
      <c r="AL20" s="145">
        <v>1</v>
      </c>
      <c r="AM20" s="145">
        <v>1</v>
      </c>
      <c r="AN20" s="119">
        <v>1</v>
      </c>
      <c r="AO20" s="119">
        <v>1</v>
      </c>
      <c r="AP20" s="119">
        <v>1</v>
      </c>
      <c r="AQ20" s="119">
        <v>1</v>
      </c>
      <c r="AR20" s="120">
        <v>1</v>
      </c>
      <c r="AS20" s="145">
        <v>1</v>
      </c>
      <c r="AT20" s="119">
        <v>0</v>
      </c>
      <c r="AU20" s="119">
        <v>0</v>
      </c>
      <c r="AV20" s="157">
        <f t="shared" si="47"/>
        <v>10</v>
      </c>
      <c r="AW20" s="119">
        <v>0</v>
      </c>
      <c r="AX20" s="119">
        <v>0</v>
      </c>
      <c r="AY20" s="145">
        <v>0</v>
      </c>
      <c r="AZ20" s="145">
        <v>0</v>
      </c>
      <c r="BA20" s="145">
        <v>0</v>
      </c>
      <c r="BB20" s="145">
        <v>0</v>
      </c>
      <c r="BC20" s="145">
        <v>0</v>
      </c>
      <c r="BD20" s="145"/>
      <c r="BE20" s="145"/>
      <c r="BF20" s="145"/>
      <c r="BG20" s="145"/>
      <c r="BH20" s="145"/>
      <c r="BI20" s="180">
        <f t="shared" si="48"/>
        <v>0</v>
      </c>
      <c r="BJ20" s="181"/>
      <c r="BK20" s="181"/>
      <c r="BL20" s="181"/>
      <c r="BM20" s="181"/>
      <c r="BN20" s="181"/>
      <c r="BO20" s="181"/>
      <c r="BP20" s="189">
        <f t="shared" si="60"/>
        <v>30</v>
      </c>
      <c r="BQ20" s="196">
        <f>BP20-D20</f>
        <v>0</v>
      </c>
    </row>
    <row r="21" spans="1:69" s="95" customFormat="1" ht="12.75">
      <c r="A21" s="730"/>
      <c r="B21" s="732"/>
      <c r="C21" s="109" t="s">
        <v>312</v>
      </c>
      <c r="D21" s="110">
        <v>146</v>
      </c>
      <c r="E21" s="121"/>
      <c r="F21" s="121"/>
      <c r="G21" s="121"/>
      <c r="H21" s="121"/>
      <c r="I21" s="143"/>
      <c r="J21" s="119"/>
      <c r="K21" s="119"/>
      <c r="L21" s="119"/>
      <c r="M21" s="119"/>
      <c r="N21" s="121">
        <f>N20*D21</f>
        <v>0</v>
      </c>
      <c r="O21" s="121">
        <f>O20*D21</f>
        <v>0</v>
      </c>
      <c r="P21" s="121">
        <f>P20*D21</f>
        <v>0</v>
      </c>
      <c r="Q21" s="121">
        <f>Q20*D21</f>
        <v>0</v>
      </c>
      <c r="R21" s="119">
        <f>R20*D21</f>
        <v>0</v>
      </c>
      <c r="S21" s="119">
        <f>S20*D21</f>
        <v>0</v>
      </c>
      <c r="T21" s="119">
        <f>T20*D21</f>
        <v>0</v>
      </c>
      <c r="U21" s="119">
        <f>U20*D21</f>
        <v>0</v>
      </c>
      <c r="V21" s="157">
        <f t="shared" si="45"/>
        <v>0</v>
      </c>
      <c r="W21" s="119">
        <f>W20*D21</f>
        <v>0</v>
      </c>
      <c r="X21" s="119">
        <f>X20*D21</f>
        <v>0</v>
      </c>
      <c r="Y21" s="119">
        <f>Y20*D21</f>
        <v>0</v>
      </c>
      <c r="Z21" s="119">
        <f>Z20*D21</f>
        <v>0</v>
      </c>
      <c r="AA21" s="119">
        <f>AA20*D21</f>
        <v>730</v>
      </c>
      <c r="AB21" s="119">
        <f>AB20*D21</f>
        <v>292</v>
      </c>
      <c r="AC21" s="119">
        <f>AC20*D21</f>
        <v>292</v>
      </c>
      <c r="AD21" s="119">
        <f>AD20*D21</f>
        <v>292</v>
      </c>
      <c r="AE21" s="119">
        <f>AE20*D21</f>
        <v>438</v>
      </c>
      <c r="AF21" s="119">
        <f>AF20*D21</f>
        <v>292</v>
      </c>
      <c r="AG21" s="119">
        <f>AG20*D21</f>
        <v>292</v>
      </c>
      <c r="AH21" s="119">
        <f>AH20*D21</f>
        <v>292</v>
      </c>
      <c r="AI21" s="157">
        <f t="shared" si="46"/>
        <v>2920</v>
      </c>
      <c r="AJ21" s="119">
        <f>AJ20*D21</f>
        <v>146</v>
      </c>
      <c r="AK21" s="119">
        <f>AK20*D21</f>
        <v>146</v>
      </c>
      <c r="AL21" s="117">
        <f>AL20*D21</f>
        <v>146</v>
      </c>
      <c r="AM21" s="117">
        <f>AM20*D21</f>
        <v>146</v>
      </c>
      <c r="AN21" s="117">
        <f>AN20*D21</f>
        <v>146</v>
      </c>
      <c r="AO21" s="117">
        <f>AO20*D21</f>
        <v>146</v>
      </c>
      <c r="AP21" s="117">
        <f>AP20*D21</f>
        <v>146</v>
      </c>
      <c r="AQ21" s="119">
        <f>AQ20*D21</f>
        <v>146</v>
      </c>
      <c r="AR21" s="119">
        <f>AR20*D21</f>
        <v>146</v>
      </c>
      <c r="AS21" s="119">
        <f>AS20*D21</f>
        <v>146</v>
      </c>
      <c r="AT21" s="119">
        <f>AT20*D21</f>
        <v>0</v>
      </c>
      <c r="AU21" s="119">
        <f>AU20*D21</f>
        <v>0</v>
      </c>
      <c r="AV21" s="157">
        <f t="shared" si="47"/>
        <v>1460</v>
      </c>
      <c r="AW21" s="119">
        <f>AW20*D21</f>
        <v>0</v>
      </c>
      <c r="AX21" s="119">
        <f>AX20*D21</f>
        <v>0</v>
      </c>
      <c r="AY21" s="119">
        <f>AY20*D21</f>
        <v>0</v>
      </c>
      <c r="AZ21" s="119">
        <f>AZ20*D21</f>
        <v>0</v>
      </c>
      <c r="BA21" s="119">
        <f>BA20*D21</f>
        <v>0</v>
      </c>
      <c r="BB21" s="119">
        <f>BB20*D21</f>
        <v>0</v>
      </c>
      <c r="BC21" s="119">
        <f>BC20*D21</f>
        <v>0</v>
      </c>
      <c r="BD21" s="119">
        <f>BD20*D21</f>
        <v>0</v>
      </c>
      <c r="BE21" s="119">
        <f>BE20*D21</f>
        <v>0</v>
      </c>
      <c r="BF21" s="119">
        <f>BF20*D21</f>
        <v>0</v>
      </c>
      <c r="BG21" s="119">
        <f>BG20*D21</f>
        <v>0</v>
      </c>
      <c r="BH21" s="119">
        <f>BH20*D21</f>
        <v>0</v>
      </c>
      <c r="BI21" s="180">
        <f t="shared" si="48"/>
        <v>0</v>
      </c>
      <c r="BJ21" s="181"/>
      <c r="BK21" s="181"/>
      <c r="BL21" s="181"/>
      <c r="BM21" s="181"/>
      <c r="BN21" s="181"/>
      <c r="BO21" s="181"/>
      <c r="BP21" s="193">
        <f t="shared" si="60"/>
        <v>4380</v>
      </c>
    </row>
    <row r="22" spans="1:69" s="95" customFormat="1" ht="12.75">
      <c r="A22" s="730"/>
      <c r="B22" s="732"/>
      <c r="C22" s="724" t="s">
        <v>313</v>
      </c>
      <c r="D22" s="725"/>
      <c r="E22" s="121"/>
      <c r="F22" s="120"/>
      <c r="G22" s="119"/>
      <c r="H22" s="119"/>
      <c r="I22" s="146"/>
      <c r="J22" s="127"/>
      <c r="K22" s="127"/>
      <c r="L22" s="120"/>
      <c r="M22" s="120"/>
      <c r="N22" s="125">
        <v>0</v>
      </c>
      <c r="O22" s="120">
        <f t="shared" ref="O22:Q22" si="61">N22</f>
        <v>0</v>
      </c>
      <c r="P22" s="119">
        <f t="shared" si="61"/>
        <v>0</v>
      </c>
      <c r="Q22" s="119">
        <f t="shared" si="61"/>
        <v>0</v>
      </c>
      <c r="R22" s="120"/>
      <c r="S22" s="120">
        <f t="shared" ref="S22:U22" si="62">R22</f>
        <v>0</v>
      </c>
      <c r="T22" s="127">
        <f t="shared" si="62"/>
        <v>0</v>
      </c>
      <c r="U22" s="120">
        <f t="shared" si="62"/>
        <v>0</v>
      </c>
      <c r="V22" s="158" t="e">
        <f>V23/V21*10000</f>
        <v>#DIV/0!</v>
      </c>
      <c r="W22" s="127">
        <f>U22</f>
        <v>0</v>
      </c>
      <c r="X22" s="127">
        <f t="shared" ref="X22:AD22" si="63">W22</f>
        <v>0</v>
      </c>
      <c r="Y22" s="120">
        <f t="shared" si="63"/>
        <v>0</v>
      </c>
      <c r="Z22" s="120">
        <v>0</v>
      </c>
      <c r="AA22" s="120">
        <v>12000</v>
      </c>
      <c r="AB22" s="120">
        <f t="shared" si="63"/>
        <v>12000</v>
      </c>
      <c r="AC22" s="120">
        <f t="shared" si="63"/>
        <v>12000</v>
      </c>
      <c r="AD22" s="120">
        <f t="shared" si="63"/>
        <v>12000</v>
      </c>
      <c r="AE22" s="120">
        <f>AD22+200</f>
        <v>12200</v>
      </c>
      <c r="AF22" s="120">
        <f t="shared" ref="AF22:AH22" si="64">AE22</f>
        <v>12200</v>
      </c>
      <c r="AG22" s="120">
        <f t="shared" si="64"/>
        <v>12200</v>
      </c>
      <c r="AH22" s="120">
        <f t="shared" si="64"/>
        <v>12200</v>
      </c>
      <c r="AI22" s="158">
        <f>AI23/AI21*10000</f>
        <v>12089.999999999998</v>
      </c>
      <c r="AJ22" s="119">
        <f>AH22+200</f>
        <v>12400</v>
      </c>
      <c r="AK22" s="119">
        <f t="shared" ref="AK22:AQ22" si="65">AJ22</f>
        <v>12400</v>
      </c>
      <c r="AL22" s="117">
        <f t="shared" si="65"/>
        <v>12400</v>
      </c>
      <c r="AM22" s="117">
        <f t="shared" si="65"/>
        <v>12400</v>
      </c>
      <c r="AN22" s="117">
        <f t="shared" si="65"/>
        <v>12400</v>
      </c>
      <c r="AO22" s="117">
        <f t="shared" si="65"/>
        <v>12400</v>
      </c>
      <c r="AP22" s="117">
        <f t="shared" si="65"/>
        <v>12400</v>
      </c>
      <c r="AQ22" s="119">
        <f t="shared" si="65"/>
        <v>12400</v>
      </c>
      <c r="AR22" s="120">
        <f>AQ22+200</f>
        <v>12600</v>
      </c>
      <c r="AS22" s="120">
        <f t="shared" ref="AS22:AU22" si="66">AR22</f>
        <v>12600</v>
      </c>
      <c r="AT22" s="119">
        <f t="shared" si="66"/>
        <v>12600</v>
      </c>
      <c r="AU22" s="119">
        <f t="shared" si="66"/>
        <v>12600</v>
      </c>
      <c r="AV22" s="158">
        <f>AV23/AV21*10000</f>
        <v>12440</v>
      </c>
      <c r="AW22" s="119">
        <f>AU22</f>
        <v>12600</v>
      </c>
      <c r="AX22" s="119">
        <f t="shared" ref="AX22:BH22" si="67">AW22</f>
        <v>12600</v>
      </c>
      <c r="AY22" s="145">
        <f t="shared" si="67"/>
        <v>12600</v>
      </c>
      <c r="AZ22" s="145">
        <f t="shared" si="67"/>
        <v>12600</v>
      </c>
      <c r="BA22" s="145">
        <f t="shared" si="67"/>
        <v>12600</v>
      </c>
      <c r="BB22" s="145">
        <f t="shared" si="67"/>
        <v>12600</v>
      </c>
      <c r="BC22" s="145">
        <f t="shared" si="67"/>
        <v>12600</v>
      </c>
      <c r="BD22" s="145">
        <f t="shared" si="67"/>
        <v>12600</v>
      </c>
      <c r="BE22" s="145">
        <f t="shared" si="67"/>
        <v>12600</v>
      </c>
      <c r="BF22" s="145">
        <f t="shared" si="67"/>
        <v>12600</v>
      </c>
      <c r="BG22" s="145">
        <f t="shared" si="67"/>
        <v>12600</v>
      </c>
      <c r="BH22" s="145">
        <f t="shared" si="67"/>
        <v>12600</v>
      </c>
      <c r="BI22" s="180" t="e">
        <f>BI23/BI21*10000</f>
        <v>#DIV/0!</v>
      </c>
      <c r="BJ22" s="181"/>
      <c r="BK22" s="181"/>
      <c r="BL22" s="181"/>
      <c r="BM22" s="181"/>
      <c r="BN22" s="181"/>
      <c r="BO22" s="181"/>
      <c r="BP22" s="197">
        <f>BP23/BP21*10000</f>
        <v>12206.666666666666</v>
      </c>
    </row>
    <row r="23" spans="1:69" s="95" customFormat="1" ht="12.75">
      <c r="A23" s="730"/>
      <c r="B23" s="733"/>
      <c r="C23" s="719" t="s">
        <v>314</v>
      </c>
      <c r="D23" s="719"/>
      <c r="E23" s="120"/>
      <c r="F23" s="120"/>
      <c r="G23" s="120"/>
      <c r="H23" s="120"/>
      <c r="I23" s="146"/>
      <c r="J23" s="119"/>
      <c r="K23" s="119"/>
      <c r="L23" s="119"/>
      <c r="M23" s="119"/>
      <c r="N23" s="119">
        <f t="shared" ref="N23:U23" si="68">N21*N22/10000</f>
        <v>0</v>
      </c>
      <c r="O23" s="119">
        <f t="shared" si="68"/>
        <v>0</v>
      </c>
      <c r="P23" s="119">
        <f t="shared" si="68"/>
        <v>0</v>
      </c>
      <c r="Q23" s="119">
        <f t="shared" si="68"/>
        <v>0</v>
      </c>
      <c r="R23" s="119">
        <f t="shared" si="68"/>
        <v>0</v>
      </c>
      <c r="S23" s="119">
        <f t="shared" si="68"/>
        <v>0</v>
      </c>
      <c r="T23" s="119">
        <f t="shared" si="68"/>
        <v>0</v>
      </c>
      <c r="U23" s="119">
        <f t="shared" si="68"/>
        <v>0</v>
      </c>
      <c r="V23" s="157">
        <f>SUM(J23:U23)</f>
        <v>0</v>
      </c>
      <c r="W23" s="119">
        <f>W21*W22/10000</f>
        <v>0</v>
      </c>
      <c r="X23" s="119">
        <f t="shared" ref="X23:AH23" si="69">X21*X22/10000</f>
        <v>0</v>
      </c>
      <c r="Y23" s="119">
        <f t="shared" si="69"/>
        <v>0</v>
      </c>
      <c r="Z23" s="119">
        <f t="shared" si="69"/>
        <v>0</v>
      </c>
      <c r="AA23" s="119">
        <f t="shared" si="69"/>
        <v>876</v>
      </c>
      <c r="AB23" s="119">
        <f t="shared" si="69"/>
        <v>350.4</v>
      </c>
      <c r="AC23" s="119">
        <f t="shared" si="69"/>
        <v>350.4</v>
      </c>
      <c r="AD23" s="119">
        <f t="shared" si="69"/>
        <v>350.4</v>
      </c>
      <c r="AE23" s="119">
        <f t="shared" si="69"/>
        <v>534.36</v>
      </c>
      <c r="AF23" s="119">
        <f t="shared" si="69"/>
        <v>356.24</v>
      </c>
      <c r="AG23" s="119">
        <f t="shared" si="69"/>
        <v>356.24</v>
      </c>
      <c r="AH23" s="119">
        <f t="shared" si="69"/>
        <v>356.24</v>
      </c>
      <c r="AI23" s="157">
        <f>SUM(W23:AH23)</f>
        <v>3530.2799999999997</v>
      </c>
      <c r="AJ23" s="119">
        <f>AJ21*AJ22/10000</f>
        <v>181.04</v>
      </c>
      <c r="AK23" s="119">
        <f t="shared" ref="AK23:AU23" si="70">AK21*AK22/10000</f>
        <v>181.04</v>
      </c>
      <c r="AL23" s="117">
        <f t="shared" si="70"/>
        <v>181.04</v>
      </c>
      <c r="AM23" s="117">
        <f t="shared" si="70"/>
        <v>181.04</v>
      </c>
      <c r="AN23" s="117">
        <f t="shared" si="70"/>
        <v>181.04</v>
      </c>
      <c r="AO23" s="117">
        <f t="shared" si="70"/>
        <v>181.04</v>
      </c>
      <c r="AP23" s="117">
        <f t="shared" si="70"/>
        <v>181.04</v>
      </c>
      <c r="AQ23" s="119">
        <f t="shared" si="70"/>
        <v>181.04</v>
      </c>
      <c r="AR23" s="119">
        <f t="shared" si="70"/>
        <v>183.96</v>
      </c>
      <c r="AS23" s="119">
        <f t="shared" si="70"/>
        <v>183.96</v>
      </c>
      <c r="AT23" s="119">
        <f t="shared" si="70"/>
        <v>0</v>
      </c>
      <c r="AU23" s="119">
        <f t="shared" si="70"/>
        <v>0</v>
      </c>
      <c r="AV23" s="157">
        <f>SUM(AJ23:AU23)</f>
        <v>1816.24</v>
      </c>
      <c r="AW23" s="119">
        <f>AW21*AW22/10000</f>
        <v>0</v>
      </c>
      <c r="AX23" s="119">
        <f t="shared" ref="AX23:BH23" si="71">AX21*AX22/10000</f>
        <v>0</v>
      </c>
      <c r="AY23" s="119">
        <f t="shared" si="71"/>
        <v>0</v>
      </c>
      <c r="AZ23" s="119">
        <f t="shared" si="71"/>
        <v>0</v>
      </c>
      <c r="BA23" s="119">
        <f t="shared" si="71"/>
        <v>0</v>
      </c>
      <c r="BB23" s="119">
        <f t="shared" si="71"/>
        <v>0</v>
      </c>
      <c r="BC23" s="119">
        <f t="shared" si="71"/>
        <v>0</v>
      </c>
      <c r="BD23" s="119">
        <f t="shared" si="71"/>
        <v>0</v>
      </c>
      <c r="BE23" s="119">
        <f t="shared" si="71"/>
        <v>0</v>
      </c>
      <c r="BF23" s="119">
        <f t="shared" si="71"/>
        <v>0</v>
      </c>
      <c r="BG23" s="119">
        <f t="shared" si="71"/>
        <v>0</v>
      </c>
      <c r="BH23" s="119">
        <f t="shared" si="71"/>
        <v>0</v>
      </c>
      <c r="BI23" s="180">
        <f>SUM(AW23:BH23)</f>
        <v>0</v>
      </c>
      <c r="BJ23" s="181"/>
      <c r="BK23" s="181"/>
      <c r="BL23" s="181"/>
      <c r="BM23" s="181"/>
      <c r="BN23" s="181"/>
      <c r="BO23" s="181"/>
      <c r="BP23" s="189">
        <f t="shared" ref="BP23:BP25" si="72">I23+V23+AI23+AV23+BI23</f>
        <v>5346.5199999999995</v>
      </c>
    </row>
    <row r="24" spans="1:69" s="95" customFormat="1" ht="12.75">
      <c r="A24" s="730"/>
      <c r="B24" s="734" t="s">
        <v>316</v>
      </c>
      <c r="C24" s="113" t="s">
        <v>311</v>
      </c>
      <c r="D24" s="114">
        <f>D16+D20</f>
        <v>60</v>
      </c>
      <c r="E24" s="122"/>
      <c r="F24" s="122"/>
      <c r="G24" s="122"/>
      <c r="H24" s="122"/>
      <c r="I24" s="123"/>
      <c r="J24" s="122"/>
      <c r="K24" s="122"/>
      <c r="L24" s="122"/>
      <c r="M24" s="122"/>
      <c r="N24" s="122">
        <f t="shared" ref="N24:BH25" si="73">N16+N20</f>
        <v>0</v>
      </c>
      <c r="O24" s="122">
        <f t="shared" si="73"/>
        <v>0</v>
      </c>
      <c r="P24" s="122">
        <f t="shared" si="73"/>
        <v>0</v>
      </c>
      <c r="Q24" s="122">
        <f t="shared" si="73"/>
        <v>0</v>
      </c>
      <c r="R24" s="122">
        <f t="shared" si="73"/>
        <v>0</v>
      </c>
      <c r="S24" s="122">
        <f t="shared" si="73"/>
        <v>0</v>
      </c>
      <c r="T24" s="122">
        <f t="shared" si="73"/>
        <v>0</v>
      </c>
      <c r="U24" s="122">
        <f t="shared" si="73"/>
        <v>0</v>
      </c>
      <c r="V24" s="122">
        <f t="shared" si="73"/>
        <v>0</v>
      </c>
      <c r="W24" s="122">
        <f t="shared" si="73"/>
        <v>0</v>
      </c>
      <c r="X24" s="122">
        <f t="shared" si="73"/>
        <v>0</v>
      </c>
      <c r="Y24" s="122">
        <f t="shared" si="73"/>
        <v>0</v>
      </c>
      <c r="Z24" s="122">
        <f t="shared" si="73"/>
        <v>0</v>
      </c>
      <c r="AA24" s="122">
        <f t="shared" si="73"/>
        <v>10</v>
      </c>
      <c r="AB24" s="122">
        <f t="shared" si="73"/>
        <v>5</v>
      </c>
      <c r="AC24" s="122">
        <f t="shared" si="73"/>
        <v>5</v>
      </c>
      <c r="AD24" s="122">
        <f t="shared" si="73"/>
        <v>5</v>
      </c>
      <c r="AE24" s="122">
        <f t="shared" si="73"/>
        <v>6</v>
      </c>
      <c r="AF24" s="122">
        <f t="shared" si="73"/>
        <v>4</v>
      </c>
      <c r="AG24" s="122">
        <f t="shared" si="73"/>
        <v>4</v>
      </c>
      <c r="AH24" s="122">
        <f t="shared" si="73"/>
        <v>4</v>
      </c>
      <c r="AI24" s="122">
        <f t="shared" si="73"/>
        <v>43</v>
      </c>
      <c r="AJ24" s="122">
        <f t="shared" si="73"/>
        <v>2</v>
      </c>
      <c r="AK24" s="122">
        <f t="shared" si="73"/>
        <v>2</v>
      </c>
      <c r="AL24" s="122">
        <f t="shared" si="73"/>
        <v>2</v>
      </c>
      <c r="AM24" s="122">
        <f t="shared" si="73"/>
        <v>2</v>
      </c>
      <c r="AN24" s="122">
        <f t="shared" si="73"/>
        <v>2</v>
      </c>
      <c r="AO24" s="122">
        <f t="shared" si="73"/>
        <v>2</v>
      </c>
      <c r="AP24" s="122">
        <f t="shared" si="73"/>
        <v>2</v>
      </c>
      <c r="AQ24" s="122">
        <f t="shared" si="73"/>
        <v>1</v>
      </c>
      <c r="AR24" s="122">
        <f t="shared" si="73"/>
        <v>1</v>
      </c>
      <c r="AS24" s="122">
        <f t="shared" si="73"/>
        <v>1</v>
      </c>
      <c r="AT24" s="122">
        <f t="shared" si="73"/>
        <v>0</v>
      </c>
      <c r="AU24" s="122">
        <f t="shared" si="73"/>
        <v>0</v>
      </c>
      <c r="AV24" s="122">
        <f t="shared" si="73"/>
        <v>17</v>
      </c>
      <c r="AW24" s="122">
        <f t="shared" si="73"/>
        <v>0</v>
      </c>
      <c r="AX24" s="122">
        <f t="shared" si="73"/>
        <v>0</v>
      </c>
      <c r="AY24" s="122">
        <f t="shared" si="73"/>
        <v>0</v>
      </c>
      <c r="AZ24" s="122">
        <f t="shared" si="73"/>
        <v>0</v>
      </c>
      <c r="BA24" s="122">
        <f t="shared" si="73"/>
        <v>0</v>
      </c>
      <c r="BB24" s="122">
        <f t="shared" si="73"/>
        <v>0</v>
      </c>
      <c r="BC24" s="122">
        <f t="shared" si="73"/>
        <v>0</v>
      </c>
      <c r="BD24" s="122">
        <f t="shared" si="73"/>
        <v>0</v>
      </c>
      <c r="BE24" s="122">
        <f t="shared" si="73"/>
        <v>0</v>
      </c>
      <c r="BF24" s="122">
        <f t="shared" si="73"/>
        <v>0</v>
      </c>
      <c r="BG24" s="122">
        <f t="shared" si="73"/>
        <v>0</v>
      </c>
      <c r="BH24" s="122">
        <f t="shared" si="73"/>
        <v>0</v>
      </c>
      <c r="BI24" s="122">
        <f>BI16+BI20</f>
        <v>0</v>
      </c>
      <c r="BJ24" s="182"/>
      <c r="BK24" s="182"/>
      <c r="BL24" s="182"/>
      <c r="BM24" s="182"/>
      <c r="BN24" s="182"/>
      <c r="BO24" s="182"/>
      <c r="BP24" s="189">
        <f t="shared" si="72"/>
        <v>60</v>
      </c>
    </row>
    <row r="25" spans="1:69" s="95" customFormat="1" ht="12.75">
      <c r="A25" s="730"/>
      <c r="B25" s="735"/>
      <c r="C25" s="113" t="s">
        <v>312</v>
      </c>
      <c r="D25" s="114"/>
      <c r="E25" s="123"/>
      <c r="F25" s="123"/>
      <c r="G25" s="123"/>
      <c r="H25" s="123"/>
      <c r="I25" s="123"/>
      <c r="J25" s="123"/>
      <c r="K25" s="123"/>
      <c r="L25" s="123"/>
      <c r="M25" s="123"/>
      <c r="N25" s="123">
        <f>N17+N21</f>
        <v>0</v>
      </c>
      <c r="O25" s="123">
        <f t="shared" si="73"/>
        <v>0</v>
      </c>
      <c r="P25" s="123">
        <f t="shared" si="73"/>
        <v>0</v>
      </c>
      <c r="Q25" s="123">
        <f t="shared" si="73"/>
        <v>0</v>
      </c>
      <c r="R25" s="123">
        <f t="shared" si="73"/>
        <v>0</v>
      </c>
      <c r="S25" s="123">
        <f t="shared" si="73"/>
        <v>0</v>
      </c>
      <c r="T25" s="123">
        <f t="shared" si="73"/>
        <v>0</v>
      </c>
      <c r="U25" s="123">
        <f t="shared" si="73"/>
        <v>0</v>
      </c>
      <c r="V25" s="123">
        <f t="shared" si="73"/>
        <v>0</v>
      </c>
      <c r="W25" s="123">
        <f t="shared" si="73"/>
        <v>0</v>
      </c>
      <c r="X25" s="123">
        <f t="shared" si="73"/>
        <v>0</v>
      </c>
      <c r="Y25" s="123">
        <f t="shared" si="73"/>
        <v>0</v>
      </c>
      <c r="Z25" s="123">
        <f t="shared" si="73"/>
        <v>0</v>
      </c>
      <c r="AA25" s="123">
        <f t="shared" si="73"/>
        <v>1465</v>
      </c>
      <c r="AB25" s="123">
        <f t="shared" si="73"/>
        <v>733</v>
      </c>
      <c r="AC25" s="123">
        <f t="shared" si="73"/>
        <v>733</v>
      </c>
      <c r="AD25" s="123">
        <f t="shared" si="73"/>
        <v>733</v>
      </c>
      <c r="AE25" s="123">
        <f t="shared" si="73"/>
        <v>879</v>
      </c>
      <c r="AF25" s="123">
        <f t="shared" si="73"/>
        <v>586</v>
      </c>
      <c r="AG25" s="123">
        <f t="shared" si="73"/>
        <v>586</v>
      </c>
      <c r="AH25" s="123">
        <f t="shared" si="73"/>
        <v>586</v>
      </c>
      <c r="AI25" s="123">
        <f t="shared" si="73"/>
        <v>6301</v>
      </c>
      <c r="AJ25" s="123">
        <f t="shared" si="73"/>
        <v>293</v>
      </c>
      <c r="AK25" s="123">
        <f t="shared" si="73"/>
        <v>293</v>
      </c>
      <c r="AL25" s="123">
        <f t="shared" si="73"/>
        <v>293</v>
      </c>
      <c r="AM25" s="123">
        <f t="shared" si="73"/>
        <v>293</v>
      </c>
      <c r="AN25" s="123">
        <f t="shared" si="73"/>
        <v>293</v>
      </c>
      <c r="AO25" s="123">
        <f t="shared" si="73"/>
        <v>293</v>
      </c>
      <c r="AP25" s="123">
        <f t="shared" si="73"/>
        <v>293</v>
      </c>
      <c r="AQ25" s="123">
        <f t="shared" si="73"/>
        <v>146</v>
      </c>
      <c r="AR25" s="123">
        <f t="shared" si="73"/>
        <v>146</v>
      </c>
      <c r="AS25" s="123">
        <f t="shared" si="73"/>
        <v>146</v>
      </c>
      <c r="AT25" s="123">
        <f t="shared" si="73"/>
        <v>0</v>
      </c>
      <c r="AU25" s="123">
        <f t="shared" si="73"/>
        <v>0</v>
      </c>
      <c r="AV25" s="123">
        <f t="shared" si="73"/>
        <v>2489</v>
      </c>
      <c r="AW25" s="123">
        <f t="shared" si="73"/>
        <v>0</v>
      </c>
      <c r="AX25" s="123">
        <f t="shared" si="73"/>
        <v>0</v>
      </c>
      <c r="AY25" s="123">
        <f t="shared" si="73"/>
        <v>0</v>
      </c>
      <c r="AZ25" s="123">
        <f t="shared" si="73"/>
        <v>0</v>
      </c>
      <c r="BA25" s="123">
        <f t="shared" si="73"/>
        <v>0</v>
      </c>
      <c r="BB25" s="123">
        <f t="shared" si="73"/>
        <v>0</v>
      </c>
      <c r="BC25" s="123">
        <f t="shared" si="73"/>
        <v>0</v>
      </c>
      <c r="BD25" s="123">
        <f t="shared" si="73"/>
        <v>0</v>
      </c>
      <c r="BE25" s="123">
        <f t="shared" si="73"/>
        <v>0</v>
      </c>
      <c r="BF25" s="123">
        <f t="shared" si="73"/>
        <v>0</v>
      </c>
      <c r="BG25" s="123">
        <f t="shared" si="73"/>
        <v>0</v>
      </c>
      <c r="BH25" s="123">
        <f t="shared" si="73"/>
        <v>0</v>
      </c>
      <c r="BI25" s="123">
        <f>BI17+BI21</f>
        <v>0</v>
      </c>
      <c r="BJ25" s="183"/>
      <c r="BK25" s="183"/>
      <c r="BL25" s="183"/>
      <c r="BM25" s="183"/>
      <c r="BN25" s="183"/>
      <c r="BO25" s="183"/>
      <c r="BP25" s="193">
        <f t="shared" si="72"/>
        <v>8790</v>
      </c>
    </row>
    <row r="26" spans="1:69" s="96" customFormat="1" ht="12.75">
      <c r="A26" s="730"/>
      <c r="B26" s="735"/>
      <c r="C26" s="726" t="s">
        <v>313</v>
      </c>
      <c r="D26" s="727"/>
      <c r="E26" s="124"/>
      <c r="F26" s="124"/>
      <c r="G26" s="124"/>
      <c r="H26" s="124"/>
      <c r="I26" s="124"/>
      <c r="J26" s="124"/>
      <c r="K26" s="124"/>
      <c r="L26" s="124"/>
      <c r="M26" s="124"/>
      <c r="N26" s="124" t="e">
        <f>N27/N25*10000</f>
        <v>#DIV/0!</v>
      </c>
      <c r="O26" s="124" t="e">
        <f t="shared" ref="O26:W26" si="74">O27/O25*10000</f>
        <v>#DIV/0!</v>
      </c>
      <c r="P26" s="124" t="e">
        <f t="shared" si="74"/>
        <v>#DIV/0!</v>
      </c>
      <c r="Q26" s="124" t="e">
        <f t="shared" si="74"/>
        <v>#DIV/0!</v>
      </c>
      <c r="R26" s="124" t="e">
        <f t="shared" si="74"/>
        <v>#DIV/0!</v>
      </c>
      <c r="S26" s="124" t="e">
        <f t="shared" si="74"/>
        <v>#DIV/0!</v>
      </c>
      <c r="T26" s="124" t="e">
        <f t="shared" si="74"/>
        <v>#DIV/0!</v>
      </c>
      <c r="U26" s="124" t="e">
        <f t="shared" si="74"/>
        <v>#DIV/0!</v>
      </c>
      <c r="V26" s="124" t="e">
        <f t="shared" si="74"/>
        <v>#DIV/0!</v>
      </c>
      <c r="W26" s="124" t="e">
        <f t="shared" si="74"/>
        <v>#DIV/0!</v>
      </c>
      <c r="X26" s="124" t="e">
        <f t="shared" ref="X26:BI26" si="75">X27/X25*10000</f>
        <v>#DIV/0!</v>
      </c>
      <c r="Y26" s="124" t="e">
        <f t="shared" si="75"/>
        <v>#DIV/0!</v>
      </c>
      <c r="Z26" s="124" t="e">
        <f t="shared" si="75"/>
        <v>#DIV/0!</v>
      </c>
      <c r="AA26" s="124">
        <f t="shared" si="75"/>
        <v>12752.559726962458</v>
      </c>
      <c r="AB26" s="124">
        <f t="shared" si="75"/>
        <v>12902.455661664393</v>
      </c>
      <c r="AC26" s="124">
        <f t="shared" si="75"/>
        <v>12902.455661664393</v>
      </c>
      <c r="AD26" s="124">
        <f t="shared" si="75"/>
        <v>12902.455661664393</v>
      </c>
      <c r="AE26" s="124">
        <f t="shared" si="75"/>
        <v>13002.730375426621</v>
      </c>
      <c r="AF26" s="124">
        <f t="shared" si="75"/>
        <v>13002.730375426621</v>
      </c>
      <c r="AG26" s="124">
        <f t="shared" si="75"/>
        <v>13002.730375426621</v>
      </c>
      <c r="AH26" s="124">
        <f t="shared" si="75"/>
        <v>13002.730375426621</v>
      </c>
      <c r="AI26" s="124">
        <f t="shared" si="75"/>
        <v>12909.569909538168</v>
      </c>
      <c r="AJ26" s="124">
        <f t="shared" si="75"/>
        <v>13102.389078498294</v>
      </c>
      <c r="AK26" s="124">
        <f t="shared" si="75"/>
        <v>13102.389078498294</v>
      </c>
      <c r="AL26" s="124">
        <f t="shared" si="75"/>
        <v>13102.389078498294</v>
      </c>
      <c r="AM26" s="124">
        <f t="shared" si="75"/>
        <v>13252.901023890785</v>
      </c>
      <c r="AN26" s="124">
        <f t="shared" si="75"/>
        <v>13252.901023890785</v>
      </c>
      <c r="AO26" s="124">
        <f t="shared" si="75"/>
        <v>13252.901023890785</v>
      </c>
      <c r="AP26" s="124">
        <f t="shared" si="75"/>
        <v>13252.901023890785</v>
      </c>
      <c r="AQ26" s="124">
        <f t="shared" si="75"/>
        <v>12400</v>
      </c>
      <c r="AR26" s="124">
        <f t="shared" si="75"/>
        <v>12600</v>
      </c>
      <c r="AS26" s="124">
        <f t="shared" si="75"/>
        <v>12600</v>
      </c>
      <c r="AT26" s="124" t="e">
        <f t="shared" si="75"/>
        <v>#DIV/0!</v>
      </c>
      <c r="AU26" s="124" t="e">
        <f t="shared" si="75"/>
        <v>#DIV/0!</v>
      </c>
      <c r="AV26" s="124">
        <f t="shared" si="75"/>
        <v>13073.121735636802</v>
      </c>
      <c r="AW26" s="124" t="e">
        <f t="shared" si="75"/>
        <v>#DIV/0!</v>
      </c>
      <c r="AX26" s="124" t="e">
        <f t="shared" si="75"/>
        <v>#DIV/0!</v>
      </c>
      <c r="AY26" s="124" t="e">
        <f t="shared" si="75"/>
        <v>#DIV/0!</v>
      </c>
      <c r="AZ26" s="124" t="e">
        <f t="shared" si="75"/>
        <v>#DIV/0!</v>
      </c>
      <c r="BA26" s="124" t="e">
        <f t="shared" si="75"/>
        <v>#DIV/0!</v>
      </c>
      <c r="BB26" s="124" t="e">
        <f t="shared" si="75"/>
        <v>#DIV/0!</v>
      </c>
      <c r="BC26" s="124" t="e">
        <f t="shared" si="75"/>
        <v>#DIV/0!</v>
      </c>
      <c r="BD26" s="124" t="e">
        <f t="shared" si="75"/>
        <v>#DIV/0!</v>
      </c>
      <c r="BE26" s="124" t="e">
        <f t="shared" si="75"/>
        <v>#DIV/0!</v>
      </c>
      <c r="BF26" s="124" t="e">
        <f t="shared" si="75"/>
        <v>#DIV/0!</v>
      </c>
      <c r="BG26" s="124" t="e">
        <f t="shared" si="75"/>
        <v>#DIV/0!</v>
      </c>
      <c r="BH26" s="124" t="e">
        <f t="shared" si="75"/>
        <v>#DIV/0!</v>
      </c>
      <c r="BI26" s="124" t="e">
        <f t="shared" si="75"/>
        <v>#DIV/0!</v>
      </c>
      <c r="BJ26" s="184"/>
      <c r="BK26" s="184"/>
      <c r="BL26" s="184"/>
      <c r="BM26" s="184"/>
      <c r="BN26" s="184"/>
      <c r="BO26" s="184"/>
      <c r="BP26" s="198">
        <f>BP27/BP25*10000</f>
        <v>12955.881683731512</v>
      </c>
    </row>
    <row r="27" spans="1:69" s="95" customFormat="1" ht="12.75">
      <c r="A27" s="730"/>
      <c r="B27" s="736"/>
      <c r="C27" s="728" t="s">
        <v>314</v>
      </c>
      <c r="D27" s="728"/>
      <c r="E27" s="122"/>
      <c r="F27" s="122"/>
      <c r="G27" s="122"/>
      <c r="H27" s="122"/>
      <c r="I27" s="122"/>
      <c r="J27" s="122"/>
      <c r="K27" s="122"/>
      <c r="L27" s="122"/>
      <c r="M27" s="122"/>
      <c r="N27" s="122">
        <f t="shared" ref="N27:W27" si="76">N19+N23</f>
        <v>0</v>
      </c>
      <c r="O27" s="122">
        <f t="shared" si="76"/>
        <v>0</v>
      </c>
      <c r="P27" s="122">
        <f t="shared" si="76"/>
        <v>0</v>
      </c>
      <c r="Q27" s="122">
        <f t="shared" si="76"/>
        <v>0</v>
      </c>
      <c r="R27" s="122">
        <f t="shared" si="76"/>
        <v>0</v>
      </c>
      <c r="S27" s="122">
        <f t="shared" si="76"/>
        <v>0</v>
      </c>
      <c r="T27" s="122">
        <f t="shared" si="76"/>
        <v>0</v>
      </c>
      <c r="U27" s="122">
        <f t="shared" si="76"/>
        <v>0</v>
      </c>
      <c r="V27" s="122">
        <f t="shared" si="76"/>
        <v>0</v>
      </c>
      <c r="W27" s="122">
        <f t="shared" si="76"/>
        <v>0</v>
      </c>
      <c r="X27" s="122">
        <f t="shared" ref="X27:BI27" si="77">X19+X23</f>
        <v>0</v>
      </c>
      <c r="Y27" s="122">
        <f t="shared" si="77"/>
        <v>0</v>
      </c>
      <c r="Z27" s="122">
        <f t="shared" si="77"/>
        <v>0</v>
      </c>
      <c r="AA27" s="122">
        <f t="shared" si="77"/>
        <v>1868.25</v>
      </c>
      <c r="AB27" s="122">
        <f t="shared" si="77"/>
        <v>945.75</v>
      </c>
      <c r="AC27" s="122">
        <f t="shared" si="77"/>
        <v>945.75</v>
      </c>
      <c r="AD27" s="122">
        <f t="shared" si="77"/>
        <v>945.75</v>
      </c>
      <c r="AE27" s="122">
        <f t="shared" si="77"/>
        <v>1142.94</v>
      </c>
      <c r="AF27" s="122">
        <f t="shared" si="77"/>
        <v>761.96</v>
      </c>
      <c r="AG27" s="122">
        <f t="shared" si="77"/>
        <v>761.96</v>
      </c>
      <c r="AH27" s="122">
        <f t="shared" si="77"/>
        <v>761.96</v>
      </c>
      <c r="AI27" s="122">
        <f t="shared" si="77"/>
        <v>8134.32</v>
      </c>
      <c r="AJ27" s="122">
        <f t="shared" si="77"/>
        <v>383.9</v>
      </c>
      <c r="AK27" s="122">
        <f t="shared" si="77"/>
        <v>383.9</v>
      </c>
      <c r="AL27" s="122">
        <f t="shared" si="77"/>
        <v>383.9</v>
      </c>
      <c r="AM27" s="122">
        <f t="shared" si="77"/>
        <v>388.31</v>
      </c>
      <c r="AN27" s="122">
        <f t="shared" si="77"/>
        <v>388.31</v>
      </c>
      <c r="AO27" s="122">
        <f t="shared" si="77"/>
        <v>388.31</v>
      </c>
      <c r="AP27" s="122">
        <f t="shared" si="77"/>
        <v>388.31</v>
      </c>
      <c r="AQ27" s="122">
        <f t="shared" si="77"/>
        <v>181.04</v>
      </c>
      <c r="AR27" s="122">
        <f t="shared" si="77"/>
        <v>183.96</v>
      </c>
      <c r="AS27" s="122">
        <f t="shared" si="77"/>
        <v>183.96</v>
      </c>
      <c r="AT27" s="122">
        <f t="shared" si="77"/>
        <v>0</v>
      </c>
      <c r="AU27" s="122">
        <f t="shared" si="77"/>
        <v>0</v>
      </c>
      <c r="AV27" s="122">
        <f t="shared" si="77"/>
        <v>3253.9</v>
      </c>
      <c r="AW27" s="122">
        <f t="shared" si="77"/>
        <v>0</v>
      </c>
      <c r="AX27" s="122">
        <f t="shared" si="77"/>
        <v>0</v>
      </c>
      <c r="AY27" s="122">
        <f t="shared" si="77"/>
        <v>0</v>
      </c>
      <c r="AZ27" s="122">
        <f t="shared" si="77"/>
        <v>0</v>
      </c>
      <c r="BA27" s="122">
        <f t="shared" si="77"/>
        <v>0</v>
      </c>
      <c r="BB27" s="122">
        <f t="shared" si="77"/>
        <v>0</v>
      </c>
      <c r="BC27" s="122">
        <f t="shared" si="77"/>
        <v>0</v>
      </c>
      <c r="BD27" s="122">
        <f t="shared" si="77"/>
        <v>0</v>
      </c>
      <c r="BE27" s="122">
        <f t="shared" si="77"/>
        <v>0</v>
      </c>
      <c r="BF27" s="122">
        <f t="shared" si="77"/>
        <v>0</v>
      </c>
      <c r="BG27" s="122">
        <f t="shared" si="77"/>
        <v>0</v>
      </c>
      <c r="BH27" s="122">
        <f t="shared" si="77"/>
        <v>0</v>
      </c>
      <c r="BI27" s="122">
        <f t="shared" si="77"/>
        <v>0</v>
      </c>
      <c r="BJ27" s="182"/>
      <c r="BK27" s="182"/>
      <c r="BL27" s="182"/>
      <c r="BM27" s="182"/>
      <c r="BN27" s="182"/>
      <c r="BO27" s="182"/>
      <c r="BP27" s="189">
        <f t="shared" ref="BP27:BP29" si="78">I27+V27+AI27+AV27+BI27</f>
        <v>11388.22</v>
      </c>
    </row>
    <row r="28" spans="1:69" s="95" customFormat="1" ht="12.75">
      <c r="A28" s="713" t="s">
        <v>320</v>
      </c>
      <c r="B28" s="731" t="s">
        <v>321</v>
      </c>
      <c r="C28" s="109" t="s">
        <v>311</v>
      </c>
      <c r="D28" s="110">
        <v>68</v>
      </c>
      <c r="E28" s="117">
        <v>0</v>
      </c>
      <c r="F28" s="117">
        <v>0</v>
      </c>
      <c r="G28" s="118">
        <v>0</v>
      </c>
      <c r="H28" s="118">
        <v>0</v>
      </c>
      <c r="I28" s="143">
        <f t="shared" ref="I28:I33" si="79">SUM(E28:H28)</f>
        <v>0</v>
      </c>
      <c r="J28" s="118">
        <v>0</v>
      </c>
      <c r="K28" s="118">
        <v>0</v>
      </c>
      <c r="L28" s="118">
        <v>0</v>
      </c>
      <c r="M28" s="118">
        <v>0</v>
      </c>
      <c r="N28" s="118"/>
      <c r="O28" s="118"/>
      <c r="P28" s="147">
        <v>9</v>
      </c>
      <c r="Q28" s="159">
        <v>3</v>
      </c>
      <c r="R28" s="159">
        <v>2</v>
      </c>
      <c r="S28" s="160">
        <v>1</v>
      </c>
      <c r="T28" s="159">
        <v>0</v>
      </c>
      <c r="U28" s="147">
        <v>1</v>
      </c>
      <c r="V28" s="136">
        <f t="shared" ref="V28:V33" si="80">SUM(J28:U28)</f>
        <v>16</v>
      </c>
      <c r="W28" s="118">
        <v>1</v>
      </c>
      <c r="X28" s="118">
        <v>1</v>
      </c>
      <c r="Y28" s="117">
        <v>2</v>
      </c>
      <c r="Z28" s="117">
        <v>2</v>
      </c>
      <c r="AA28" s="117">
        <v>1</v>
      </c>
      <c r="AB28" s="117">
        <v>2</v>
      </c>
      <c r="AC28" s="117">
        <v>2</v>
      </c>
      <c r="AD28" s="117">
        <v>2</v>
      </c>
      <c r="AE28" s="117">
        <v>1</v>
      </c>
      <c r="AF28" s="117">
        <v>2</v>
      </c>
      <c r="AG28" s="118">
        <v>2</v>
      </c>
      <c r="AH28" s="118">
        <v>1</v>
      </c>
      <c r="AI28" s="136">
        <f t="shared" ref="AI28:AI33" si="81">SUM(W28:AH28)</f>
        <v>19</v>
      </c>
      <c r="AJ28" s="118">
        <v>2</v>
      </c>
      <c r="AK28" s="118">
        <v>1</v>
      </c>
      <c r="AL28" s="117">
        <v>2</v>
      </c>
      <c r="AM28" s="117">
        <v>1</v>
      </c>
      <c r="AN28" s="117">
        <v>3</v>
      </c>
      <c r="AO28" s="117">
        <v>2</v>
      </c>
      <c r="AP28" s="117">
        <v>3</v>
      </c>
      <c r="AQ28" s="117">
        <v>2</v>
      </c>
      <c r="AR28" s="117">
        <v>1</v>
      </c>
      <c r="AS28" s="117">
        <v>3</v>
      </c>
      <c r="AT28" s="118">
        <v>1</v>
      </c>
      <c r="AU28" s="118">
        <v>1</v>
      </c>
      <c r="AV28" s="136">
        <f t="shared" ref="AV28:AV33" si="82">SUM(AJ28:AU28)</f>
        <v>22</v>
      </c>
      <c r="AW28" s="118">
        <v>1</v>
      </c>
      <c r="AX28" s="118">
        <v>2</v>
      </c>
      <c r="AY28" s="155">
        <v>2</v>
      </c>
      <c r="AZ28" s="155">
        <v>3</v>
      </c>
      <c r="BA28" s="155">
        <v>3</v>
      </c>
      <c r="BB28" s="155">
        <v>0</v>
      </c>
      <c r="BC28" s="155">
        <v>0</v>
      </c>
      <c r="BD28" s="155"/>
      <c r="BE28" s="155"/>
      <c r="BF28" s="155"/>
      <c r="BG28" s="155"/>
      <c r="BH28" s="155"/>
      <c r="BI28" s="178">
        <f t="shared" ref="BI28:BI33" si="83">SUM(AW28:BH28)</f>
        <v>11</v>
      </c>
      <c r="BJ28" s="179"/>
      <c r="BK28" s="179"/>
      <c r="BL28" s="179"/>
      <c r="BM28" s="179"/>
      <c r="BN28" s="179"/>
      <c r="BO28" s="179"/>
      <c r="BP28" s="193">
        <f t="shared" si="78"/>
        <v>68</v>
      </c>
      <c r="BQ28" s="192">
        <f>BP28-D28</f>
        <v>0</v>
      </c>
    </row>
    <row r="29" spans="1:69" s="95" customFormat="1" ht="12.75">
      <c r="A29" s="715"/>
      <c r="B29" s="732"/>
      <c r="C29" s="109" t="s">
        <v>312</v>
      </c>
      <c r="D29" s="110">
        <v>189</v>
      </c>
      <c r="E29" s="111">
        <f>E28*D29</f>
        <v>0</v>
      </c>
      <c r="F29" s="111">
        <f>F28*D29</f>
        <v>0</v>
      </c>
      <c r="G29" s="111">
        <f>G28*D29</f>
        <v>0</v>
      </c>
      <c r="H29" s="111">
        <f>H28*D29</f>
        <v>0</v>
      </c>
      <c r="I29" s="143">
        <f t="shared" si="79"/>
        <v>0</v>
      </c>
      <c r="J29" s="118">
        <f>J28*D29</f>
        <v>0</v>
      </c>
      <c r="K29" s="117">
        <f>K28*D29</f>
        <v>0</v>
      </c>
      <c r="L29" s="117">
        <f>L28*D29</f>
        <v>0</v>
      </c>
      <c r="M29" s="117">
        <f>M28*D29</f>
        <v>0</v>
      </c>
      <c r="N29" s="117">
        <f>N28*D29</f>
        <v>0</v>
      </c>
      <c r="O29" s="117">
        <f>O28*D29</f>
        <v>0</v>
      </c>
      <c r="P29" s="117">
        <f>P28*D29</f>
        <v>1701</v>
      </c>
      <c r="Q29" s="117">
        <f>Q28*D29</f>
        <v>567</v>
      </c>
      <c r="R29" s="117">
        <f>R28*D29</f>
        <v>378</v>
      </c>
      <c r="S29" s="155">
        <f>S28*D29</f>
        <v>189</v>
      </c>
      <c r="T29" s="117">
        <f>T28*D29</f>
        <v>0</v>
      </c>
      <c r="U29" s="117">
        <f>U28*D29</f>
        <v>189</v>
      </c>
      <c r="V29" s="136">
        <f t="shared" si="80"/>
        <v>3024</v>
      </c>
      <c r="W29" s="117">
        <f>W28*D29</f>
        <v>189</v>
      </c>
      <c r="X29" s="117">
        <f>X28*D29</f>
        <v>189</v>
      </c>
      <c r="Y29" s="117">
        <f>Y28*D29</f>
        <v>378</v>
      </c>
      <c r="Z29" s="117">
        <f>Z28*D29</f>
        <v>378</v>
      </c>
      <c r="AA29" s="117">
        <f>AA28*D29</f>
        <v>189</v>
      </c>
      <c r="AB29" s="117">
        <f>AB28*D29</f>
        <v>378</v>
      </c>
      <c r="AC29" s="117">
        <f>AC28*D29</f>
        <v>378</v>
      </c>
      <c r="AD29" s="117">
        <f>AD28*D29</f>
        <v>378</v>
      </c>
      <c r="AE29" s="117">
        <f>AE28*D29</f>
        <v>189</v>
      </c>
      <c r="AF29" s="117">
        <f>AF28*D29</f>
        <v>378</v>
      </c>
      <c r="AG29" s="117">
        <f>AG28*D29</f>
        <v>378</v>
      </c>
      <c r="AH29" s="117">
        <f>AH28*D29</f>
        <v>189</v>
      </c>
      <c r="AI29" s="136">
        <f t="shared" si="81"/>
        <v>3591</v>
      </c>
      <c r="AJ29" s="117">
        <f>AJ28*D29</f>
        <v>378</v>
      </c>
      <c r="AK29" s="117">
        <f>AK28*D29</f>
        <v>189</v>
      </c>
      <c r="AL29" s="117">
        <f>AL28*D29</f>
        <v>378</v>
      </c>
      <c r="AM29" s="117">
        <f>AM28*D29</f>
        <v>189</v>
      </c>
      <c r="AN29" s="117">
        <f>AN28*D29</f>
        <v>567</v>
      </c>
      <c r="AO29" s="117">
        <f>AO28*D29</f>
        <v>378</v>
      </c>
      <c r="AP29" s="117">
        <f>AP28*D29</f>
        <v>567</v>
      </c>
      <c r="AQ29" s="117">
        <f>AQ28*D29</f>
        <v>378</v>
      </c>
      <c r="AR29" s="117">
        <f>AR28*D29</f>
        <v>189</v>
      </c>
      <c r="AS29" s="117">
        <f>AS28*D29</f>
        <v>567</v>
      </c>
      <c r="AT29" s="117">
        <f>AT28*D29</f>
        <v>189</v>
      </c>
      <c r="AU29" s="117">
        <f>AU28*D29</f>
        <v>189</v>
      </c>
      <c r="AV29" s="136">
        <f t="shared" si="82"/>
        <v>4158</v>
      </c>
      <c r="AW29" s="118">
        <f>AW28*D29</f>
        <v>189</v>
      </c>
      <c r="AX29" s="118">
        <f>AX28*D29</f>
        <v>378</v>
      </c>
      <c r="AY29" s="118">
        <f>AY28*D29</f>
        <v>378</v>
      </c>
      <c r="AZ29" s="118">
        <f>AZ28*D29</f>
        <v>567</v>
      </c>
      <c r="BA29" s="118">
        <f>BA28*D29</f>
        <v>567</v>
      </c>
      <c r="BB29" s="118">
        <f>BB28*D29</f>
        <v>0</v>
      </c>
      <c r="BC29" s="118">
        <f>BC28*D29</f>
        <v>0</v>
      </c>
      <c r="BD29" s="118">
        <f>BD28*D29</f>
        <v>0</v>
      </c>
      <c r="BE29" s="118">
        <f>BE28*D29</f>
        <v>0</v>
      </c>
      <c r="BF29" s="118">
        <f>BF28*D29</f>
        <v>0</v>
      </c>
      <c r="BG29" s="118">
        <f>BG28*D29</f>
        <v>0</v>
      </c>
      <c r="BH29" s="118">
        <f>BH28*D29</f>
        <v>0</v>
      </c>
      <c r="BI29" s="178">
        <f t="shared" si="83"/>
        <v>2079</v>
      </c>
      <c r="BJ29" s="179"/>
      <c r="BK29" s="179"/>
      <c r="BL29" s="179"/>
      <c r="BM29" s="179"/>
      <c r="BN29" s="179"/>
      <c r="BO29" s="179"/>
      <c r="BP29" s="193">
        <f t="shared" si="78"/>
        <v>12852</v>
      </c>
    </row>
    <row r="30" spans="1:69" s="95" customFormat="1" ht="12.75">
      <c r="A30" s="715"/>
      <c r="B30" s="732"/>
      <c r="C30" s="724" t="s">
        <v>313</v>
      </c>
      <c r="D30" s="725"/>
      <c r="E30" s="125">
        <v>0</v>
      </c>
      <c r="F30" s="117">
        <f t="shared" ref="F30:K30" si="84">E30</f>
        <v>0</v>
      </c>
      <c r="G30" s="117">
        <v>0</v>
      </c>
      <c r="H30" s="117">
        <f t="shared" si="84"/>
        <v>0</v>
      </c>
      <c r="I30" s="143" t="e">
        <f>I31/I29*10000</f>
        <v>#DIV/0!</v>
      </c>
      <c r="J30" s="117">
        <f>H30</f>
        <v>0</v>
      </c>
      <c r="K30" s="117">
        <f t="shared" si="84"/>
        <v>0</v>
      </c>
      <c r="L30" s="117">
        <v>0</v>
      </c>
      <c r="M30" s="117">
        <v>0</v>
      </c>
      <c r="N30" s="117"/>
      <c r="O30" s="117">
        <f t="shared" ref="O30:U30" si="85">N30</f>
        <v>0</v>
      </c>
      <c r="P30" s="147">
        <v>12297</v>
      </c>
      <c r="Q30" s="147">
        <f>P30+500</f>
        <v>12797</v>
      </c>
      <c r="R30" s="147">
        <f t="shared" si="85"/>
        <v>12797</v>
      </c>
      <c r="S30" s="147">
        <f t="shared" si="85"/>
        <v>12797</v>
      </c>
      <c r="T30" s="147">
        <f t="shared" si="85"/>
        <v>12797</v>
      </c>
      <c r="U30" s="147">
        <f t="shared" si="85"/>
        <v>12797</v>
      </c>
      <c r="V30" s="156">
        <f>V31/V29*10000</f>
        <v>12515.749999999998</v>
      </c>
      <c r="W30" s="117">
        <f>U30+600</f>
        <v>13397</v>
      </c>
      <c r="X30" s="117">
        <f t="shared" ref="X30:Z30" si="86">W30</f>
        <v>13397</v>
      </c>
      <c r="Y30" s="117">
        <f t="shared" si="86"/>
        <v>13397</v>
      </c>
      <c r="Z30" s="117">
        <f t="shared" si="86"/>
        <v>13397</v>
      </c>
      <c r="AA30" s="117">
        <f>Z30+300</f>
        <v>13697</v>
      </c>
      <c r="AB30" s="117">
        <f t="shared" ref="AB30:AD30" si="87">AA30</f>
        <v>13697</v>
      </c>
      <c r="AC30" s="117">
        <f t="shared" si="87"/>
        <v>13697</v>
      </c>
      <c r="AD30" s="117">
        <f t="shared" si="87"/>
        <v>13697</v>
      </c>
      <c r="AE30" s="117">
        <f>AD30+300</f>
        <v>13997</v>
      </c>
      <c r="AF30" s="117">
        <f t="shared" ref="AF30:AH30" si="88">AE30</f>
        <v>13997</v>
      </c>
      <c r="AG30" s="117">
        <f t="shared" si="88"/>
        <v>13997</v>
      </c>
      <c r="AH30" s="117">
        <f t="shared" si="88"/>
        <v>13997</v>
      </c>
      <c r="AI30" s="156">
        <f>AI31/AI29*10000</f>
        <v>13696.999999999996</v>
      </c>
      <c r="AJ30" s="117">
        <f>AH30</f>
        <v>13997</v>
      </c>
      <c r="AK30" s="117">
        <f>AJ30</f>
        <v>13997</v>
      </c>
      <c r="AL30" s="117">
        <f>AK30</f>
        <v>13997</v>
      </c>
      <c r="AM30" s="117">
        <f>AL30+300</f>
        <v>14297</v>
      </c>
      <c r="AN30" s="117">
        <f t="shared" ref="AN30:AU30" si="89">AM30</f>
        <v>14297</v>
      </c>
      <c r="AO30" s="117">
        <f t="shared" si="89"/>
        <v>14297</v>
      </c>
      <c r="AP30" s="117">
        <f t="shared" si="89"/>
        <v>14297</v>
      </c>
      <c r="AQ30" s="117">
        <f t="shared" si="89"/>
        <v>14297</v>
      </c>
      <c r="AR30" s="117">
        <f t="shared" si="89"/>
        <v>14297</v>
      </c>
      <c r="AS30" s="117">
        <f t="shared" si="89"/>
        <v>14297</v>
      </c>
      <c r="AT30" s="117">
        <f t="shared" si="89"/>
        <v>14297</v>
      </c>
      <c r="AU30" s="117">
        <f t="shared" si="89"/>
        <v>14297</v>
      </c>
      <c r="AV30" s="156">
        <f>AV31/AV29*10000</f>
        <v>14228.818181818184</v>
      </c>
      <c r="AW30" s="118">
        <f>AU30+300</f>
        <v>14597</v>
      </c>
      <c r="AX30" s="118">
        <f>AW30</f>
        <v>14597</v>
      </c>
      <c r="AY30" s="118">
        <f t="shared" ref="AY30:BH30" si="90">AX30</f>
        <v>14597</v>
      </c>
      <c r="AZ30" s="155">
        <f t="shared" si="90"/>
        <v>14597</v>
      </c>
      <c r="BA30" s="155">
        <f t="shared" si="90"/>
        <v>14597</v>
      </c>
      <c r="BB30" s="155">
        <f>BA30+500</f>
        <v>15097</v>
      </c>
      <c r="BC30" s="155">
        <f t="shared" si="90"/>
        <v>15097</v>
      </c>
      <c r="BD30" s="155">
        <f t="shared" si="90"/>
        <v>15097</v>
      </c>
      <c r="BE30" s="155">
        <f t="shared" si="90"/>
        <v>15097</v>
      </c>
      <c r="BF30" s="155">
        <f t="shared" si="90"/>
        <v>15097</v>
      </c>
      <c r="BG30" s="155">
        <f t="shared" si="90"/>
        <v>15097</v>
      </c>
      <c r="BH30" s="155">
        <f t="shared" si="90"/>
        <v>15097</v>
      </c>
      <c r="BI30" s="178">
        <f>BI31/BI29*10000</f>
        <v>14597</v>
      </c>
      <c r="BJ30" s="179"/>
      <c r="BK30" s="179"/>
      <c r="BL30" s="179"/>
      <c r="BM30" s="179"/>
      <c r="BN30" s="179"/>
      <c r="BO30" s="179"/>
      <c r="BP30" s="197">
        <f>BP31/BP29*10000</f>
        <v>13736.705882352942</v>
      </c>
    </row>
    <row r="31" spans="1:69" s="95" customFormat="1" ht="12.75">
      <c r="A31" s="715"/>
      <c r="B31" s="733"/>
      <c r="C31" s="719" t="s">
        <v>314</v>
      </c>
      <c r="D31" s="719"/>
      <c r="E31" s="109">
        <f t="shared" ref="E31:H31" si="91">E29*E30/10000</f>
        <v>0</v>
      </c>
      <c r="F31" s="109">
        <f t="shared" si="91"/>
        <v>0</v>
      </c>
      <c r="G31" s="109">
        <f t="shared" si="91"/>
        <v>0</v>
      </c>
      <c r="H31" s="109">
        <f t="shared" si="91"/>
        <v>0</v>
      </c>
      <c r="I31" s="144">
        <f t="shared" si="79"/>
        <v>0</v>
      </c>
      <c r="J31" s="117">
        <f>J29*J30/10000</f>
        <v>0</v>
      </c>
      <c r="K31" s="117">
        <f>K29*K30/10000</f>
        <v>0</v>
      </c>
      <c r="L31" s="117">
        <f t="shared" ref="L31:U31" si="92">L29*L30/10000</f>
        <v>0</v>
      </c>
      <c r="M31" s="117">
        <f t="shared" si="92"/>
        <v>0</v>
      </c>
      <c r="N31" s="117">
        <f t="shared" si="92"/>
        <v>0</v>
      </c>
      <c r="O31" s="117">
        <f t="shared" si="92"/>
        <v>0</v>
      </c>
      <c r="P31" s="117">
        <f t="shared" si="92"/>
        <v>2091.7197000000001</v>
      </c>
      <c r="Q31" s="117">
        <f t="shared" si="92"/>
        <v>725.58989999999994</v>
      </c>
      <c r="R31" s="117">
        <f t="shared" si="92"/>
        <v>483.72660000000002</v>
      </c>
      <c r="S31" s="117">
        <f t="shared" si="92"/>
        <v>241.86330000000001</v>
      </c>
      <c r="T31" s="117">
        <f t="shared" si="92"/>
        <v>0</v>
      </c>
      <c r="U31" s="117">
        <f t="shared" si="92"/>
        <v>241.86330000000001</v>
      </c>
      <c r="V31" s="136">
        <f t="shared" si="80"/>
        <v>3784.7628</v>
      </c>
      <c r="W31" s="117">
        <f>W29*W30/10000</f>
        <v>253.20330000000001</v>
      </c>
      <c r="X31" s="117">
        <f t="shared" ref="X31:AH31" si="93">X29*X30/10000</f>
        <v>253.20330000000001</v>
      </c>
      <c r="Y31" s="117">
        <f t="shared" si="93"/>
        <v>506.40660000000003</v>
      </c>
      <c r="Z31" s="117">
        <f t="shared" si="93"/>
        <v>506.40660000000003</v>
      </c>
      <c r="AA31" s="117">
        <f t="shared" si="93"/>
        <v>258.87329999999997</v>
      </c>
      <c r="AB31" s="117">
        <f t="shared" si="93"/>
        <v>517.74659999999994</v>
      </c>
      <c r="AC31" s="117">
        <f t="shared" si="93"/>
        <v>517.74659999999994</v>
      </c>
      <c r="AD31" s="117">
        <f t="shared" si="93"/>
        <v>517.74659999999994</v>
      </c>
      <c r="AE31" s="117">
        <f t="shared" si="93"/>
        <v>264.54329999999999</v>
      </c>
      <c r="AF31" s="117">
        <f t="shared" si="93"/>
        <v>529.08659999999998</v>
      </c>
      <c r="AG31" s="117">
        <f t="shared" si="93"/>
        <v>529.08659999999998</v>
      </c>
      <c r="AH31" s="117">
        <f t="shared" si="93"/>
        <v>264.54329999999999</v>
      </c>
      <c r="AI31" s="136">
        <f t="shared" si="81"/>
        <v>4918.5926999999992</v>
      </c>
      <c r="AJ31" s="117">
        <f>AJ29*AJ30/10000</f>
        <v>529.08659999999998</v>
      </c>
      <c r="AK31" s="117">
        <f t="shared" ref="AK31:AU31" si="94">AK29*AK30/10000</f>
        <v>264.54329999999999</v>
      </c>
      <c r="AL31" s="117">
        <f t="shared" si="94"/>
        <v>529.08659999999998</v>
      </c>
      <c r="AM31" s="117">
        <f t="shared" si="94"/>
        <v>270.2133</v>
      </c>
      <c r="AN31" s="117">
        <f t="shared" si="94"/>
        <v>810.63990000000001</v>
      </c>
      <c r="AO31" s="117">
        <f t="shared" si="94"/>
        <v>540.42660000000001</v>
      </c>
      <c r="AP31" s="117">
        <f t="shared" si="94"/>
        <v>810.63990000000001</v>
      </c>
      <c r="AQ31" s="118">
        <f t="shared" si="94"/>
        <v>540.42660000000001</v>
      </c>
      <c r="AR31" s="118">
        <f t="shared" si="94"/>
        <v>270.2133</v>
      </c>
      <c r="AS31" s="118">
        <f t="shared" si="94"/>
        <v>810.63990000000001</v>
      </c>
      <c r="AT31" s="118">
        <f t="shared" si="94"/>
        <v>270.2133</v>
      </c>
      <c r="AU31" s="118">
        <f t="shared" si="94"/>
        <v>270.2133</v>
      </c>
      <c r="AV31" s="136">
        <f t="shared" si="82"/>
        <v>5916.3426000000009</v>
      </c>
      <c r="AW31" s="118">
        <f>AW29*AW30/10000</f>
        <v>275.88330000000002</v>
      </c>
      <c r="AX31" s="118">
        <f t="shared" ref="AX31:BH31" si="95">AX29*AX30/10000</f>
        <v>551.76660000000004</v>
      </c>
      <c r="AY31" s="118">
        <f t="shared" si="95"/>
        <v>551.76660000000004</v>
      </c>
      <c r="AZ31" s="118">
        <f t="shared" si="95"/>
        <v>827.6499</v>
      </c>
      <c r="BA31" s="118">
        <f t="shared" si="95"/>
        <v>827.6499</v>
      </c>
      <c r="BB31" s="118">
        <f t="shared" si="95"/>
        <v>0</v>
      </c>
      <c r="BC31" s="118">
        <f t="shared" si="95"/>
        <v>0</v>
      </c>
      <c r="BD31" s="118">
        <f t="shared" si="95"/>
        <v>0</v>
      </c>
      <c r="BE31" s="118">
        <f t="shared" si="95"/>
        <v>0</v>
      </c>
      <c r="BF31" s="118">
        <f t="shared" si="95"/>
        <v>0</v>
      </c>
      <c r="BG31" s="118">
        <f t="shared" si="95"/>
        <v>0</v>
      </c>
      <c r="BH31" s="118">
        <f t="shared" si="95"/>
        <v>0</v>
      </c>
      <c r="BI31" s="178">
        <f t="shared" si="83"/>
        <v>3034.7163</v>
      </c>
      <c r="BJ31" s="179"/>
      <c r="BK31" s="179"/>
      <c r="BL31" s="179"/>
      <c r="BM31" s="179"/>
      <c r="BN31" s="179"/>
      <c r="BO31" s="179"/>
      <c r="BP31" s="189">
        <f t="shared" ref="BP31:BP33" si="96">I31+V31+AI31+AV31+BI31</f>
        <v>17654.414400000001</v>
      </c>
    </row>
    <row r="32" spans="1:69" s="95" customFormat="1" ht="12.75">
      <c r="A32" s="715"/>
      <c r="B32" s="731" t="s">
        <v>322</v>
      </c>
      <c r="C32" s="109" t="s">
        <v>311</v>
      </c>
      <c r="D32" s="110">
        <v>46</v>
      </c>
      <c r="E32" s="120">
        <v>0</v>
      </c>
      <c r="F32" s="120">
        <v>0</v>
      </c>
      <c r="G32" s="119">
        <v>0</v>
      </c>
      <c r="H32" s="119">
        <v>0</v>
      </c>
      <c r="I32" s="144">
        <f t="shared" si="79"/>
        <v>0</v>
      </c>
      <c r="J32" s="119">
        <v>0</v>
      </c>
      <c r="K32" s="119">
        <v>0</v>
      </c>
      <c r="L32" s="145">
        <v>0</v>
      </c>
      <c r="M32" s="120">
        <v>0</v>
      </c>
      <c r="N32" s="119"/>
      <c r="O32" s="119"/>
      <c r="P32" s="148">
        <v>8</v>
      </c>
      <c r="Q32" s="151">
        <v>0</v>
      </c>
      <c r="R32" s="148">
        <v>4</v>
      </c>
      <c r="S32" s="161">
        <v>0</v>
      </c>
      <c r="T32" s="151">
        <v>0</v>
      </c>
      <c r="U32" s="148">
        <v>1</v>
      </c>
      <c r="V32" s="157">
        <f t="shared" si="80"/>
        <v>13</v>
      </c>
      <c r="W32" s="119">
        <v>1</v>
      </c>
      <c r="X32" s="119">
        <v>0</v>
      </c>
      <c r="Y32" s="120">
        <v>1</v>
      </c>
      <c r="Z32" s="120">
        <v>1</v>
      </c>
      <c r="AA32" s="120">
        <v>1</v>
      </c>
      <c r="AB32" s="120">
        <v>1</v>
      </c>
      <c r="AC32" s="120">
        <v>2</v>
      </c>
      <c r="AD32" s="120">
        <v>2</v>
      </c>
      <c r="AE32" s="120">
        <v>1</v>
      </c>
      <c r="AF32" s="120">
        <v>1</v>
      </c>
      <c r="AG32" s="119">
        <v>1</v>
      </c>
      <c r="AH32" s="119">
        <v>1</v>
      </c>
      <c r="AI32" s="157">
        <f t="shared" si="81"/>
        <v>13</v>
      </c>
      <c r="AJ32" s="119">
        <v>1</v>
      </c>
      <c r="AK32" s="119">
        <v>1</v>
      </c>
      <c r="AL32" s="120">
        <v>1</v>
      </c>
      <c r="AM32" s="120">
        <v>1</v>
      </c>
      <c r="AN32" s="120">
        <v>1</v>
      </c>
      <c r="AO32" s="120">
        <v>1</v>
      </c>
      <c r="AP32" s="120">
        <v>1</v>
      </c>
      <c r="AQ32" s="120">
        <v>2</v>
      </c>
      <c r="AR32" s="120">
        <v>1</v>
      </c>
      <c r="AS32" s="120">
        <v>2</v>
      </c>
      <c r="AT32" s="119">
        <v>1</v>
      </c>
      <c r="AU32" s="119">
        <v>1</v>
      </c>
      <c r="AV32" s="157">
        <f t="shared" si="82"/>
        <v>14</v>
      </c>
      <c r="AW32" s="119">
        <v>1</v>
      </c>
      <c r="AX32" s="119">
        <v>1</v>
      </c>
      <c r="AY32" s="145">
        <v>1</v>
      </c>
      <c r="AZ32" s="145">
        <v>1</v>
      </c>
      <c r="BA32" s="145">
        <v>1</v>
      </c>
      <c r="BB32" s="145">
        <v>1</v>
      </c>
      <c r="BC32" s="145"/>
      <c r="BD32" s="145"/>
      <c r="BE32" s="145"/>
      <c r="BF32" s="145"/>
      <c r="BG32" s="145"/>
      <c r="BH32" s="145"/>
      <c r="BI32" s="180">
        <f t="shared" si="83"/>
        <v>6</v>
      </c>
      <c r="BJ32" s="181"/>
      <c r="BK32" s="181"/>
      <c r="BL32" s="181"/>
      <c r="BM32" s="181"/>
      <c r="BN32" s="181"/>
      <c r="BO32" s="181"/>
      <c r="BP32" s="189">
        <f t="shared" si="96"/>
        <v>46</v>
      </c>
      <c r="BQ32" s="192">
        <f>BP32-D32</f>
        <v>0</v>
      </c>
    </row>
    <row r="33" spans="1:149" s="95" customFormat="1" ht="12.75">
      <c r="A33" s="715"/>
      <c r="B33" s="732"/>
      <c r="C33" s="109" t="s">
        <v>312</v>
      </c>
      <c r="D33" s="110">
        <v>234</v>
      </c>
      <c r="E33" s="121">
        <f>E32*D33</f>
        <v>0</v>
      </c>
      <c r="F33" s="121">
        <f>F32*D33</f>
        <v>0</v>
      </c>
      <c r="G33" s="121">
        <f>G32*D33</f>
        <v>0</v>
      </c>
      <c r="H33" s="121">
        <f>H32*D33</f>
        <v>0</v>
      </c>
      <c r="I33" s="143">
        <f t="shared" si="79"/>
        <v>0</v>
      </c>
      <c r="J33" s="119">
        <f>J32*D33</f>
        <v>0</v>
      </c>
      <c r="K33" s="119">
        <f>K32*D33</f>
        <v>0</v>
      </c>
      <c r="L33" s="119">
        <f>L32*D33</f>
        <v>0</v>
      </c>
      <c r="M33" s="119">
        <f>M32*D33</f>
        <v>0</v>
      </c>
      <c r="N33" s="119">
        <f>N32*D33</f>
        <v>0</v>
      </c>
      <c r="O33" s="119">
        <f>O32*D33</f>
        <v>0</v>
      </c>
      <c r="P33" s="119">
        <f>P32*D33</f>
        <v>1872</v>
      </c>
      <c r="Q33" s="119">
        <f>Q32*D33</f>
        <v>0</v>
      </c>
      <c r="R33" s="119">
        <f>R32*D33</f>
        <v>936</v>
      </c>
      <c r="S33" s="119">
        <f>S32*D33</f>
        <v>0</v>
      </c>
      <c r="T33" s="119">
        <f>T32*D33</f>
        <v>0</v>
      </c>
      <c r="U33" s="119">
        <f>U32*D33</f>
        <v>234</v>
      </c>
      <c r="V33" s="157">
        <f t="shared" si="80"/>
        <v>3042</v>
      </c>
      <c r="W33" s="119">
        <f>W32*D33</f>
        <v>234</v>
      </c>
      <c r="X33" s="119">
        <f>X32*D33</f>
        <v>0</v>
      </c>
      <c r="Y33" s="119">
        <f>Y32*D33</f>
        <v>234</v>
      </c>
      <c r="Z33" s="119">
        <f>Z32*D33</f>
        <v>234</v>
      </c>
      <c r="AA33" s="119">
        <f>AA32*D33</f>
        <v>234</v>
      </c>
      <c r="AB33" s="119">
        <f>AB32*D33</f>
        <v>234</v>
      </c>
      <c r="AC33" s="119">
        <f>AC32*D33</f>
        <v>468</v>
      </c>
      <c r="AD33" s="119">
        <f>AD32*D33</f>
        <v>468</v>
      </c>
      <c r="AE33" s="119">
        <f>AE32*D33</f>
        <v>234</v>
      </c>
      <c r="AF33" s="119">
        <f>AF32*D33</f>
        <v>234</v>
      </c>
      <c r="AG33" s="119">
        <f>AG32*D33</f>
        <v>234</v>
      </c>
      <c r="AH33" s="119">
        <f>AH32*D33</f>
        <v>234</v>
      </c>
      <c r="AI33" s="157">
        <f t="shared" si="81"/>
        <v>3042</v>
      </c>
      <c r="AJ33" s="119">
        <f>AJ32*D33</f>
        <v>234</v>
      </c>
      <c r="AK33" s="119">
        <f>AK32*D33</f>
        <v>234</v>
      </c>
      <c r="AL33" s="117">
        <f>AL32*D33</f>
        <v>234</v>
      </c>
      <c r="AM33" s="117">
        <f>AM32*D33</f>
        <v>234</v>
      </c>
      <c r="AN33" s="117">
        <f>AN32*D33</f>
        <v>234</v>
      </c>
      <c r="AO33" s="117">
        <f>AO32*D33</f>
        <v>234</v>
      </c>
      <c r="AP33" s="117">
        <f>AP32*D33</f>
        <v>234</v>
      </c>
      <c r="AQ33" s="119">
        <f>AQ32*D33</f>
        <v>468</v>
      </c>
      <c r="AR33" s="119">
        <f>AR32*D33</f>
        <v>234</v>
      </c>
      <c r="AS33" s="119">
        <f>AS32*D33</f>
        <v>468</v>
      </c>
      <c r="AT33" s="119">
        <f>AT32*D33</f>
        <v>234</v>
      </c>
      <c r="AU33" s="119">
        <f>AU32*D33</f>
        <v>234</v>
      </c>
      <c r="AV33" s="157">
        <f t="shared" si="82"/>
        <v>3276</v>
      </c>
      <c r="AW33" s="119">
        <f>AW32*D33</f>
        <v>234</v>
      </c>
      <c r="AX33" s="119">
        <f>AX32*D33</f>
        <v>234</v>
      </c>
      <c r="AY33" s="119">
        <f>AY32*D33</f>
        <v>234</v>
      </c>
      <c r="AZ33" s="119">
        <f>AZ32*D33</f>
        <v>234</v>
      </c>
      <c r="BA33" s="119">
        <f>BA32*D33</f>
        <v>234</v>
      </c>
      <c r="BB33" s="119">
        <f>BB32*D33</f>
        <v>234</v>
      </c>
      <c r="BC33" s="119">
        <f>BC32*D33</f>
        <v>0</v>
      </c>
      <c r="BD33" s="119">
        <f>BD32*D33</f>
        <v>0</v>
      </c>
      <c r="BE33" s="119">
        <f>BE32*D33</f>
        <v>0</v>
      </c>
      <c r="BF33" s="119">
        <f>BF32*D33</f>
        <v>0</v>
      </c>
      <c r="BG33" s="119">
        <f>BG32*D33</f>
        <v>0</v>
      </c>
      <c r="BH33" s="119">
        <f>BH32*D33</f>
        <v>0</v>
      </c>
      <c r="BI33" s="180">
        <f t="shared" si="83"/>
        <v>1404</v>
      </c>
      <c r="BJ33" s="181"/>
      <c r="BK33" s="181"/>
      <c r="BL33" s="181"/>
      <c r="BM33" s="181"/>
      <c r="BN33" s="181"/>
      <c r="BO33" s="181"/>
      <c r="BP33" s="189">
        <f t="shared" si="96"/>
        <v>10764</v>
      </c>
    </row>
    <row r="34" spans="1:149" s="95" customFormat="1" ht="12.75">
      <c r="A34" s="715"/>
      <c r="B34" s="732"/>
      <c r="C34" s="724" t="s">
        <v>313</v>
      </c>
      <c r="D34" s="725"/>
      <c r="E34" s="126">
        <v>0</v>
      </c>
      <c r="F34" s="120">
        <f t="shared" ref="F34:K34" si="97">E34</f>
        <v>0</v>
      </c>
      <c r="G34" s="127">
        <v>0</v>
      </c>
      <c r="H34" s="127">
        <f t="shared" si="97"/>
        <v>0</v>
      </c>
      <c r="I34" s="149" t="e">
        <f>I35/I33*10000</f>
        <v>#DIV/0!</v>
      </c>
      <c r="J34" s="127">
        <f>H34</f>
        <v>0</v>
      </c>
      <c r="K34" s="127">
        <f t="shared" si="97"/>
        <v>0</v>
      </c>
      <c r="L34" s="120">
        <v>0</v>
      </c>
      <c r="M34" s="120">
        <v>0</v>
      </c>
      <c r="N34" s="127"/>
      <c r="O34" s="127">
        <f t="shared" ref="O34:U34" si="98">N34</f>
        <v>0</v>
      </c>
      <c r="P34" s="148">
        <v>12437</v>
      </c>
      <c r="Q34" s="162">
        <f>P34+800</f>
        <v>13237</v>
      </c>
      <c r="R34" s="162">
        <f t="shared" si="98"/>
        <v>13237</v>
      </c>
      <c r="S34" s="162">
        <f t="shared" si="98"/>
        <v>13237</v>
      </c>
      <c r="T34" s="162">
        <f t="shared" si="98"/>
        <v>13237</v>
      </c>
      <c r="U34" s="162">
        <f t="shared" si="98"/>
        <v>13237</v>
      </c>
      <c r="V34" s="157">
        <f>V35/V33*10000</f>
        <v>12744.692307692307</v>
      </c>
      <c r="W34" s="127">
        <f>U34+800</f>
        <v>14037</v>
      </c>
      <c r="X34" s="127">
        <f t="shared" ref="X34:Z34" si="99">W34</f>
        <v>14037</v>
      </c>
      <c r="Y34" s="120">
        <f t="shared" si="99"/>
        <v>14037</v>
      </c>
      <c r="Z34" s="120">
        <f t="shared" si="99"/>
        <v>14037</v>
      </c>
      <c r="AA34" s="120">
        <f>Z34+300</f>
        <v>14337</v>
      </c>
      <c r="AB34" s="120">
        <f t="shared" ref="AB34:AD34" si="100">AA34</f>
        <v>14337</v>
      </c>
      <c r="AC34" s="120">
        <f t="shared" si="100"/>
        <v>14337</v>
      </c>
      <c r="AD34" s="120">
        <f t="shared" si="100"/>
        <v>14337</v>
      </c>
      <c r="AE34" s="120">
        <f>AD34+300</f>
        <v>14637</v>
      </c>
      <c r="AF34" s="120">
        <f t="shared" ref="AF34:AH34" si="101">AE34</f>
        <v>14637</v>
      </c>
      <c r="AG34" s="120">
        <f t="shared" si="101"/>
        <v>14637</v>
      </c>
      <c r="AH34" s="120">
        <f t="shared" si="101"/>
        <v>14637</v>
      </c>
      <c r="AI34" s="157">
        <f>AI35/AI33*10000</f>
        <v>14360.076923076924</v>
      </c>
      <c r="AJ34" s="119">
        <f>AH34</f>
        <v>14637</v>
      </c>
      <c r="AK34" s="119">
        <f t="shared" ref="AK34:AQ34" si="102">AJ34</f>
        <v>14637</v>
      </c>
      <c r="AL34" s="117">
        <f t="shared" si="102"/>
        <v>14637</v>
      </c>
      <c r="AM34" s="117">
        <f>AL34+300</f>
        <v>14937</v>
      </c>
      <c r="AN34" s="117">
        <f t="shared" si="102"/>
        <v>14937</v>
      </c>
      <c r="AO34" s="117">
        <f t="shared" si="102"/>
        <v>14937</v>
      </c>
      <c r="AP34" s="117">
        <f t="shared" si="102"/>
        <v>14937</v>
      </c>
      <c r="AQ34" s="119">
        <f t="shared" si="102"/>
        <v>14937</v>
      </c>
      <c r="AR34" s="120">
        <f>AQ34+300</f>
        <v>15237</v>
      </c>
      <c r="AS34" s="120">
        <f t="shared" ref="AS34:AU34" si="103">AR34</f>
        <v>15237</v>
      </c>
      <c r="AT34" s="119">
        <f t="shared" si="103"/>
        <v>15237</v>
      </c>
      <c r="AU34" s="119">
        <f t="shared" si="103"/>
        <v>15237</v>
      </c>
      <c r="AV34" s="158">
        <f>AV35/AV33*10000</f>
        <v>14979.857142857139</v>
      </c>
      <c r="AW34" s="119">
        <f>AU34</f>
        <v>15237</v>
      </c>
      <c r="AX34" s="119">
        <f>AW34</f>
        <v>15237</v>
      </c>
      <c r="AY34" s="145">
        <f>AX34</f>
        <v>15237</v>
      </c>
      <c r="AZ34" s="145">
        <f t="shared" ref="AZ34:BH34" si="104">AY34</f>
        <v>15237</v>
      </c>
      <c r="BA34" s="145">
        <f t="shared" si="104"/>
        <v>15237</v>
      </c>
      <c r="BB34" s="145">
        <f t="shared" si="104"/>
        <v>15237</v>
      </c>
      <c r="BC34" s="145">
        <f t="shared" si="104"/>
        <v>15237</v>
      </c>
      <c r="BD34" s="145">
        <f t="shared" si="104"/>
        <v>15237</v>
      </c>
      <c r="BE34" s="145">
        <f t="shared" si="104"/>
        <v>15237</v>
      </c>
      <c r="BF34" s="145">
        <f t="shared" si="104"/>
        <v>15237</v>
      </c>
      <c r="BG34" s="145">
        <f t="shared" si="104"/>
        <v>15237</v>
      </c>
      <c r="BH34" s="145">
        <f t="shared" si="104"/>
        <v>15237</v>
      </c>
      <c r="BI34" s="180">
        <f>BI35/BI33*10000</f>
        <v>15236.999999999998</v>
      </c>
      <c r="BJ34" s="181"/>
      <c r="BK34" s="181"/>
      <c r="BL34" s="181"/>
      <c r="BM34" s="181"/>
      <c r="BN34" s="181"/>
      <c r="BO34" s="181"/>
      <c r="BP34" s="197">
        <f>BP35/BP33*10000</f>
        <v>14206.565217391302</v>
      </c>
    </row>
    <row r="35" spans="1:149" s="95" customFormat="1" ht="12.75">
      <c r="A35" s="715"/>
      <c r="B35" s="733"/>
      <c r="C35" s="719" t="s">
        <v>314</v>
      </c>
      <c r="D35" s="719"/>
      <c r="E35" s="120">
        <f t="shared" ref="E35:H35" si="105">E33*E34/10000</f>
        <v>0</v>
      </c>
      <c r="F35" s="120">
        <f t="shared" si="105"/>
        <v>0</v>
      </c>
      <c r="G35" s="120">
        <f t="shared" si="105"/>
        <v>0</v>
      </c>
      <c r="H35" s="120">
        <f t="shared" si="105"/>
        <v>0</v>
      </c>
      <c r="I35" s="146">
        <f>SUM(E35:H35)</f>
        <v>0</v>
      </c>
      <c r="J35" s="119">
        <f>J33*J34/10000</f>
        <v>0</v>
      </c>
      <c r="K35" s="119">
        <f t="shared" ref="K35:U35" si="106">K33*K34/10000</f>
        <v>0</v>
      </c>
      <c r="L35" s="119">
        <f t="shared" si="106"/>
        <v>0</v>
      </c>
      <c r="M35" s="119">
        <f t="shared" si="106"/>
        <v>0</v>
      </c>
      <c r="N35" s="119">
        <f t="shared" si="106"/>
        <v>0</v>
      </c>
      <c r="O35" s="119"/>
      <c r="P35" s="119">
        <f t="shared" si="106"/>
        <v>2328.2064</v>
      </c>
      <c r="Q35" s="119">
        <f t="shared" si="106"/>
        <v>0</v>
      </c>
      <c r="R35" s="119">
        <f t="shared" si="106"/>
        <v>1238.9831999999999</v>
      </c>
      <c r="S35" s="119">
        <f t="shared" si="106"/>
        <v>0</v>
      </c>
      <c r="T35" s="119">
        <f t="shared" si="106"/>
        <v>0</v>
      </c>
      <c r="U35" s="119">
        <f t="shared" si="106"/>
        <v>309.74579999999997</v>
      </c>
      <c r="V35" s="157">
        <f>SUM(J35:U35)</f>
        <v>3876.9353999999998</v>
      </c>
      <c r="W35" s="119">
        <f>W33*W34/10000</f>
        <v>328.4658</v>
      </c>
      <c r="X35" s="119">
        <f t="shared" ref="X35:AH35" si="107">X33*X34/10000</f>
        <v>0</v>
      </c>
      <c r="Y35" s="119">
        <f t="shared" si="107"/>
        <v>328.4658</v>
      </c>
      <c r="Z35" s="119">
        <f t="shared" si="107"/>
        <v>328.4658</v>
      </c>
      <c r="AA35" s="119">
        <f t="shared" si="107"/>
        <v>335.48579999999998</v>
      </c>
      <c r="AB35" s="119">
        <f t="shared" si="107"/>
        <v>335.48579999999998</v>
      </c>
      <c r="AC35" s="119">
        <f t="shared" si="107"/>
        <v>670.97159999999997</v>
      </c>
      <c r="AD35" s="119">
        <f t="shared" si="107"/>
        <v>670.97159999999997</v>
      </c>
      <c r="AE35" s="119">
        <f t="shared" si="107"/>
        <v>342.50580000000002</v>
      </c>
      <c r="AF35" s="119">
        <f t="shared" si="107"/>
        <v>342.50580000000002</v>
      </c>
      <c r="AG35" s="119">
        <f t="shared" si="107"/>
        <v>342.50580000000002</v>
      </c>
      <c r="AH35" s="119">
        <f t="shared" si="107"/>
        <v>342.50580000000002</v>
      </c>
      <c r="AI35" s="157">
        <f>SUM(W35:AH35)</f>
        <v>4368.3353999999999</v>
      </c>
      <c r="AJ35" s="119">
        <f>AJ33*AJ34/10000</f>
        <v>342.50580000000002</v>
      </c>
      <c r="AK35" s="119">
        <f t="shared" ref="AK35:AU35" si="108">AK33*AK34/10000</f>
        <v>342.50580000000002</v>
      </c>
      <c r="AL35" s="117">
        <f t="shared" si="108"/>
        <v>342.50580000000002</v>
      </c>
      <c r="AM35" s="117">
        <f t="shared" si="108"/>
        <v>349.5258</v>
      </c>
      <c r="AN35" s="117">
        <f t="shared" si="108"/>
        <v>349.5258</v>
      </c>
      <c r="AO35" s="117">
        <f t="shared" si="108"/>
        <v>349.5258</v>
      </c>
      <c r="AP35" s="117">
        <f t="shared" si="108"/>
        <v>349.5258</v>
      </c>
      <c r="AQ35" s="119">
        <f t="shared" si="108"/>
        <v>699.05160000000001</v>
      </c>
      <c r="AR35" s="119">
        <f t="shared" si="108"/>
        <v>356.54579999999999</v>
      </c>
      <c r="AS35" s="119">
        <f t="shared" si="108"/>
        <v>713.09159999999997</v>
      </c>
      <c r="AT35" s="119">
        <f t="shared" si="108"/>
        <v>356.54579999999999</v>
      </c>
      <c r="AU35" s="119">
        <f t="shared" si="108"/>
        <v>356.54579999999999</v>
      </c>
      <c r="AV35" s="157">
        <f>SUM(AJ35:AU35)</f>
        <v>4907.4011999999993</v>
      </c>
      <c r="AW35" s="119">
        <f>AW33*AW34/10000</f>
        <v>356.54579999999999</v>
      </c>
      <c r="AX35" s="119">
        <f t="shared" ref="AX35:BH35" si="109">AX33*AX34/10000</f>
        <v>356.54579999999999</v>
      </c>
      <c r="AY35" s="119">
        <f t="shared" si="109"/>
        <v>356.54579999999999</v>
      </c>
      <c r="AZ35" s="119">
        <f t="shared" si="109"/>
        <v>356.54579999999999</v>
      </c>
      <c r="BA35" s="119">
        <f t="shared" si="109"/>
        <v>356.54579999999999</v>
      </c>
      <c r="BB35" s="119">
        <f t="shared" si="109"/>
        <v>356.54579999999999</v>
      </c>
      <c r="BC35" s="119">
        <f t="shared" si="109"/>
        <v>0</v>
      </c>
      <c r="BD35" s="119">
        <f t="shared" si="109"/>
        <v>0</v>
      </c>
      <c r="BE35" s="119">
        <f t="shared" si="109"/>
        <v>0</v>
      </c>
      <c r="BF35" s="119">
        <f t="shared" si="109"/>
        <v>0</v>
      </c>
      <c r="BG35" s="119">
        <f t="shared" si="109"/>
        <v>0</v>
      </c>
      <c r="BH35" s="119">
        <f t="shared" si="109"/>
        <v>0</v>
      </c>
      <c r="BI35" s="180">
        <f>SUM(AW35:BH35)</f>
        <v>2139.2747999999997</v>
      </c>
      <c r="BJ35" s="181"/>
      <c r="BK35" s="181"/>
      <c r="BL35" s="181"/>
      <c r="BM35" s="181"/>
      <c r="BN35" s="181"/>
      <c r="BO35" s="181"/>
      <c r="BP35" s="189">
        <f t="shared" ref="BP35:BP37" si="110">I35+V35+AI35+AV35+BI35</f>
        <v>15291.946799999998</v>
      </c>
    </row>
    <row r="36" spans="1:149">
      <c r="A36" s="715"/>
      <c r="B36" s="728" t="s">
        <v>316</v>
      </c>
      <c r="C36" s="122" t="s">
        <v>311</v>
      </c>
      <c r="D36" s="124">
        <f t="shared" ref="D36:F36" si="111">D28+D32</f>
        <v>114</v>
      </c>
      <c r="E36" s="123">
        <f t="shared" si="111"/>
        <v>0</v>
      </c>
      <c r="F36" s="123">
        <f t="shared" si="111"/>
        <v>0</v>
      </c>
      <c r="G36" s="123">
        <f t="shared" ref="G36:N36" si="112">G28+G32</f>
        <v>0</v>
      </c>
      <c r="H36" s="123">
        <f t="shared" si="112"/>
        <v>0</v>
      </c>
      <c r="I36" s="123">
        <f t="shared" si="112"/>
        <v>0</v>
      </c>
      <c r="J36" s="123">
        <f t="shared" si="112"/>
        <v>0</v>
      </c>
      <c r="K36" s="123">
        <f t="shared" si="112"/>
        <v>0</v>
      </c>
      <c r="L36" s="123">
        <f t="shared" si="112"/>
        <v>0</v>
      </c>
      <c r="M36" s="123">
        <f t="shared" si="112"/>
        <v>0</v>
      </c>
      <c r="N36" s="123">
        <f t="shared" si="112"/>
        <v>0</v>
      </c>
      <c r="O36" s="123">
        <f t="shared" ref="O36:AI37" si="113">O28+O32</f>
        <v>0</v>
      </c>
      <c r="P36" s="123">
        <f t="shared" si="113"/>
        <v>17</v>
      </c>
      <c r="Q36" s="123">
        <f t="shared" si="113"/>
        <v>3</v>
      </c>
      <c r="R36" s="123">
        <f t="shared" si="113"/>
        <v>6</v>
      </c>
      <c r="S36" s="123">
        <f t="shared" si="113"/>
        <v>1</v>
      </c>
      <c r="T36" s="123">
        <f t="shared" si="113"/>
        <v>0</v>
      </c>
      <c r="U36" s="123">
        <f t="shared" si="113"/>
        <v>2</v>
      </c>
      <c r="V36" s="163">
        <f>V28+V32</f>
        <v>29</v>
      </c>
      <c r="W36" s="123">
        <f t="shared" si="113"/>
        <v>2</v>
      </c>
      <c r="X36" s="123">
        <f t="shared" si="113"/>
        <v>1</v>
      </c>
      <c r="Y36" s="123">
        <f t="shared" si="113"/>
        <v>3</v>
      </c>
      <c r="Z36" s="123">
        <f t="shared" si="113"/>
        <v>3</v>
      </c>
      <c r="AA36" s="123">
        <f t="shared" si="113"/>
        <v>2</v>
      </c>
      <c r="AB36" s="123">
        <f t="shared" si="113"/>
        <v>3</v>
      </c>
      <c r="AC36" s="123">
        <f t="shared" si="113"/>
        <v>4</v>
      </c>
      <c r="AD36" s="123">
        <f t="shared" si="113"/>
        <v>4</v>
      </c>
      <c r="AE36" s="123">
        <f t="shared" si="113"/>
        <v>2</v>
      </c>
      <c r="AF36" s="123">
        <f t="shared" si="113"/>
        <v>3</v>
      </c>
      <c r="AG36" s="123">
        <f t="shared" si="113"/>
        <v>3</v>
      </c>
      <c r="AH36" s="123">
        <f t="shared" si="113"/>
        <v>2</v>
      </c>
      <c r="AI36" s="123">
        <f t="shared" si="113"/>
        <v>32</v>
      </c>
      <c r="AJ36" s="123">
        <f>AJ28+AJ32</f>
        <v>3</v>
      </c>
      <c r="AK36" s="123">
        <f t="shared" ref="AK36:BI36" si="114">AK28+AK32</f>
        <v>2</v>
      </c>
      <c r="AL36" s="123">
        <f t="shared" si="114"/>
        <v>3</v>
      </c>
      <c r="AM36" s="123">
        <f t="shared" si="114"/>
        <v>2</v>
      </c>
      <c r="AN36" s="123">
        <f t="shared" si="114"/>
        <v>4</v>
      </c>
      <c r="AO36" s="123">
        <f t="shared" si="114"/>
        <v>3</v>
      </c>
      <c r="AP36" s="123">
        <f t="shared" si="114"/>
        <v>4</v>
      </c>
      <c r="AQ36" s="123">
        <f t="shared" si="114"/>
        <v>4</v>
      </c>
      <c r="AR36" s="123">
        <f t="shared" si="114"/>
        <v>2</v>
      </c>
      <c r="AS36" s="123">
        <f t="shared" si="114"/>
        <v>5</v>
      </c>
      <c r="AT36" s="123">
        <f t="shared" si="114"/>
        <v>2</v>
      </c>
      <c r="AU36" s="123">
        <f t="shared" si="114"/>
        <v>2</v>
      </c>
      <c r="AV36" s="123">
        <f t="shared" si="114"/>
        <v>36</v>
      </c>
      <c r="AW36" s="123">
        <f t="shared" si="114"/>
        <v>2</v>
      </c>
      <c r="AX36" s="123">
        <f t="shared" si="114"/>
        <v>3</v>
      </c>
      <c r="AY36" s="123">
        <f t="shared" si="114"/>
        <v>3</v>
      </c>
      <c r="AZ36" s="123">
        <f t="shared" si="114"/>
        <v>4</v>
      </c>
      <c r="BA36" s="123">
        <f t="shared" si="114"/>
        <v>4</v>
      </c>
      <c r="BB36" s="123">
        <f t="shared" si="114"/>
        <v>1</v>
      </c>
      <c r="BC36" s="123">
        <f t="shared" si="114"/>
        <v>0</v>
      </c>
      <c r="BD36" s="123">
        <f t="shared" si="114"/>
        <v>0</v>
      </c>
      <c r="BE36" s="123">
        <f t="shared" si="114"/>
        <v>0</v>
      </c>
      <c r="BF36" s="123">
        <f t="shared" si="114"/>
        <v>0</v>
      </c>
      <c r="BG36" s="123">
        <f t="shared" si="114"/>
        <v>0</v>
      </c>
      <c r="BH36" s="123">
        <f t="shared" si="114"/>
        <v>0</v>
      </c>
      <c r="BI36" s="123">
        <f t="shared" si="114"/>
        <v>17</v>
      </c>
      <c r="BJ36" s="183"/>
      <c r="BK36" s="183"/>
      <c r="BL36" s="183"/>
      <c r="BM36" s="183"/>
      <c r="BN36" s="183"/>
      <c r="BO36" s="183"/>
      <c r="BP36" s="193">
        <f t="shared" si="110"/>
        <v>114</v>
      </c>
      <c r="BQ36" s="192">
        <f>BP36-D36</f>
        <v>0</v>
      </c>
      <c r="BR36" s="192"/>
      <c r="BS36" s="192"/>
      <c r="BT36" s="192"/>
      <c r="BU36" s="192"/>
      <c r="BV36" s="192"/>
      <c r="BW36" s="192"/>
      <c r="BX36" s="192"/>
      <c r="BY36" s="192"/>
      <c r="BZ36" s="192"/>
      <c r="CA36" s="192"/>
      <c r="CB36" s="192"/>
      <c r="CC36" s="192"/>
      <c r="CD36" s="192"/>
      <c r="CE36" s="192"/>
      <c r="CF36" s="192"/>
      <c r="CG36" s="192"/>
      <c r="CH36" s="192"/>
      <c r="CI36" s="192"/>
      <c r="CJ36" s="192"/>
      <c r="CK36" s="192"/>
      <c r="CL36" s="192"/>
      <c r="CM36" s="192"/>
      <c r="CN36" s="192"/>
      <c r="CO36" s="192"/>
      <c r="CP36" s="192"/>
      <c r="CQ36" s="192"/>
      <c r="CR36" s="192"/>
      <c r="CS36" s="192"/>
      <c r="CT36" s="192"/>
      <c r="CU36" s="192"/>
      <c r="CV36" s="192"/>
      <c r="CW36" s="192"/>
      <c r="CX36" s="192"/>
      <c r="CY36" s="192"/>
      <c r="CZ36" s="192"/>
      <c r="DA36" s="192"/>
      <c r="DB36" s="192"/>
      <c r="DC36" s="192"/>
      <c r="DD36" s="192"/>
      <c r="DE36" s="192"/>
      <c r="DF36" s="192"/>
      <c r="DG36" s="192"/>
      <c r="DH36" s="192"/>
      <c r="DI36" s="192"/>
      <c r="DJ36" s="192"/>
      <c r="DK36" s="192"/>
      <c r="DL36" s="192"/>
      <c r="DM36" s="192"/>
      <c r="DN36" s="192"/>
      <c r="DO36" s="192"/>
      <c r="DP36" s="192"/>
      <c r="DQ36" s="192"/>
      <c r="DR36" s="192"/>
      <c r="DS36" s="192"/>
      <c r="DT36" s="192"/>
      <c r="DU36" s="192"/>
      <c r="DV36" s="192"/>
      <c r="DW36" s="192"/>
      <c r="DX36" s="192"/>
      <c r="DY36" s="192"/>
      <c r="DZ36" s="192"/>
      <c r="EA36" s="192"/>
      <c r="EB36" s="192"/>
      <c r="EC36" s="192"/>
      <c r="ED36" s="192"/>
      <c r="EE36" s="192"/>
      <c r="EF36" s="192"/>
      <c r="EG36" s="192"/>
      <c r="EH36" s="192"/>
      <c r="EI36" s="192"/>
      <c r="EJ36" s="192"/>
      <c r="EK36" s="192"/>
      <c r="EL36" s="192"/>
      <c r="EM36" s="192"/>
      <c r="EN36" s="192"/>
      <c r="EO36" s="192"/>
      <c r="EP36" s="192"/>
      <c r="EQ36" s="192"/>
      <c r="ER36" s="192"/>
      <c r="ES36" s="192"/>
    </row>
    <row r="37" spans="1:149">
      <c r="A37" s="715"/>
      <c r="B37" s="728"/>
      <c r="C37" s="113" t="s">
        <v>312</v>
      </c>
      <c r="D37" s="124"/>
      <c r="E37" s="123">
        <f>E29+E33</f>
        <v>0</v>
      </c>
      <c r="F37" s="123">
        <f t="shared" ref="F37:W37" si="115">F29+F33</f>
        <v>0</v>
      </c>
      <c r="G37" s="123">
        <f t="shared" si="115"/>
        <v>0</v>
      </c>
      <c r="H37" s="123">
        <f t="shared" si="115"/>
        <v>0</v>
      </c>
      <c r="I37" s="123">
        <f t="shared" si="115"/>
        <v>0</v>
      </c>
      <c r="J37" s="123">
        <f t="shared" si="115"/>
        <v>0</v>
      </c>
      <c r="K37" s="123">
        <f t="shared" si="115"/>
        <v>0</v>
      </c>
      <c r="L37" s="123">
        <f t="shared" si="115"/>
        <v>0</v>
      </c>
      <c r="M37" s="123">
        <f t="shared" si="115"/>
        <v>0</v>
      </c>
      <c r="N37" s="123">
        <f t="shared" si="115"/>
        <v>0</v>
      </c>
      <c r="O37" s="123">
        <f t="shared" si="115"/>
        <v>0</v>
      </c>
      <c r="P37" s="123">
        <f t="shared" si="115"/>
        <v>3573</v>
      </c>
      <c r="Q37" s="123">
        <f t="shared" si="115"/>
        <v>567</v>
      </c>
      <c r="R37" s="123">
        <f t="shared" si="115"/>
        <v>1314</v>
      </c>
      <c r="S37" s="123">
        <f t="shared" si="115"/>
        <v>189</v>
      </c>
      <c r="T37" s="123">
        <f t="shared" si="115"/>
        <v>0</v>
      </c>
      <c r="U37" s="123">
        <f t="shared" si="115"/>
        <v>423</v>
      </c>
      <c r="V37" s="123">
        <f t="shared" si="115"/>
        <v>6066</v>
      </c>
      <c r="W37" s="123">
        <f t="shared" si="115"/>
        <v>423</v>
      </c>
      <c r="X37" s="123">
        <f t="shared" si="113"/>
        <v>189</v>
      </c>
      <c r="Y37" s="123">
        <f t="shared" si="113"/>
        <v>612</v>
      </c>
      <c r="Z37" s="123">
        <f t="shared" si="113"/>
        <v>612</v>
      </c>
      <c r="AA37" s="123">
        <f t="shared" si="113"/>
        <v>423</v>
      </c>
      <c r="AB37" s="123">
        <f t="shared" si="113"/>
        <v>612</v>
      </c>
      <c r="AC37" s="123">
        <f t="shared" si="113"/>
        <v>846</v>
      </c>
      <c r="AD37" s="123">
        <f t="shared" si="113"/>
        <v>846</v>
      </c>
      <c r="AE37" s="123">
        <f t="shared" si="113"/>
        <v>423</v>
      </c>
      <c r="AF37" s="123">
        <f t="shared" si="113"/>
        <v>612</v>
      </c>
      <c r="AG37" s="123">
        <f t="shared" si="113"/>
        <v>612</v>
      </c>
      <c r="AH37" s="123">
        <f t="shared" si="113"/>
        <v>423</v>
      </c>
      <c r="AI37" s="123">
        <f t="shared" si="113"/>
        <v>6633</v>
      </c>
      <c r="AJ37" s="123">
        <f t="shared" ref="AJ37:BI37" si="116">AJ29+AJ33</f>
        <v>612</v>
      </c>
      <c r="AK37" s="123">
        <f t="shared" si="116"/>
        <v>423</v>
      </c>
      <c r="AL37" s="123">
        <f t="shared" si="116"/>
        <v>612</v>
      </c>
      <c r="AM37" s="123">
        <f t="shared" si="116"/>
        <v>423</v>
      </c>
      <c r="AN37" s="123">
        <f t="shared" si="116"/>
        <v>801</v>
      </c>
      <c r="AO37" s="123">
        <f t="shared" si="116"/>
        <v>612</v>
      </c>
      <c r="AP37" s="123">
        <f t="shared" si="116"/>
        <v>801</v>
      </c>
      <c r="AQ37" s="123">
        <f t="shared" si="116"/>
        <v>846</v>
      </c>
      <c r="AR37" s="123">
        <f t="shared" si="116"/>
        <v>423</v>
      </c>
      <c r="AS37" s="123">
        <f t="shared" si="116"/>
        <v>1035</v>
      </c>
      <c r="AT37" s="123">
        <f t="shared" si="116"/>
        <v>423</v>
      </c>
      <c r="AU37" s="123">
        <f t="shared" si="116"/>
        <v>423</v>
      </c>
      <c r="AV37" s="123">
        <f t="shared" si="116"/>
        <v>7434</v>
      </c>
      <c r="AW37" s="123">
        <f t="shared" si="116"/>
        <v>423</v>
      </c>
      <c r="AX37" s="123">
        <f t="shared" si="116"/>
        <v>612</v>
      </c>
      <c r="AY37" s="123">
        <f t="shared" si="116"/>
        <v>612</v>
      </c>
      <c r="AZ37" s="123">
        <f t="shared" si="116"/>
        <v>801</v>
      </c>
      <c r="BA37" s="123">
        <f t="shared" si="116"/>
        <v>801</v>
      </c>
      <c r="BB37" s="123">
        <f t="shared" si="116"/>
        <v>234</v>
      </c>
      <c r="BC37" s="123">
        <f t="shared" si="116"/>
        <v>0</v>
      </c>
      <c r="BD37" s="123">
        <f t="shared" si="116"/>
        <v>0</v>
      </c>
      <c r="BE37" s="123">
        <f t="shared" si="116"/>
        <v>0</v>
      </c>
      <c r="BF37" s="123">
        <f t="shared" si="116"/>
        <v>0</v>
      </c>
      <c r="BG37" s="123">
        <f t="shared" si="116"/>
        <v>0</v>
      </c>
      <c r="BH37" s="123">
        <f t="shared" si="116"/>
        <v>0</v>
      </c>
      <c r="BI37" s="123">
        <f t="shared" si="116"/>
        <v>3483</v>
      </c>
      <c r="BJ37" s="183"/>
      <c r="BK37" s="183"/>
      <c r="BL37" s="183"/>
      <c r="BM37" s="183"/>
      <c r="BN37" s="183"/>
      <c r="BO37" s="183"/>
      <c r="BP37" s="193">
        <f t="shared" si="110"/>
        <v>23616</v>
      </c>
      <c r="BQ37" s="192"/>
      <c r="BR37" s="192"/>
      <c r="BS37" s="192"/>
      <c r="BT37" s="192"/>
      <c r="BU37" s="192"/>
      <c r="BV37" s="192"/>
      <c r="BW37" s="192"/>
      <c r="BX37" s="192"/>
      <c r="BY37" s="192"/>
      <c r="BZ37" s="192"/>
      <c r="CA37" s="192"/>
      <c r="CB37" s="192"/>
      <c r="CC37" s="192"/>
      <c r="CD37" s="192"/>
      <c r="CE37" s="192"/>
      <c r="CF37" s="192"/>
      <c r="CG37" s="192"/>
      <c r="CH37" s="192"/>
      <c r="CI37" s="192"/>
      <c r="CJ37" s="192"/>
      <c r="CK37" s="192"/>
      <c r="CL37" s="192"/>
      <c r="CM37" s="192"/>
      <c r="CN37" s="192"/>
      <c r="CO37" s="192"/>
      <c r="CP37" s="192"/>
      <c r="CQ37" s="192"/>
      <c r="CR37" s="192"/>
      <c r="CS37" s="192"/>
      <c r="CT37" s="192"/>
      <c r="CU37" s="192"/>
      <c r="CV37" s="192"/>
      <c r="CW37" s="192"/>
      <c r="CX37" s="192"/>
      <c r="CY37" s="192"/>
      <c r="CZ37" s="192"/>
      <c r="DA37" s="192"/>
      <c r="DB37" s="192"/>
      <c r="DC37" s="192"/>
      <c r="DD37" s="192"/>
      <c r="DE37" s="192"/>
      <c r="DF37" s="192"/>
      <c r="DG37" s="192"/>
      <c r="DH37" s="192"/>
      <c r="DI37" s="192"/>
      <c r="DJ37" s="192"/>
      <c r="DK37" s="192"/>
      <c r="DL37" s="192"/>
      <c r="DM37" s="192"/>
      <c r="DN37" s="192"/>
      <c r="DO37" s="192"/>
      <c r="DP37" s="192"/>
      <c r="DQ37" s="192"/>
      <c r="DR37" s="192"/>
      <c r="DS37" s="192"/>
      <c r="DT37" s="192"/>
      <c r="DU37" s="192"/>
      <c r="DV37" s="192"/>
      <c r="DW37" s="192"/>
      <c r="DX37" s="192"/>
      <c r="DY37" s="192"/>
      <c r="DZ37" s="192"/>
      <c r="EA37" s="192"/>
      <c r="EB37" s="192"/>
      <c r="EC37" s="192"/>
      <c r="ED37" s="192"/>
      <c r="EE37" s="192"/>
      <c r="EF37" s="192"/>
      <c r="EG37" s="192"/>
      <c r="EH37" s="192"/>
      <c r="EI37" s="192"/>
      <c r="EJ37" s="192"/>
      <c r="EK37" s="192"/>
      <c r="EL37" s="192"/>
      <c r="EM37" s="192"/>
      <c r="EN37" s="192"/>
      <c r="EO37" s="192"/>
      <c r="EP37" s="192"/>
      <c r="EQ37" s="192"/>
      <c r="ER37" s="192"/>
      <c r="ES37" s="192"/>
    </row>
    <row r="38" spans="1:149" s="97" customFormat="1">
      <c r="A38" s="715"/>
      <c r="B38" s="728"/>
      <c r="C38" s="726" t="s">
        <v>313</v>
      </c>
      <c r="D38" s="727"/>
      <c r="E38" s="114" t="e">
        <f>E39/E37*10000</f>
        <v>#DIV/0!</v>
      </c>
      <c r="F38" s="114" t="e">
        <f t="shared" ref="F38:BP38" si="117">F39/F37*10000</f>
        <v>#DIV/0!</v>
      </c>
      <c r="G38" s="114" t="e">
        <f t="shared" si="117"/>
        <v>#DIV/0!</v>
      </c>
      <c r="H38" s="114" t="e">
        <f t="shared" si="117"/>
        <v>#DIV/0!</v>
      </c>
      <c r="I38" s="114" t="e">
        <f t="shared" si="117"/>
        <v>#DIV/0!</v>
      </c>
      <c r="J38" s="114" t="e">
        <f t="shared" si="117"/>
        <v>#DIV/0!</v>
      </c>
      <c r="K38" s="114" t="e">
        <f t="shared" si="117"/>
        <v>#DIV/0!</v>
      </c>
      <c r="L38" s="114" t="e">
        <f t="shared" si="117"/>
        <v>#DIV/0!</v>
      </c>
      <c r="M38" s="114" t="e">
        <f t="shared" si="117"/>
        <v>#DIV/0!</v>
      </c>
      <c r="N38" s="114" t="e">
        <f t="shared" si="117"/>
        <v>#DIV/0!</v>
      </c>
      <c r="O38" s="114" t="e">
        <f t="shared" si="117"/>
        <v>#DIV/0!</v>
      </c>
      <c r="P38" s="114">
        <f t="shared" si="117"/>
        <v>12370.350125944587</v>
      </c>
      <c r="Q38" s="114">
        <f t="shared" si="117"/>
        <v>12796.999999999998</v>
      </c>
      <c r="R38" s="114">
        <f t="shared" si="117"/>
        <v>13110.424657534246</v>
      </c>
      <c r="S38" s="114">
        <f t="shared" si="117"/>
        <v>12797</v>
      </c>
      <c r="T38" s="114" t="e">
        <f t="shared" si="117"/>
        <v>#DIV/0!</v>
      </c>
      <c r="U38" s="114">
        <f t="shared" si="117"/>
        <v>13040.404255319148</v>
      </c>
      <c r="V38" s="114">
        <f t="shared" si="117"/>
        <v>12630.560830860533</v>
      </c>
      <c r="W38" s="114">
        <f t="shared" si="117"/>
        <v>13751.04255319149</v>
      </c>
      <c r="X38" s="114">
        <f t="shared" si="117"/>
        <v>13397.000000000002</v>
      </c>
      <c r="Y38" s="114">
        <f t="shared" si="117"/>
        <v>13641.705882352941</v>
      </c>
      <c r="Z38" s="114">
        <f t="shared" si="117"/>
        <v>13641.705882352941</v>
      </c>
      <c r="AA38" s="114">
        <f t="shared" si="117"/>
        <v>14051.042553191486</v>
      </c>
      <c r="AB38" s="114">
        <f t="shared" si="117"/>
        <v>13941.705882352939</v>
      </c>
      <c r="AC38" s="114">
        <f t="shared" si="117"/>
        <v>14051.042553191486</v>
      </c>
      <c r="AD38" s="114">
        <f t="shared" si="117"/>
        <v>14051.042553191486</v>
      </c>
      <c r="AE38" s="114">
        <f t="shared" si="117"/>
        <v>14351.042553191488</v>
      </c>
      <c r="AF38" s="114">
        <f t="shared" si="117"/>
        <v>14241.705882352942</v>
      </c>
      <c r="AG38" s="114">
        <f t="shared" si="117"/>
        <v>14241.705882352942</v>
      </c>
      <c r="AH38" s="114">
        <f t="shared" si="117"/>
        <v>14351.042553191488</v>
      </c>
      <c r="AI38" s="114">
        <f t="shared" si="117"/>
        <v>14001.097693351423</v>
      </c>
      <c r="AJ38" s="114">
        <f t="shared" si="117"/>
        <v>14241.705882352942</v>
      </c>
      <c r="AK38" s="114">
        <f t="shared" si="117"/>
        <v>14351.042553191488</v>
      </c>
      <c r="AL38" s="114">
        <f t="shared" si="117"/>
        <v>14241.705882352942</v>
      </c>
      <c r="AM38" s="114">
        <f t="shared" si="117"/>
        <v>14651.04255319149</v>
      </c>
      <c r="AN38" s="114">
        <f t="shared" si="117"/>
        <v>14483.966292134832</v>
      </c>
      <c r="AO38" s="114">
        <f t="shared" si="117"/>
        <v>14541.705882352942</v>
      </c>
      <c r="AP38" s="114">
        <f t="shared" si="117"/>
        <v>14483.966292134832</v>
      </c>
      <c r="AQ38" s="114">
        <f t="shared" si="117"/>
        <v>14651.04255319149</v>
      </c>
      <c r="AR38" s="114">
        <f t="shared" si="117"/>
        <v>14817</v>
      </c>
      <c r="AS38" s="114">
        <f t="shared" si="117"/>
        <v>14722.043478260868</v>
      </c>
      <c r="AT38" s="114">
        <f t="shared" si="117"/>
        <v>14817</v>
      </c>
      <c r="AU38" s="114">
        <f t="shared" si="117"/>
        <v>14817</v>
      </c>
      <c r="AV38" s="114">
        <f t="shared" si="117"/>
        <v>14559.784503631961</v>
      </c>
      <c r="AW38" s="114">
        <f t="shared" si="117"/>
        <v>14951.042553191492</v>
      </c>
      <c r="AX38" s="114">
        <f t="shared" si="117"/>
        <v>14841.705882352942</v>
      </c>
      <c r="AY38" s="114">
        <f t="shared" si="117"/>
        <v>14841.705882352942</v>
      </c>
      <c r="AZ38" s="114">
        <f t="shared" si="117"/>
        <v>14783.966292134832</v>
      </c>
      <c r="BA38" s="114">
        <f t="shared" si="117"/>
        <v>14783.966292134832</v>
      </c>
      <c r="BB38" s="114">
        <f t="shared" si="117"/>
        <v>15236.999999999998</v>
      </c>
      <c r="BC38" s="114" t="e">
        <f t="shared" si="117"/>
        <v>#DIV/0!</v>
      </c>
      <c r="BD38" s="114" t="e">
        <f t="shared" si="117"/>
        <v>#DIV/0!</v>
      </c>
      <c r="BE38" s="114" t="e">
        <f t="shared" si="117"/>
        <v>#DIV/0!</v>
      </c>
      <c r="BF38" s="114" t="e">
        <f t="shared" si="117"/>
        <v>#DIV/0!</v>
      </c>
      <c r="BG38" s="114" t="e">
        <f t="shared" si="117"/>
        <v>#DIV/0!</v>
      </c>
      <c r="BH38" s="114" t="e">
        <f t="shared" si="117"/>
        <v>#DIV/0!</v>
      </c>
      <c r="BI38" s="114">
        <f t="shared" si="117"/>
        <v>14854.984496124029</v>
      </c>
      <c r="BJ38" s="185"/>
      <c r="BK38" s="185"/>
      <c r="BL38" s="185"/>
      <c r="BM38" s="185"/>
      <c r="BN38" s="185"/>
      <c r="BO38" s="185"/>
      <c r="BP38" s="199">
        <f t="shared" si="117"/>
        <v>13950.864329268294</v>
      </c>
    </row>
    <row r="39" spans="1:149">
      <c r="A39" s="717"/>
      <c r="B39" s="728"/>
      <c r="C39" s="728" t="s">
        <v>314</v>
      </c>
      <c r="D39" s="728"/>
      <c r="E39" s="115">
        <f>E31+E35</f>
        <v>0</v>
      </c>
      <c r="F39" s="115">
        <f t="shared" ref="F39:W39" si="118">F31+F35</f>
        <v>0</v>
      </c>
      <c r="G39" s="115">
        <f t="shared" si="118"/>
        <v>0</v>
      </c>
      <c r="H39" s="115">
        <f t="shared" si="118"/>
        <v>0</v>
      </c>
      <c r="I39" s="115">
        <f t="shared" si="118"/>
        <v>0</v>
      </c>
      <c r="J39" s="115">
        <f t="shared" si="118"/>
        <v>0</v>
      </c>
      <c r="K39" s="115">
        <f t="shared" si="118"/>
        <v>0</v>
      </c>
      <c r="L39" s="115">
        <f t="shared" si="118"/>
        <v>0</v>
      </c>
      <c r="M39" s="115">
        <f t="shared" si="118"/>
        <v>0</v>
      </c>
      <c r="N39" s="115">
        <f t="shared" si="118"/>
        <v>0</v>
      </c>
      <c r="O39" s="115">
        <f t="shared" si="118"/>
        <v>0</v>
      </c>
      <c r="P39" s="115">
        <f t="shared" si="118"/>
        <v>4419.9261000000006</v>
      </c>
      <c r="Q39" s="115">
        <f t="shared" si="118"/>
        <v>725.58989999999994</v>
      </c>
      <c r="R39" s="115">
        <f t="shared" si="118"/>
        <v>1722.7097999999999</v>
      </c>
      <c r="S39" s="115">
        <f t="shared" si="118"/>
        <v>241.86330000000001</v>
      </c>
      <c r="T39" s="115">
        <f t="shared" si="118"/>
        <v>0</v>
      </c>
      <c r="U39" s="115">
        <f t="shared" si="118"/>
        <v>551.60910000000001</v>
      </c>
      <c r="V39" s="115">
        <f t="shared" si="118"/>
        <v>7661.6981999999998</v>
      </c>
      <c r="W39" s="115">
        <f t="shared" si="118"/>
        <v>581.66910000000007</v>
      </c>
      <c r="X39" s="115">
        <f t="shared" ref="X39:BI39" si="119">X31+X35</f>
        <v>253.20330000000001</v>
      </c>
      <c r="Y39" s="115">
        <f t="shared" si="119"/>
        <v>834.87239999999997</v>
      </c>
      <c r="Z39" s="115">
        <f t="shared" si="119"/>
        <v>834.87239999999997</v>
      </c>
      <c r="AA39" s="115">
        <f t="shared" si="119"/>
        <v>594.3590999999999</v>
      </c>
      <c r="AB39" s="115">
        <f t="shared" si="119"/>
        <v>853.23239999999987</v>
      </c>
      <c r="AC39" s="115">
        <f t="shared" si="119"/>
        <v>1188.7181999999998</v>
      </c>
      <c r="AD39" s="115">
        <f t="shared" si="119"/>
        <v>1188.7181999999998</v>
      </c>
      <c r="AE39" s="115">
        <f t="shared" si="119"/>
        <v>607.04909999999995</v>
      </c>
      <c r="AF39" s="115">
        <f t="shared" si="119"/>
        <v>871.5924</v>
      </c>
      <c r="AG39" s="115">
        <f t="shared" si="119"/>
        <v>871.5924</v>
      </c>
      <c r="AH39" s="115">
        <f t="shared" si="119"/>
        <v>607.04909999999995</v>
      </c>
      <c r="AI39" s="115">
        <f t="shared" si="119"/>
        <v>9286.9280999999992</v>
      </c>
      <c r="AJ39" s="115">
        <f t="shared" si="119"/>
        <v>871.5924</v>
      </c>
      <c r="AK39" s="115">
        <f t="shared" si="119"/>
        <v>607.04909999999995</v>
      </c>
      <c r="AL39" s="115">
        <f t="shared" si="119"/>
        <v>871.5924</v>
      </c>
      <c r="AM39" s="115">
        <f t="shared" si="119"/>
        <v>619.73910000000001</v>
      </c>
      <c r="AN39" s="115">
        <f t="shared" si="119"/>
        <v>1160.1657</v>
      </c>
      <c r="AO39" s="115">
        <f t="shared" si="119"/>
        <v>889.95240000000001</v>
      </c>
      <c r="AP39" s="115">
        <f t="shared" si="119"/>
        <v>1160.1657</v>
      </c>
      <c r="AQ39" s="115">
        <f t="shared" si="119"/>
        <v>1239.4782</v>
      </c>
      <c r="AR39" s="115">
        <f t="shared" si="119"/>
        <v>626.75909999999999</v>
      </c>
      <c r="AS39" s="115">
        <f t="shared" si="119"/>
        <v>1523.7314999999999</v>
      </c>
      <c r="AT39" s="115">
        <f t="shared" si="119"/>
        <v>626.75909999999999</v>
      </c>
      <c r="AU39" s="115">
        <f t="shared" si="119"/>
        <v>626.75909999999999</v>
      </c>
      <c r="AV39" s="115">
        <f t="shared" si="119"/>
        <v>10823.7438</v>
      </c>
      <c r="AW39" s="115">
        <f t="shared" si="119"/>
        <v>632.42910000000006</v>
      </c>
      <c r="AX39" s="115">
        <f t="shared" si="119"/>
        <v>908.31240000000003</v>
      </c>
      <c r="AY39" s="115">
        <f t="shared" si="119"/>
        <v>908.31240000000003</v>
      </c>
      <c r="AZ39" s="115">
        <f t="shared" si="119"/>
        <v>1184.1957</v>
      </c>
      <c r="BA39" s="115">
        <f t="shared" si="119"/>
        <v>1184.1957</v>
      </c>
      <c r="BB39" s="115">
        <f t="shared" si="119"/>
        <v>356.54579999999999</v>
      </c>
      <c r="BC39" s="115">
        <f t="shared" si="119"/>
        <v>0</v>
      </c>
      <c r="BD39" s="115">
        <f t="shared" si="119"/>
        <v>0</v>
      </c>
      <c r="BE39" s="115">
        <f t="shared" si="119"/>
        <v>0</v>
      </c>
      <c r="BF39" s="115">
        <f t="shared" si="119"/>
        <v>0</v>
      </c>
      <c r="BG39" s="115">
        <f t="shared" si="119"/>
        <v>0</v>
      </c>
      <c r="BH39" s="115">
        <f t="shared" si="119"/>
        <v>0</v>
      </c>
      <c r="BI39" s="115">
        <f t="shared" si="119"/>
        <v>5173.9910999999993</v>
      </c>
      <c r="BJ39" s="177"/>
      <c r="BK39" s="177"/>
      <c r="BL39" s="177"/>
      <c r="BM39" s="177"/>
      <c r="BN39" s="177"/>
      <c r="BO39" s="177"/>
      <c r="BP39" s="193">
        <f t="shared" ref="BP39:BP41" si="120">I39+V39+AI39+AV39+BI39</f>
        <v>32946.361199999999</v>
      </c>
      <c r="BQ39" s="192"/>
      <c r="BR39" s="192"/>
      <c r="BS39" s="192"/>
      <c r="BT39" s="192"/>
      <c r="BU39" s="192"/>
      <c r="BV39" s="192"/>
      <c r="BW39" s="192"/>
      <c r="BX39" s="192"/>
      <c r="BY39" s="192"/>
      <c r="BZ39" s="192"/>
      <c r="CA39" s="192"/>
      <c r="CB39" s="192"/>
      <c r="CC39" s="192"/>
      <c r="CD39" s="192"/>
      <c r="CE39" s="192"/>
      <c r="CF39" s="192"/>
      <c r="CG39" s="192"/>
      <c r="CH39" s="192"/>
      <c r="CI39" s="192"/>
      <c r="CJ39" s="192"/>
      <c r="CK39" s="192"/>
      <c r="CL39" s="192"/>
      <c r="CM39" s="192"/>
      <c r="CN39" s="192"/>
      <c r="CO39" s="192"/>
      <c r="CP39" s="192"/>
      <c r="CQ39" s="192"/>
      <c r="CR39" s="192"/>
      <c r="CS39" s="192"/>
      <c r="CT39" s="192"/>
      <c r="CU39" s="192"/>
      <c r="CV39" s="192"/>
      <c r="CW39" s="192"/>
      <c r="CX39" s="192"/>
      <c r="CY39" s="192"/>
      <c r="CZ39" s="192"/>
      <c r="DA39" s="192"/>
      <c r="DB39" s="192"/>
      <c r="DC39" s="192"/>
      <c r="DD39" s="192"/>
      <c r="DE39" s="192"/>
      <c r="DF39" s="192"/>
      <c r="DG39" s="192"/>
      <c r="DH39" s="192"/>
      <c r="DI39" s="192"/>
      <c r="DJ39" s="192"/>
      <c r="DK39" s="192"/>
      <c r="DL39" s="192"/>
      <c r="DM39" s="192"/>
      <c r="DN39" s="192"/>
      <c r="DO39" s="192"/>
      <c r="DP39" s="192"/>
      <c r="DQ39" s="192"/>
      <c r="DR39" s="192"/>
      <c r="DS39" s="192"/>
      <c r="DT39" s="192"/>
      <c r="DU39" s="192"/>
      <c r="DV39" s="192"/>
      <c r="DW39" s="192"/>
      <c r="DX39" s="192"/>
      <c r="DY39" s="192"/>
      <c r="DZ39" s="192"/>
      <c r="EA39" s="192"/>
      <c r="EB39" s="192"/>
      <c r="EC39" s="192"/>
      <c r="ED39" s="192"/>
      <c r="EE39" s="192"/>
      <c r="EF39" s="192"/>
      <c r="EG39" s="192"/>
      <c r="EH39" s="192"/>
      <c r="EI39" s="192"/>
      <c r="EJ39" s="192"/>
      <c r="EK39" s="192"/>
      <c r="EL39" s="192"/>
      <c r="EM39" s="192"/>
      <c r="EN39" s="192"/>
      <c r="EO39" s="192"/>
      <c r="EP39" s="192"/>
      <c r="EQ39" s="192"/>
      <c r="ER39" s="192"/>
      <c r="ES39" s="192"/>
    </row>
    <row r="40" spans="1:149" s="95" customFormat="1" ht="12.75">
      <c r="A40" s="713" t="s">
        <v>323</v>
      </c>
      <c r="B40" s="714"/>
      <c r="C40" s="128" t="s">
        <v>311</v>
      </c>
      <c r="D40" s="129">
        <v>2</v>
      </c>
      <c r="E40" s="130"/>
      <c r="F40" s="130"/>
      <c r="G40" s="119"/>
      <c r="H40" s="119"/>
      <c r="I40" s="146">
        <f t="shared" ref="I40:I43" si="121">SUM(E40:H40)</f>
        <v>0</v>
      </c>
      <c r="J40" s="119"/>
      <c r="K40" s="119"/>
      <c r="L40" s="145"/>
      <c r="M40" s="130"/>
      <c r="N40" s="119"/>
      <c r="O40" s="119"/>
      <c r="P40" s="130"/>
      <c r="Q40" s="119"/>
      <c r="R40" s="130"/>
      <c r="S40" s="145"/>
      <c r="T40" s="119"/>
      <c r="U40" s="130"/>
      <c r="V40" s="157">
        <f t="shared" ref="V40:V45" si="122">SUM(J40:U40)</f>
        <v>0</v>
      </c>
      <c r="W40" s="119"/>
      <c r="X40" s="119"/>
      <c r="Y40" s="130"/>
      <c r="Z40" s="130"/>
      <c r="AA40" s="130"/>
      <c r="AB40" s="130"/>
      <c r="AC40" s="130"/>
      <c r="AD40" s="130"/>
      <c r="AE40" s="120">
        <v>0</v>
      </c>
      <c r="AF40" s="120">
        <v>0</v>
      </c>
      <c r="AG40" s="119"/>
      <c r="AH40" s="119"/>
      <c r="AI40" s="157">
        <f t="shared" ref="AI40:AI45" si="123">SUM(W40:AH40)</f>
        <v>0</v>
      </c>
      <c r="AJ40" s="119"/>
      <c r="AK40" s="119"/>
      <c r="AL40" s="145"/>
      <c r="AM40" s="145"/>
      <c r="AN40" s="119">
        <v>1</v>
      </c>
      <c r="AO40" s="119"/>
      <c r="AP40" s="119"/>
      <c r="AQ40" s="119"/>
      <c r="AR40" s="120">
        <v>1</v>
      </c>
      <c r="AS40" s="145">
        <v>0</v>
      </c>
      <c r="AT40" s="119"/>
      <c r="AU40" s="119"/>
      <c r="AV40" s="157">
        <f t="shared" ref="AV40:AV45" si="124">SUM(AJ40:AU40)</f>
        <v>2</v>
      </c>
      <c r="AW40" s="119"/>
      <c r="AX40" s="119"/>
      <c r="AY40" s="145"/>
      <c r="AZ40" s="145"/>
      <c r="BA40" s="145"/>
      <c r="BB40" s="145"/>
      <c r="BC40" s="145"/>
      <c r="BD40" s="145"/>
      <c r="BE40" s="145"/>
      <c r="BF40" s="145"/>
      <c r="BG40" s="145"/>
      <c r="BH40" s="145"/>
      <c r="BI40" s="180">
        <f t="shared" ref="BI40:BI43" si="125">SUM(AW40:BH40)</f>
        <v>0</v>
      </c>
      <c r="BJ40" s="181"/>
      <c r="BK40" s="181"/>
      <c r="BL40" s="181"/>
      <c r="BM40" s="181"/>
      <c r="BN40" s="181"/>
      <c r="BO40" s="181"/>
      <c r="BP40" s="189">
        <f t="shared" si="120"/>
        <v>2</v>
      </c>
      <c r="BQ40" s="196">
        <f>BP40-D40</f>
        <v>0</v>
      </c>
    </row>
    <row r="41" spans="1:149" s="95" customFormat="1" ht="12.75">
      <c r="A41" s="715"/>
      <c r="B41" s="716"/>
      <c r="C41" s="109" t="s">
        <v>312</v>
      </c>
      <c r="D41" s="110">
        <v>621.55999999999995</v>
      </c>
      <c r="E41" s="121">
        <f>E40*D41</f>
        <v>0</v>
      </c>
      <c r="F41" s="121">
        <f>F40*D41</f>
        <v>0</v>
      </c>
      <c r="G41" s="121">
        <f>G40*D41</f>
        <v>0</v>
      </c>
      <c r="H41" s="121">
        <f>H40*D41</f>
        <v>0</v>
      </c>
      <c r="I41" s="150">
        <f t="shared" si="121"/>
        <v>0</v>
      </c>
      <c r="J41" s="119">
        <f>J40*D41</f>
        <v>0</v>
      </c>
      <c r="K41" s="119">
        <f>K40*D41</f>
        <v>0</v>
      </c>
      <c r="L41" s="119">
        <f>L40*D41</f>
        <v>0</v>
      </c>
      <c r="M41" s="119">
        <f>M40*D41</f>
        <v>0</v>
      </c>
      <c r="N41" s="119">
        <f>N40*D41</f>
        <v>0</v>
      </c>
      <c r="O41" s="119">
        <f>O40*D41</f>
        <v>0</v>
      </c>
      <c r="P41" s="119">
        <f>P40*D41</f>
        <v>0</v>
      </c>
      <c r="Q41" s="119">
        <f>Q40*D41</f>
        <v>0</v>
      </c>
      <c r="R41" s="119">
        <f>R40*D41</f>
        <v>0</v>
      </c>
      <c r="S41" s="119">
        <f>S40*D41</f>
        <v>0</v>
      </c>
      <c r="T41" s="119">
        <f>T40*D41</f>
        <v>0</v>
      </c>
      <c r="U41" s="119">
        <f>U40*D41</f>
        <v>0</v>
      </c>
      <c r="V41" s="157">
        <f t="shared" si="122"/>
        <v>0</v>
      </c>
      <c r="W41" s="119">
        <f>W40*D41</f>
        <v>0</v>
      </c>
      <c r="X41" s="119">
        <f>X40*D41</f>
        <v>0</v>
      </c>
      <c r="Y41" s="119">
        <f>Y40*D41</f>
        <v>0</v>
      </c>
      <c r="Z41" s="119">
        <f>Z40*D41</f>
        <v>0</v>
      </c>
      <c r="AA41" s="119">
        <f>AA40*D41</f>
        <v>0</v>
      </c>
      <c r="AB41" s="119">
        <f>AB40*D41</f>
        <v>0</v>
      </c>
      <c r="AC41" s="119">
        <f>AC40*D41</f>
        <v>0</v>
      </c>
      <c r="AD41" s="119">
        <f>AD40*D41</f>
        <v>0</v>
      </c>
      <c r="AE41" s="119">
        <f>AE40*D41</f>
        <v>0</v>
      </c>
      <c r="AF41" s="119">
        <f>AF40*D41</f>
        <v>0</v>
      </c>
      <c r="AG41" s="119">
        <f>AG40*D41</f>
        <v>0</v>
      </c>
      <c r="AH41" s="119">
        <f>AH40*D41</f>
        <v>0</v>
      </c>
      <c r="AI41" s="157">
        <f t="shared" si="123"/>
        <v>0</v>
      </c>
      <c r="AJ41" s="119">
        <f>AJ40*D41</f>
        <v>0</v>
      </c>
      <c r="AK41" s="119">
        <f>AK40*D41</f>
        <v>0</v>
      </c>
      <c r="AL41" s="119">
        <f>AL40*D41</f>
        <v>0</v>
      </c>
      <c r="AM41" s="119">
        <f>AM40*D41</f>
        <v>0</v>
      </c>
      <c r="AN41" s="119">
        <f>AN40*D41</f>
        <v>621.55999999999995</v>
      </c>
      <c r="AO41" s="119">
        <f>AO40*D41</f>
        <v>0</v>
      </c>
      <c r="AP41" s="119">
        <f>AP40*D41</f>
        <v>0</v>
      </c>
      <c r="AQ41" s="119">
        <f>AQ40*D41</f>
        <v>0</v>
      </c>
      <c r="AR41" s="119">
        <f>AR40*D41</f>
        <v>621.55999999999995</v>
      </c>
      <c r="AS41" s="119">
        <f>AS40*D41</f>
        <v>0</v>
      </c>
      <c r="AT41" s="119">
        <f>AT40*D41</f>
        <v>0</v>
      </c>
      <c r="AU41" s="119">
        <f>AU40*D41</f>
        <v>0</v>
      </c>
      <c r="AV41" s="157">
        <f t="shared" si="124"/>
        <v>1243.1199999999999</v>
      </c>
      <c r="AW41" s="119">
        <f>AW40*D41</f>
        <v>0</v>
      </c>
      <c r="AX41" s="119">
        <f>AX40*D41</f>
        <v>0</v>
      </c>
      <c r="AY41" s="119">
        <f>AY40*D41</f>
        <v>0</v>
      </c>
      <c r="AZ41" s="119">
        <f>AZ40*D41</f>
        <v>0</v>
      </c>
      <c r="BA41" s="119">
        <f>BA40*D41</f>
        <v>0</v>
      </c>
      <c r="BB41" s="119">
        <f>BB40*D41</f>
        <v>0</v>
      </c>
      <c r="BC41" s="119">
        <f>BC40*D41</f>
        <v>0</v>
      </c>
      <c r="BD41" s="119">
        <f>BD40*D41</f>
        <v>0</v>
      </c>
      <c r="BE41" s="119">
        <f>BE40*D41</f>
        <v>0</v>
      </c>
      <c r="BF41" s="119">
        <f>BF40*D41</f>
        <v>0</v>
      </c>
      <c r="BG41" s="119">
        <f>BG40*D41</f>
        <v>0</v>
      </c>
      <c r="BH41" s="119">
        <f>BH40*D41</f>
        <v>0</v>
      </c>
      <c r="BI41" s="180">
        <f t="shared" si="125"/>
        <v>0</v>
      </c>
      <c r="BJ41" s="181"/>
      <c r="BK41" s="181"/>
      <c r="BL41" s="181"/>
      <c r="BM41" s="181"/>
      <c r="BN41" s="181"/>
      <c r="BO41" s="181"/>
      <c r="BP41" s="193">
        <f t="shared" si="120"/>
        <v>1243.1199999999999</v>
      </c>
    </row>
    <row r="42" spans="1:149" s="95" customFormat="1" ht="12.75">
      <c r="A42" s="715"/>
      <c r="B42" s="716"/>
      <c r="C42" s="724" t="s">
        <v>313</v>
      </c>
      <c r="D42" s="725"/>
      <c r="E42" s="126">
        <v>0</v>
      </c>
      <c r="F42" s="130"/>
      <c r="G42" s="119"/>
      <c r="H42" s="119"/>
      <c r="I42" s="146" t="e">
        <f>I43/I41</f>
        <v>#DIV/0!</v>
      </c>
      <c r="J42" s="119"/>
      <c r="K42" s="119"/>
      <c r="L42" s="145"/>
      <c r="M42" s="130"/>
      <c r="N42" s="119"/>
      <c r="O42" s="119"/>
      <c r="P42" s="130"/>
      <c r="Q42" s="119"/>
      <c r="R42" s="130"/>
      <c r="S42" s="145"/>
      <c r="T42" s="119"/>
      <c r="U42" s="130"/>
      <c r="V42" s="157" t="e">
        <f>V43/V41*10000</f>
        <v>#DIV/0!</v>
      </c>
      <c r="W42" s="119"/>
      <c r="X42" s="119"/>
      <c r="Y42" s="130"/>
      <c r="Z42" s="130"/>
      <c r="AA42" s="130"/>
      <c r="AB42" s="130"/>
      <c r="AC42" s="130"/>
      <c r="AD42" s="130"/>
      <c r="AE42" s="120"/>
      <c r="AF42" s="120">
        <v>0</v>
      </c>
      <c r="AG42" s="119"/>
      <c r="AH42" s="119"/>
      <c r="AI42" s="157" t="e">
        <f>AI43/AI41*10000</f>
        <v>#DIV/0!</v>
      </c>
      <c r="AJ42" s="119"/>
      <c r="AK42" s="119"/>
      <c r="AL42" s="145"/>
      <c r="AM42" s="145"/>
      <c r="AN42" s="119">
        <v>18000</v>
      </c>
      <c r="AO42" s="119"/>
      <c r="AP42" s="119"/>
      <c r="AQ42" s="119"/>
      <c r="AR42" s="120">
        <f>AN42+1000</f>
        <v>19000</v>
      </c>
      <c r="AS42" s="145">
        <v>0</v>
      </c>
      <c r="AT42" s="119"/>
      <c r="AU42" s="119"/>
      <c r="AV42" s="157">
        <f>AV43/AV41*10000</f>
        <v>18499.999999999996</v>
      </c>
      <c r="AW42" s="119"/>
      <c r="AX42" s="119"/>
      <c r="AY42" s="145"/>
      <c r="AZ42" s="145"/>
      <c r="BA42" s="145"/>
      <c r="BB42" s="145"/>
      <c r="BC42" s="145"/>
      <c r="BD42" s="145"/>
      <c r="BE42" s="145"/>
      <c r="BF42" s="145"/>
      <c r="BG42" s="145"/>
      <c r="BH42" s="145"/>
      <c r="BI42" s="180" t="e">
        <f>BI43/BI41*10000</f>
        <v>#DIV/0!</v>
      </c>
      <c r="BJ42" s="181"/>
      <c r="BK42" s="181"/>
      <c r="BL42" s="181"/>
      <c r="BM42" s="181"/>
      <c r="BN42" s="181"/>
      <c r="BO42" s="181"/>
      <c r="BP42" s="200">
        <f>BP43/BP41*10000</f>
        <v>18499.999999999996</v>
      </c>
    </row>
    <row r="43" spans="1:149" s="95" customFormat="1" ht="12.75">
      <c r="A43" s="717"/>
      <c r="B43" s="718"/>
      <c r="C43" s="719" t="s">
        <v>314</v>
      </c>
      <c r="D43" s="719"/>
      <c r="E43" s="128">
        <f t="shared" ref="E43:H43" si="126">E42*E41/10000</f>
        <v>0</v>
      </c>
      <c r="F43" s="128">
        <f t="shared" si="126"/>
        <v>0</v>
      </c>
      <c r="G43" s="128">
        <f t="shared" si="126"/>
        <v>0</v>
      </c>
      <c r="H43" s="128">
        <f t="shared" si="126"/>
        <v>0</v>
      </c>
      <c r="I43" s="146">
        <f t="shared" si="121"/>
        <v>0</v>
      </c>
      <c r="J43" s="119">
        <f>J42*J41/10000</f>
        <v>0</v>
      </c>
      <c r="K43" s="119">
        <f t="shared" ref="K43:U43" si="127">K42*K41/10000</f>
        <v>0</v>
      </c>
      <c r="L43" s="119">
        <f t="shared" si="127"/>
        <v>0</v>
      </c>
      <c r="M43" s="119">
        <f t="shared" si="127"/>
        <v>0</v>
      </c>
      <c r="N43" s="119">
        <f t="shared" si="127"/>
        <v>0</v>
      </c>
      <c r="O43" s="119">
        <f t="shared" si="127"/>
        <v>0</v>
      </c>
      <c r="P43" s="119">
        <f t="shared" si="127"/>
        <v>0</v>
      </c>
      <c r="Q43" s="119">
        <f t="shared" si="127"/>
        <v>0</v>
      </c>
      <c r="R43" s="119">
        <f t="shared" si="127"/>
        <v>0</v>
      </c>
      <c r="S43" s="119">
        <f t="shared" si="127"/>
        <v>0</v>
      </c>
      <c r="T43" s="119">
        <f t="shared" si="127"/>
        <v>0</v>
      </c>
      <c r="U43" s="119">
        <f t="shared" si="127"/>
        <v>0</v>
      </c>
      <c r="V43" s="157">
        <f t="shared" si="122"/>
        <v>0</v>
      </c>
      <c r="W43" s="119">
        <f>W42*W41/10000</f>
        <v>0</v>
      </c>
      <c r="X43" s="119">
        <f t="shared" ref="X43:AH43" si="128">X42*X41/10000</f>
        <v>0</v>
      </c>
      <c r="Y43" s="119">
        <f t="shared" si="128"/>
        <v>0</v>
      </c>
      <c r="Z43" s="119">
        <f t="shared" si="128"/>
        <v>0</v>
      </c>
      <c r="AA43" s="119">
        <f t="shared" si="128"/>
        <v>0</v>
      </c>
      <c r="AB43" s="119">
        <f t="shared" si="128"/>
        <v>0</v>
      </c>
      <c r="AC43" s="119">
        <f t="shared" si="128"/>
        <v>0</v>
      </c>
      <c r="AD43" s="119">
        <f t="shared" si="128"/>
        <v>0</v>
      </c>
      <c r="AE43" s="119">
        <f t="shared" si="128"/>
        <v>0</v>
      </c>
      <c r="AF43" s="119">
        <f t="shared" si="128"/>
        <v>0</v>
      </c>
      <c r="AG43" s="119">
        <f t="shared" si="128"/>
        <v>0</v>
      </c>
      <c r="AH43" s="119">
        <f t="shared" si="128"/>
        <v>0</v>
      </c>
      <c r="AI43" s="157">
        <f t="shared" si="123"/>
        <v>0</v>
      </c>
      <c r="AJ43" s="119">
        <f>AJ42*AJ41/10000</f>
        <v>0</v>
      </c>
      <c r="AK43" s="119">
        <f t="shared" ref="AK43:AU43" si="129">AK42*AK41/10000</f>
        <v>0</v>
      </c>
      <c r="AL43" s="119">
        <f t="shared" si="129"/>
        <v>0</v>
      </c>
      <c r="AM43" s="119">
        <f t="shared" si="129"/>
        <v>0</v>
      </c>
      <c r="AN43" s="119">
        <f t="shared" si="129"/>
        <v>1118.8079999999998</v>
      </c>
      <c r="AO43" s="119">
        <f t="shared" si="129"/>
        <v>0</v>
      </c>
      <c r="AP43" s="119">
        <f t="shared" si="129"/>
        <v>0</v>
      </c>
      <c r="AQ43" s="119">
        <f t="shared" si="129"/>
        <v>0</v>
      </c>
      <c r="AR43" s="119">
        <f t="shared" si="129"/>
        <v>1180.9639999999997</v>
      </c>
      <c r="AS43" s="119">
        <f t="shared" si="129"/>
        <v>0</v>
      </c>
      <c r="AT43" s="119">
        <f t="shared" si="129"/>
        <v>0</v>
      </c>
      <c r="AU43" s="119">
        <f t="shared" si="129"/>
        <v>0</v>
      </c>
      <c r="AV43" s="157">
        <f t="shared" si="124"/>
        <v>2299.7719999999995</v>
      </c>
      <c r="AW43" s="119">
        <f>AW42*AW41/10000</f>
        <v>0</v>
      </c>
      <c r="AX43" s="119">
        <f t="shared" ref="AX43:BH43" si="130">AX42*AX41/10000</f>
        <v>0</v>
      </c>
      <c r="AY43" s="119">
        <f t="shared" si="130"/>
        <v>0</v>
      </c>
      <c r="AZ43" s="119">
        <f t="shared" si="130"/>
        <v>0</v>
      </c>
      <c r="BA43" s="119">
        <f t="shared" si="130"/>
        <v>0</v>
      </c>
      <c r="BB43" s="119">
        <f t="shared" si="130"/>
        <v>0</v>
      </c>
      <c r="BC43" s="119">
        <f t="shared" si="130"/>
        <v>0</v>
      </c>
      <c r="BD43" s="119">
        <f t="shared" si="130"/>
        <v>0</v>
      </c>
      <c r="BE43" s="119">
        <f t="shared" si="130"/>
        <v>0</v>
      </c>
      <c r="BF43" s="119">
        <f t="shared" si="130"/>
        <v>0</v>
      </c>
      <c r="BG43" s="119">
        <f t="shared" si="130"/>
        <v>0</v>
      </c>
      <c r="BH43" s="119">
        <f t="shared" si="130"/>
        <v>0</v>
      </c>
      <c r="BI43" s="180">
        <f t="shared" si="125"/>
        <v>0</v>
      </c>
      <c r="BJ43" s="181"/>
      <c r="BK43" s="181"/>
      <c r="BL43" s="181"/>
      <c r="BM43" s="181"/>
      <c r="BN43" s="181"/>
      <c r="BO43" s="181"/>
      <c r="BP43" s="189">
        <f t="shared" ref="BP43:BP49" si="131">I43+V43+AI43+AV43+BI43</f>
        <v>2299.7719999999995</v>
      </c>
    </row>
    <row r="44" spans="1:149" s="95" customFormat="1" ht="12.75">
      <c r="A44" s="713" t="s">
        <v>324</v>
      </c>
      <c r="B44" s="714"/>
      <c r="C44" s="128" t="s">
        <v>311</v>
      </c>
      <c r="D44" s="129">
        <v>20</v>
      </c>
      <c r="E44" s="104"/>
      <c r="F44" s="128"/>
      <c r="G44" s="128"/>
      <c r="H44" s="128"/>
      <c r="I44" s="146"/>
      <c r="J44" s="119"/>
      <c r="K44" s="119"/>
      <c r="L44" s="119"/>
      <c r="M44" s="119"/>
      <c r="N44" s="119"/>
      <c r="O44" s="119"/>
      <c r="P44" s="151">
        <v>1</v>
      </c>
      <c r="Q44" s="151">
        <v>0</v>
      </c>
      <c r="R44" s="151">
        <v>0</v>
      </c>
      <c r="S44" s="151">
        <v>0</v>
      </c>
      <c r="T44" s="119"/>
      <c r="U44" s="119"/>
      <c r="V44" s="157">
        <f t="shared" si="122"/>
        <v>1</v>
      </c>
      <c r="W44" s="119">
        <v>1</v>
      </c>
      <c r="X44" s="119"/>
      <c r="Y44" s="119">
        <v>1</v>
      </c>
      <c r="Z44" s="119">
        <v>1</v>
      </c>
      <c r="AA44" s="119">
        <v>0</v>
      </c>
      <c r="AB44" s="119">
        <v>1</v>
      </c>
      <c r="AC44" s="119">
        <v>1</v>
      </c>
      <c r="AD44" s="119">
        <v>1</v>
      </c>
      <c r="AE44" s="119">
        <v>0</v>
      </c>
      <c r="AF44" s="119">
        <v>1</v>
      </c>
      <c r="AG44" s="119">
        <v>1</v>
      </c>
      <c r="AH44" s="119"/>
      <c r="AI44" s="157">
        <f t="shared" si="123"/>
        <v>8</v>
      </c>
      <c r="AJ44" s="119">
        <v>1</v>
      </c>
      <c r="AK44" s="119">
        <v>1</v>
      </c>
      <c r="AL44" s="119">
        <v>1</v>
      </c>
      <c r="AM44" s="119">
        <v>0</v>
      </c>
      <c r="AN44" s="119">
        <v>1</v>
      </c>
      <c r="AO44" s="119">
        <v>1</v>
      </c>
      <c r="AP44" s="119">
        <v>1</v>
      </c>
      <c r="AQ44" s="119"/>
      <c r="AR44" s="119">
        <v>1</v>
      </c>
      <c r="AS44" s="119"/>
      <c r="AT44" s="119">
        <v>1</v>
      </c>
      <c r="AU44" s="119">
        <v>1</v>
      </c>
      <c r="AV44" s="157">
        <f t="shared" si="124"/>
        <v>9</v>
      </c>
      <c r="AW44" s="119"/>
      <c r="AX44" s="119"/>
      <c r="AY44" s="119">
        <v>1</v>
      </c>
      <c r="AZ44" s="119"/>
      <c r="BA44" s="119">
        <v>1</v>
      </c>
      <c r="BB44" s="119"/>
      <c r="BC44" s="119"/>
      <c r="BD44" s="119"/>
      <c r="BE44" s="119"/>
      <c r="BF44" s="119"/>
      <c r="BG44" s="119"/>
      <c r="BH44" s="119"/>
      <c r="BI44" s="180">
        <f>SUM(AY44:BH44)</f>
        <v>2</v>
      </c>
      <c r="BJ44" s="181"/>
      <c r="BK44" s="181"/>
      <c r="BL44" s="181"/>
      <c r="BM44" s="181"/>
      <c r="BN44" s="181"/>
      <c r="BO44" s="181"/>
      <c r="BP44" s="189">
        <f>BI44+AV44+AI44+V44</f>
        <v>20</v>
      </c>
      <c r="BQ44" s="192">
        <f>BP44-D44</f>
        <v>0</v>
      </c>
      <c r="BR44" s="192">
        <f>BQ44-E44</f>
        <v>0</v>
      </c>
    </row>
    <row r="45" spans="1:149" s="95" customFormat="1" ht="12.75">
      <c r="A45" s="715"/>
      <c r="B45" s="716"/>
      <c r="C45" s="109" t="s">
        <v>312</v>
      </c>
      <c r="D45" s="110">
        <v>270</v>
      </c>
      <c r="E45" s="109">
        <f>E44*D45</f>
        <v>0</v>
      </c>
      <c r="F45" s="109">
        <f>F44*D45</f>
        <v>0</v>
      </c>
      <c r="G45" s="109">
        <f>G44*D45</f>
        <v>0</v>
      </c>
      <c r="H45" s="128">
        <f>H44*D45</f>
        <v>0</v>
      </c>
      <c r="I45" s="146">
        <f t="shared" ref="I45:I49" si="132">SUM(E45:H45)</f>
        <v>0</v>
      </c>
      <c r="J45" s="119">
        <f>J44*D45</f>
        <v>0</v>
      </c>
      <c r="K45" s="119">
        <f>K44*D45</f>
        <v>0</v>
      </c>
      <c r="L45" s="119">
        <f>L44*D45</f>
        <v>0</v>
      </c>
      <c r="M45" s="119">
        <f>M44*D45</f>
        <v>0</v>
      </c>
      <c r="N45" s="119">
        <f>N44*D45</f>
        <v>0</v>
      </c>
      <c r="O45" s="119">
        <f>O44*D45</f>
        <v>0</v>
      </c>
      <c r="P45" s="119">
        <f>P44*D45</f>
        <v>270</v>
      </c>
      <c r="Q45" s="119">
        <f>Q44*D45</f>
        <v>0</v>
      </c>
      <c r="R45" s="119">
        <f>R44*D45</f>
        <v>0</v>
      </c>
      <c r="S45" s="119">
        <f>S44*D45</f>
        <v>0</v>
      </c>
      <c r="T45" s="119">
        <f>T44*D45</f>
        <v>0</v>
      </c>
      <c r="U45" s="119">
        <f>U44*D45</f>
        <v>0</v>
      </c>
      <c r="V45" s="157">
        <f t="shared" si="122"/>
        <v>270</v>
      </c>
      <c r="W45" s="119">
        <f>W44*D45</f>
        <v>270</v>
      </c>
      <c r="X45" s="119">
        <f>X44*D45</f>
        <v>0</v>
      </c>
      <c r="Y45" s="119">
        <f>Y44*D45</f>
        <v>270</v>
      </c>
      <c r="Z45" s="119">
        <f>Z44*D45</f>
        <v>270</v>
      </c>
      <c r="AA45" s="119">
        <f>AA44*D45</f>
        <v>0</v>
      </c>
      <c r="AB45" s="119">
        <f>AB44*D45</f>
        <v>270</v>
      </c>
      <c r="AC45" s="119">
        <f>AC44*D45</f>
        <v>270</v>
      </c>
      <c r="AD45" s="119">
        <f>AD44*D45</f>
        <v>270</v>
      </c>
      <c r="AE45" s="119">
        <f>AE44*D45</f>
        <v>0</v>
      </c>
      <c r="AF45" s="119">
        <f>AF44*D45</f>
        <v>270</v>
      </c>
      <c r="AG45" s="119">
        <f>AG44*D45</f>
        <v>270</v>
      </c>
      <c r="AH45" s="119">
        <f>AH44*D45</f>
        <v>0</v>
      </c>
      <c r="AI45" s="157">
        <f t="shared" si="123"/>
        <v>2160</v>
      </c>
      <c r="AJ45" s="119">
        <f>AJ44*D45</f>
        <v>270</v>
      </c>
      <c r="AK45" s="119">
        <f>AK44*D45</f>
        <v>270</v>
      </c>
      <c r="AL45" s="119">
        <f t="shared" ref="AL45:AU45" si="133">AL44*$D$45</f>
        <v>270</v>
      </c>
      <c r="AM45" s="119">
        <f t="shared" si="133"/>
        <v>0</v>
      </c>
      <c r="AN45" s="119">
        <f t="shared" si="133"/>
        <v>270</v>
      </c>
      <c r="AO45" s="119">
        <f t="shared" si="133"/>
        <v>270</v>
      </c>
      <c r="AP45" s="119">
        <f t="shared" si="133"/>
        <v>270</v>
      </c>
      <c r="AQ45" s="119">
        <f t="shared" si="133"/>
        <v>0</v>
      </c>
      <c r="AR45" s="119">
        <f t="shared" si="133"/>
        <v>270</v>
      </c>
      <c r="AS45" s="119">
        <f t="shared" si="133"/>
        <v>0</v>
      </c>
      <c r="AT45" s="119">
        <f t="shared" si="133"/>
        <v>270</v>
      </c>
      <c r="AU45" s="119">
        <f t="shared" si="133"/>
        <v>270</v>
      </c>
      <c r="AV45" s="157">
        <f t="shared" si="124"/>
        <v>2430</v>
      </c>
      <c r="AW45" s="119">
        <f>AW44*D45</f>
        <v>0</v>
      </c>
      <c r="AX45" s="119">
        <f>AX44*D45</f>
        <v>0</v>
      </c>
      <c r="AY45" s="119">
        <f>AY44*D45</f>
        <v>270</v>
      </c>
      <c r="AZ45" s="119">
        <f>AZ44*D45</f>
        <v>0</v>
      </c>
      <c r="BA45" s="119">
        <f>BA44*D45</f>
        <v>270</v>
      </c>
      <c r="BB45" s="119">
        <f>BB44*D45</f>
        <v>0</v>
      </c>
      <c r="BC45" s="119">
        <f>BC44*D45</f>
        <v>0</v>
      </c>
      <c r="BD45" s="119">
        <f>BD44*D45</f>
        <v>0</v>
      </c>
      <c r="BE45" s="119">
        <f>BE44*D45</f>
        <v>0</v>
      </c>
      <c r="BF45" s="119">
        <f>BF44*D45</f>
        <v>0</v>
      </c>
      <c r="BG45" s="119">
        <f>BG44*D45</f>
        <v>0</v>
      </c>
      <c r="BH45" s="119">
        <f>BH44*D45</f>
        <v>0</v>
      </c>
      <c r="BI45" s="180">
        <f t="shared" ref="BI45:BI49" si="134">SUM(AW45:BH45)</f>
        <v>540</v>
      </c>
      <c r="BJ45" s="180"/>
      <c r="BK45" s="180"/>
      <c r="BL45" s="180"/>
      <c r="BM45" s="180"/>
      <c r="BN45" s="180"/>
      <c r="BO45" s="180"/>
      <c r="BP45" s="201">
        <f t="shared" si="131"/>
        <v>5400</v>
      </c>
    </row>
    <row r="46" spans="1:149" s="95" customFormat="1" ht="12.75">
      <c r="A46" s="715"/>
      <c r="B46" s="716"/>
      <c r="C46" s="724" t="s">
        <v>313</v>
      </c>
      <c r="D46" s="725"/>
      <c r="E46" s="128"/>
      <c r="F46" s="128"/>
      <c r="G46" s="128"/>
      <c r="H46" s="128"/>
      <c r="I46" s="146"/>
      <c r="J46" s="119"/>
      <c r="K46" s="119"/>
      <c r="L46" s="119"/>
      <c r="M46" s="119"/>
      <c r="N46" s="119"/>
      <c r="O46" s="119"/>
      <c r="P46" s="151">
        <v>14850</v>
      </c>
      <c r="Q46" s="151">
        <f t="shared" ref="Q46:U46" si="135">P46</f>
        <v>14850</v>
      </c>
      <c r="R46" s="151">
        <f>Q46+500</f>
        <v>15350</v>
      </c>
      <c r="S46" s="151">
        <f t="shared" si="135"/>
        <v>15350</v>
      </c>
      <c r="T46" s="151">
        <f t="shared" si="135"/>
        <v>15350</v>
      </c>
      <c r="U46" s="151">
        <f t="shared" si="135"/>
        <v>15350</v>
      </c>
      <c r="V46" s="157"/>
      <c r="W46" s="119">
        <v>15000</v>
      </c>
      <c r="X46" s="119">
        <f>V46</f>
        <v>0</v>
      </c>
      <c r="Y46" s="119">
        <f>W46</f>
        <v>15000</v>
      </c>
      <c r="Z46" s="119">
        <f t="shared" ref="Z46:AC46" si="136">Y46</f>
        <v>15000</v>
      </c>
      <c r="AA46" s="119">
        <f t="shared" si="136"/>
        <v>15000</v>
      </c>
      <c r="AB46" s="119">
        <f t="shared" si="136"/>
        <v>15000</v>
      </c>
      <c r="AC46" s="119">
        <f t="shared" si="136"/>
        <v>15000</v>
      </c>
      <c r="AD46" s="119">
        <f>AC46+500</f>
        <v>15500</v>
      </c>
      <c r="AE46" s="119">
        <f t="shared" ref="AE46:AH46" si="137">AD46</f>
        <v>15500</v>
      </c>
      <c r="AF46" s="119">
        <f t="shared" si="137"/>
        <v>15500</v>
      </c>
      <c r="AG46" s="119">
        <f t="shared" si="137"/>
        <v>15500</v>
      </c>
      <c r="AH46" s="119">
        <f t="shared" si="137"/>
        <v>15500</v>
      </c>
      <c r="AI46" s="157">
        <f>AI47/AI45*10000</f>
        <v>15187.5</v>
      </c>
      <c r="AJ46" s="119">
        <f>AH46</f>
        <v>15500</v>
      </c>
      <c r="AK46" s="119">
        <f>AJ46</f>
        <v>15500</v>
      </c>
      <c r="AL46" s="119">
        <f>AK46</f>
        <v>15500</v>
      </c>
      <c r="AM46" s="119">
        <f>AL46+500</f>
        <v>16000</v>
      </c>
      <c r="AN46" s="119">
        <f t="shared" ref="AN46:AU46" si="138">AM46</f>
        <v>16000</v>
      </c>
      <c r="AO46" s="119">
        <f t="shared" si="138"/>
        <v>16000</v>
      </c>
      <c r="AP46" s="119">
        <f t="shared" si="138"/>
        <v>16000</v>
      </c>
      <c r="AQ46" s="119">
        <f t="shared" si="138"/>
        <v>16000</v>
      </c>
      <c r="AR46" s="119">
        <f t="shared" si="138"/>
        <v>16000</v>
      </c>
      <c r="AS46" s="119">
        <f t="shared" si="138"/>
        <v>16000</v>
      </c>
      <c r="AT46" s="119">
        <f t="shared" si="138"/>
        <v>16000</v>
      </c>
      <c r="AU46" s="119">
        <f t="shared" si="138"/>
        <v>16000</v>
      </c>
      <c r="AV46" s="157"/>
      <c r="AW46" s="119">
        <f>AU46+500</f>
        <v>16500</v>
      </c>
      <c r="AX46" s="119">
        <f t="shared" ref="AX46:BA46" si="139">AV46</f>
        <v>0</v>
      </c>
      <c r="AY46" s="119">
        <f t="shared" si="139"/>
        <v>16500</v>
      </c>
      <c r="AZ46" s="119">
        <f t="shared" si="139"/>
        <v>0</v>
      </c>
      <c r="BA46" s="119">
        <f t="shared" si="139"/>
        <v>16500</v>
      </c>
      <c r="BB46" s="119"/>
      <c r="BC46" s="119"/>
      <c r="BD46" s="119"/>
      <c r="BE46" s="119"/>
      <c r="BF46" s="119"/>
      <c r="BG46" s="119"/>
      <c r="BH46" s="119"/>
      <c r="BI46" s="180"/>
      <c r="BJ46" s="180"/>
      <c r="BK46" s="180"/>
      <c r="BL46" s="180"/>
      <c r="BM46" s="180"/>
      <c r="BN46" s="180"/>
      <c r="BO46" s="180"/>
      <c r="BP46" s="201">
        <f>BP47/BP45*10000</f>
        <v>15592.5</v>
      </c>
    </row>
    <row r="47" spans="1:149" s="95" customFormat="1" ht="12.75">
      <c r="A47" s="717"/>
      <c r="B47" s="718"/>
      <c r="C47" s="719" t="s">
        <v>314</v>
      </c>
      <c r="D47" s="719"/>
      <c r="E47" s="128">
        <f>E45*E46/10000</f>
        <v>0</v>
      </c>
      <c r="F47" s="128">
        <f t="shared" ref="F47:H47" si="140">F46*F45/10000</f>
        <v>0</v>
      </c>
      <c r="G47" s="128">
        <f t="shared" si="140"/>
        <v>0</v>
      </c>
      <c r="H47" s="128">
        <f t="shared" si="140"/>
        <v>0</v>
      </c>
      <c r="I47" s="146">
        <f t="shared" si="132"/>
        <v>0</v>
      </c>
      <c r="J47" s="119">
        <f>J45*J46/10000</f>
        <v>0</v>
      </c>
      <c r="K47" s="119">
        <f t="shared" ref="K47:U47" si="141">K46*K45/10000</f>
        <v>0</v>
      </c>
      <c r="L47" s="119">
        <f t="shared" si="141"/>
        <v>0</v>
      </c>
      <c r="M47" s="119">
        <f t="shared" si="141"/>
        <v>0</v>
      </c>
      <c r="N47" s="119">
        <f t="shared" si="141"/>
        <v>0</v>
      </c>
      <c r="O47" s="119">
        <f t="shared" si="141"/>
        <v>0</v>
      </c>
      <c r="P47" s="119">
        <f t="shared" si="141"/>
        <v>400.95</v>
      </c>
      <c r="Q47" s="119">
        <f t="shared" si="141"/>
        <v>0</v>
      </c>
      <c r="R47" s="119">
        <f t="shared" si="141"/>
        <v>0</v>
      </c>
      <c r="S47" s="119">
        <f t="shared" si="141"/>
        <v>0</v>
      </c>
      <c r="T47" s="119">
        <f t="shared" si="141"/>
        <v>0</v>
      </c>
      <c r="U47" s="119">
        <f t="shared" si="141"/>
        <v>0</v>
      </c>
      <c r="V47" s="157">
        <f t="shared" ref="V47:V49" si="142">SUM(J47:U47)</f>
        <v>400.95</v>
      </c>
      <c r="W47" s="119">
        <f t="shared" ref="W47:AH47" si="143">W46*W45/10000</f>
        <v>405</v>
      </c>
      <c r="X47" s="119">
        <f t="shared" si="143"/>
        <v>0</v>
      </c>
      <c r="Y47" s="119">
        <f t="shared" si="143"/>
        <v>405</v>
      </c>
      <c r="Z47" s="119">
        <f t="shared" si="143"/>
        <v>405</v>
      </c>
      <c r="AA47" s="119">
        <f t="shared" si="143"/>
        <v>0</v>
      </c>
      <c r="AB47" s="119">
        <f t="shared" si="143"/>
        <v>405</v>
      </c>
      <c r="AC47" s="119">
        <f t="shared" si="143"/>
        <v>405</v>
      </c>
      <c r="AD47" s="119">
        <f t="shared" si="143"/>
        <v>418.5</v>
      </c>
      <c r="AE47" s="119">
        <f t="shared" si="143"/>
        <v>0</v>
      </c>
      <c r="AF47" s="119">
        <f t="shared" si="143"/>
        <v>418.5</v>
      </c>
      <c r="AG47" s="119">
        <f t="shared" si="143"/>
        <v>418.5</v>
      </c>
      <c r="AH47" s="119">
        <f t="shared" si="143"/>
        <v>0</v>
      </c>
      <c r="AI47" s="157">
        <f t="shared" ref="AI47:AI49" si="144">SUM(W47:AH47)</f>
        <v>3280.5</v>
      </c>
      <c r="AJ47" s="119">
        <f t="shared" ref="AJ47:AL47" si="145">AJ46*AJ45/10000</f>
        <v>418.5</v>
      </c>
      <c r="AK47" s="119">
        <f t="shared" si="145"/>
        <v>418.5</v>
      </c>
      <c r="AL47" s="119">
        <f t="shared" si="145"/>
        <v>418.5</v>
      </c>
      <c r="AM47" s="119">
        <f t="shared" ref="AM47:AU47" si="146">AM46*AM45/10000</f>
        <v>0</v>
      </c>
      <c r="AN47" s="119">
        <f t="shared" si="146"/>
        <v>432</v>
      </c>
      <c r="AO47" s="119">
        <f t="shared" si="146"/>
        <v>432</v>
      </c>
      <c r="AP47" s="119">
        <f t="shared" si="146"/>
        <v>432</v>
      </c>
      <c r="AQ47" s="119">
        <f t="shared" si="146"/>
        <v>0</v>
      </c>
      <c r="AR47" s="119">
        <f t="shared" si="146"/>
        <v>432</v>
      </c>
      <c r="AS47" s="119">
        <f t="shared" si="146"/>
        <v>0</v>
      </c>
      <c r="AT47" s="119">
        <f t="shared" si="146"/>
        <v>432</v>
      </c>
      <c r="AU47" s="119">
        <f t="shared" si="146"/>
        <v>432</v>
      </c>
      <c r="AV47" s="157">
        <f t="shared" ref="AV47:AV49" si="147">SUM(AJ47:AU47)</f>
        <v>3847.5</v>
      </c>
      <c r="AW47" s="119">
        <f>AW46*AW45/10000</f>
        <v>0</v>
      </c>
      <c r="AX47" s="119">
        <f t="shared" ref="AX47:BH47" si="148">AX46*AX45/10000</f>
        <v>0</v>
      </c>
      <c r="AY47" s="119">
        <f t="shared" si="148"/>
        <v>445.5</v>
      </c>
      <c r="AZ47" s="119">
        <f t="shared" si="148"/>
        <v>0</v>
      </c>
      <c r="BA47" s="119">
        <f t="shared" si="148"/>
        <v>445.5</v>
      </c>
      <c r="BB47" s="119">
        <f t="shared" si="148"/>
        <v>0</v>
      </c>
      <c r="BC47" s="119">
        <f t="shared" si="148"/>
        <v>0</v>
      </c>
      <c r="BD47" s="119">
        <f t="shared" si="148"/>
        <v>0</v>
      </c>
      <c r="BE47" s="119">
        <f t="shared" si="148"/>
        <v>0</v>
      </c>
      <c r="BF47" s="119">
        <f t="shared" si="148"/>
        <v>0</v>
      </c>
      <c r="BG47" s="119">
        <f t="shared" si="148"/>
        <v>0</v>
      </c>
      <c r="BH47" s="119">
        <f t="shared" si="148"/>
        <v>0</v>
      </c>
      <c r="BI47" s="180">
        <f t="shared" si="134"/>
        <v>891</v>
      </c>
      <c r="BJ47" s="180"/>
      <c r="BK47" s="180"/>
      <c r="BL47" s="180"/>
      <c r="BM47" s="180"/>
      <c r="BN47" s="180"/>
      <c r="BO47" s="180"/>
      <c r="BP47" s="201">
        <f t="shared" si="131"/>
        <v>8419.9500000000007</v>
      </c>
    </row>
    <row r="48" spans="1:149">
      <c r="A48" s="723" t="s">
        <v>325</v>
      </c>
      <c r="B48" s="719"/>
      <c r="C48" s="109" t="s">
        <v>311</v>
      </c>
      <c r="D48" s="110"/>
      <c r="E48" s="111"/>
      <c r="F48" s="111"/>
      <c r="G48" s="111"/>
      <c r="H48" s="111"/>
      <c r="I48" s="112">
        <f t="shared" si="132"/>
        <v>0</v>
      </c>
      <c r="J48" s="111"/>
      <c r="K48" s="111"/>
      <c r="L48" s="111"/>
      <c r="M48" s="111"/>
      <c r="N48" s="111"/>
      <c r="O48" s="111"/>
      <c r="P48" s="111"/>
      <c r="Q48" s="111"/>
      <c r="R48" s="164"/>
      <c r="S48" s="111"/>
      <c r="T48" s="111"/>
      <c r="U48" s="111"/>
      <c r="V48" s="112">
        <f t="shared" si="142"/>
        <v>0</v>
      </c>
      <c r="W48" s="111"/>
      <c r="X48" s="111"/>
      <c r="Y48" s="111"/>
      <c r="Z48" s="111"/>
      <c r="AA48" s="111"/>
      <c r="AB48" s="111"/>
      <c r="AC48" s="111"/>
      <c r="AD48" s="111"/>
      <c r="AE48" s="111"/>
      <c r="AF48" s="111"/>
      <c r="AG48" s="111"/>
      <c r="AH48" s="111"/>
      <c r="AI48" s="112">
        <f t="shared" si="144"/>
        <v>0</v>
      </c>
      <c r="AJ48" s="111"/>
      <c r="AK48" s="111"/>
      <c r="AL48" s="111"/>
      <c r="AM48" s="111"/>
      <c r="AN48" s="111"/>
      <c r="AO48" s="111"/>
      <c r="AP48" s="111"/>
      <c r="AQ48" s="111"/>
      <c r="AR48" s="111"/>
      <c r="AS48" s="111"/>
      <c r="AT48" s="111"/>
      <c r="AU48" s="111"/>
      <c r="AV48" s="112">
        <f t="shared" si="147"/>
        <v>0</v>
      </c>
      <c r="AW48" s="111"/>
      <c r="AX48" s="111"/>
      <c r="AY48" s="111"/>
      <c r="AZ48" s="111"/>
      <c r="BA48" s="111"/>
      <c r="BB48" s="111"/>
      <c r="BC48" s="111"/>
      <c r="BD48" s="111"/>
      <c r="BE48" s="111"/>
      <c r="BF48" s="111"/>
      <c r="BG48" s="111"/>
      <c r="BH48" s="111"/>
      <c r="BI48" s="112">
        <f t="shared" si="134"/>
        <v>0</v>
      </c>
      <c r="BJ48" s="173"/>
      <c r="BK48" s="173"/>
      <c r="BL48" s="173"/>
      <c r="BM48" s="173"/>
      <c r="BN48" s="173"/>
      <c r="BO48" s="173"/>
      <c r="BP48" s="191">
        <f t="shared" si="131"/>
        <v>0</v>
      </c>
      <c r="BQ48" s="192"/>
      <c r="BR48" s="192"/>
      <c r="BS48" s="192"/>
      <c r="BT48" s="192"/>
      <c r="BU48" s="192"/>
      <c r="BV48" s="192"/>
      <c r="BW48" s="192"/>
      <c r="BX48" s="192"/>
      <c r="BY48" s="192"/>
      <c r="BZ48" s="192"/>
      <c r="CA48" s="192"/>
      <c r="CB48" s="192"/>
      <c r="CC48" s="192"/>
      <c r="CD48" s="192"/>
      <c r="CE48" s="192"/>
      <c r="CF48" s="192"/>
      <c r="CG48" s="192"/>
      <c r="CH48" s="192"/>
      <c r="CI48" s="192"/>
      <c r="CJ48" s="192"/>
      <c r="CK48" s="192"/>
      <c r="CL48" s="192"/>
      <c r="CM48" s="192"/>
      <c r="CN48" s="192"/>
      <c r="CO48" s="192"/>
      <c r="CP48" s="192"/>
      <c r="CQ48" s="192"/>
      <c r="CR48" s="192"/>
      <c r="CS48" s="192"/>
      <c r="CT48" s="192"/>
      <c r="CU48" s="192"/>
      <c r="CV48" s="192"/>
      <c r="CW48" s="192"/>
      <c r="CX48" s="192"/>
      <c r="CY48" s="192"/>
      <c r="CZ48" s="192"/>
      <c r="DA48" s="192"/>
      <c r="DB48" s="192"/>
      <c r="DC48" s="192"/>
      <c r="DD48" s="192"/>
      <c r="DE48" s="192"/>
      <c r="DF48" s="192"/>
      <c r="DG48" s="192"/>
      <c r="DH48" s="192"/>
      <c r="DI48" s="192"/>
      <c r="DJ48" s="192"/>
      <c r="DK48" s="192"/>
      <c r="DL48" s="192"/>
      <c r="DM48" s="192"/>
      <c r="DN48" s="192"/>
      <c r="DO48" s="192"/>
      <c r="DP48" s="192"/>
      <c r="DQ48" s="192"/>
      <c r="DR48" s="192"/>
      <c r="DS48" s="192"/>
      <c r="DT48" s="192"/>
      <c r="DU48" s="192"/>
      <c r="DV48" s="192"/>
      <c r="DW48" s="192"/>
      <c r="DX48" s="192"/>
      <c r="DY48" s="192"/>
      <c r="DZ48" s="192"/>
      <c r="EA48" s="192"/>
      <c r="EB48" s="192"/>
      <c r="EC48" s="192"/>
      <c r="ED48" s="192"/>
      <c r="EE48" s="192"/>
      <c r="EF48" s="192"/>
      <c r="EG48" s="192"/>
      <c r="EH48" s="192"/>
      <c r="EI48" s="192"/>
      <c r="EJ48" s="192"/>
      <c r="EK48" s="192"/>
      <c r="EL48" s="192"/>
      <c r="EM48" s="192"/>
      <c r="EN48" s="192"/>
      <c r="EO48" s="192"/>
      <c r="EP48" s="192"/>
      <c r="EQ48" s="192"/>
      <c r="ER48" s="192"/>
      <c r="ES48" s="192"/>
    </row>
    <row r="49" spans="1:149">
      <c r="A49" s="723"/>
      <c r="B49" s="719"/>
      <c r="C49" s="109" t="s">
        <v>312</v>
      </c>
      <c r="D49" s="110">
        <v>2240</v>
      </c>
      <c r="E49" s="111"/>
      <c r="F49" s="111"/>
      <c r="G49" s="111"/>
      <c r="H49" s="111"/>
      <c r="I49" s="112">
        <f t="shared" si="132"/>
        <v>0</v>
      </c>
      <c r="J49" s="111"/>
      <c r="K49" s="111"/>
      <c r="L49" s="111"/>
      <c r="M49" s="111"/>
      <c r="N49" s="111"/>
      <c r="O49" s="111"/>
      <c r="P49" s="111"/>
      <c r="Q49" s="111"/>
      <c r="R49" s="164"/>
      <c r="S49" s="111"/>
      <c r="T49" s="111"/>
      <c r="U49" s="111"/>
      <c r="V49" s="112">
        <f t="shared" si="142"/>
        <v>0</v>
      </c>
      <c r="W49" s="111"/>
      <c r="X49" s="111"/>
      <c r="Y49" s="111"/>
      <c r="Z49" s="111"/>
      <c r="AA49" s="111"/>
      <c r="AB49" s="111"/>
      <c r="AC49" s="111"/>
      <c r="AD49" s="111"/>
      <c r="AE49" s="111"/>
      <c r="AF49" s="111"/>
      <c r="AG49" s="111"/>
      <c r="AH49" s="111"/>
      <c r="AI49" s="112">
        <f t="shared" si="144"/>
        <v>0</v>
      </c>
      <c r="AJ49" s="111"/>
      <c r="AK49" s="111"/>
      <c r="AL49" s="111"/>
      <c r="AM49" s="111"/>
      <c r="AN49" s="111">
        <v>1120</v>
      </c>
      <c r="AO49" s="111"/>
      <c r="AP49" s="111"/>
      <c r="AQ49" s="111"/>
      <c r="AR49" s="111">
        <v>1120</v>
      </c>
      <c r="AS49" s="111"/>
      <c r="AT49" s="111"/>
      <c r="AU49" s="111"/>
      <c r="AV49" s="112">
        <f t="shared" si="147"/>
        <v>2240</v>
      </c>
      <c r="AW49" s="111"/>
      <c r="AX49" s="111"/>
      <c r="AY49" s="111"/>
      <c r="AZ49" s="111"/>
      <c r="BA49" s="111"/>
      <c r="BB49" s="111"/>
      <c r="BC49" s="111"/>
      <c r="BD49" s="111"/>
      <c r="BE49" s="111"/>
      <c r="BF49" s="111"/>
      <c r="BG49" s="111"/>
      <c r="BH49" s="111"/>
      <c r="BI49" s="112">
        <f t="shared" si="134"/>
        <v>0</v>
      </c>
      <c r="BJ49" s="174"/>
      <c r="BK49" s="174"/>
      <c r="BL49" s="174"/>
      <c r="BM49" s="174"/>
      <c r="BN49" s="174"/>
      <c r="BO49" s="174"/>
      <c r="BP49" s="193">
        <f t="shared" si="131"/>
        <v>2240</v>
      </c>
      <c r="BQ49" s="192">
        <f>BP49-D49</f>
        <v>0</v>
      </c>
      <c r="BR49" s="192"/>
      <c r="BS49" s="192"/>
      <c r="BT49" s="192"/>
      <c r="BU49" s="192"/>
      <c r="BV49" s="192"/>
      <c r="BW49" s="192"/>
      <c r="BX49" s="192"/>
      <c r="BY49" s="192"/>
      <c r="BZ49" s="192"/>
      <c r="CA49" s="192"/>
      <c r="CB49" s="192"/>
      <c r="CC49" s="192"/>
      <c r="CD49" s="192"/>
      <c r="CE49" s="192"/>
      <c r="CF49" s="192"/>
      <c r="CG49" s="192"/>
      <c r="CH49" s="192"/>
      <c r="CI49" s="192"/>
      <c r="CJ49" s="192"/>
      <c r="CK49" s="192"/>
      <c r="CL49" s="192"/>
      <c r="CM49" s="192"/>
      <c r="CN49" s="192"/>
      <c r="CO49" s="192"/>
      <c r="CP49" s="192"/>
      <c r="CQ49" s="192"/>
      <c r="CR49" s="192"/>
      <c r="CS49" s="192"/>
      <c r="CT49" s="192"/>
      <c r="CU49" s="192"/>
      <c r="CV49" s="192"/>
      <c r="CW49" s="192"/>
      <c r="CX49" s="192"/>
      <c r="CY49" s="192"/>
      <c r="CZ49" s="192"/>
      <c r="DA49" s="192"/>
      <c r="DB49" s="192"/>
      <c r="DC49" s="192"/>
      <c r="DD49" s="192"/>
      <c r="DE49" s="192"/>
      <c r="DF49" s="192"/>
      <c r="DG49" s="192"/>
      <c r="DH49" s="192"/>
      <c r="DI49" s="192"/>
      <c r="DJ49" s="192"/>
      <c r="DK49" s="192"/>
      <c r="DL49" s="192"/>
      <c r="DM49" s="192"/>
      <c r="DN49" s="192"/>
      <c r="DO49" s="192"/>
      <c r="DP49" s="192"/>
      <c r="DQ49" s="192"/>
      <c r="DR49" s="192"/>
      <c r="DS49" s="192"/>
      <c r="DT49" s="192"/>
      <c r="DU49" s="192"/>
      <c r="DV49" s="192"/>
      <c r="DW49" s="192"/>
      <c r="DX49" s="192"/>
      <c r="DY49" s="192"/>
      <c r="DZ49" s="192"/>
      <c r="EA49" s="192"/>
      <c r="EB49" s="192"/>
      <c r="EC49" s="192"/>
      <c r="ED49" s="192"/>
      <c r="EE49" s="192"/>
      <c r="EF49" s="192"/>
      <c r="EG49" s="192"/>
      <c r="EH49" s="192"/>
      <c r="EI49" s="192"/>
      <c r="EJ49" s="192"/>
      <c r="EK49" s="192"/>
      <c r="EL49" s="192"/>
      <c r="EM49" s="192"/>
      <c r="EN49" s="192"/>
      <c r="EO49" s="192"/>
      <c r="EP49" s="192"/>
      <c r="EQ49" s="192"/>
      <c r="ER49" s="192"/>
      <c r="ES49" s="192"/>
    </row>
    <row r="50" spans="1:149">
      <c r="A50" s="723"/>
      <c r="B50" s="719"/>
      <c r="C50" s="724" t="s">
        <v>313</v>
      </c>
      <c r="D50" s="725"/>
      <c r="E50" s="111"/>
      <c r="F50" s="111"/>
      <c r="G50" s="111"/>
      <c r="H50" s="111"/>
      <c r="I50" s="112" t="e">
        <f>I51/I49</f>
        <v>#DIV/0!</v>
      </c>
      <c r="J50" s="111"/>
      <c r="K50" s="111"/>
      <c r="L50" s="111"/>
      <c r="M50" s="111"/>
      <c r="N50" s="111"/>
      <c r="O50" s="111"/>
      <c r="P50" s="111"/>
      <c r="Q50" s="111"/>
      <c r="R50" s="164"/>
      <c r="S50" s="111"/>
      <c r="T50" s="111"/>
      <c r="U50" s="111"/>
      <c r="V50" s="112" t="e">
        <f>V51/V49*10000</f>
        <v>#DIV/0!</v>
      </c>
      <c r="W50" s="111"/>
      <c r="X50" s="111"/>
      <c r="Y50" s="111"/>
      <c r="Z50" s="111"/>
      <c r="AA50" s="111"/>
      <c r="AB50" s="111"/>
      <c r="AC50" s="111"/>
      <c r="AD50" s="111"/>
      <c r="AE50" s="111"/>
      <c r="AF50" s="111"/>
      <c r="AG50" s="111"/>
      <c r="AH50" s="111"/>
      <c r="AI50" s="167" t="e">
        <f>AI51/AI49*10000</f>
        <v>#DIV/0!</v>
      </c>
      <c r="AJ50" s="111"/>
      <c r="AK50" s="111"/>
      <c r="AL50" s="168"/>
      <c r="AM50" s="111"/>
      <c r="AN50" s="164">
        <v>20000</v>
      </c>
      <c r="AO50" s="111"/>
      <c r="AP50" s="111"/>
      <c r="AQ50" s="111"/>
      <c r="AR50" s="111">
        <f>AN50</f>
        <v>20000</v>
      </c>
      <c r="AS50" s="111"/>
      <c r="AT50" s="111"/>
      <c r="AU50" s="111"/>
      <c r="AV50" s="112">
        <f>AV51/AV49*10000</f>
        <v>20000</v>
      </c>
      <c r="AW50" s="111"/>
      <c r="AX50" s="111"/>
      <c r="AY50" s="111"/>
      <c r="AZ50" s="111"/>
      <c r="BA50" s="111"/>
      <c r="BB50" s="111"/>
      <c r="BC50" s="111"/>
      <c r="BD50" s="111"/>
      <c r="BE50" s="111"/>
      <c r="BF50" s="111"/>
      <c r="BG50" s="111"/>
      <c r="BH50" s="111"/>
      <c r="BI50" s="112" t="e">
        <f>BI51/BI49*10000</f>
        <v>#DIV/0!</v>
      </c>
      <c r="BJ50" s="173"/>
      <c r="BK50" s="173"/>
      <c r="BL50" s="173"/>
      <c r="BM50" s="173"/>
      <c r="BN50" s="173"/>
      <c r="BO50" s="173"/>
      <c r="BP50" s="202">
        <f>BP51/BP49*10000</f>
        <v>20000</v>
      </c>
      <c r="BQ50" s="192"/>
      <c r="BR50" s="192"/>
      <c r="BS50" s="192"/>
      <c r="BT50" s="192"/>
      <c r="BU50" s="192"/>
      <c r="BV50" s="192"/>
      <c r="BW50" s="192"/>
      <c r="BX50" s="192"/>
      <c r="BY50" s="192"/>
      <c r="BZ50" s="192"/>
      <c r="CA50" s="192"/>
      <c r="CB50" s="192"/>
      <c r="CC50" s="192"/>
      <c r="CD50" s="192"/>
      <c r="CE50" s="192"/>
      <c r="CF50" s="192"/>
      <c r="CG50" s="192"/>
      <c r="CH50" s="192"/>
      <c r="CI50" s="192"/>
      <c r="CJ50" s="192"/>
      <c r="CK50" s="192"/>
      <c r="CL50" s="192"/>
      <c r="CM50" s="192"/>
      <c r="CN50" s="192"/>
      <c r="CO50" s="192"/>
      <c r="CP50" s="192"/>
      <c r="CQ50" s="192"/>
      <c r="CR50" s="192"/>
      <c r="CS50" s="192"/>
      <c r="CT50" s="192"/>
      <c r="CU50" s="192"/>
      <c r="CV50" s="192"/>
      <c r="CW50" s="192"/>
      <c r="CX50" s="192"/>
      <c r="CY50" s="192"/>
      <c r="CZ50" s="192"/>
      <c r="DA50" s="192"/>
      <c r="DB50" s="192"/>
      <c r="DC50" s="192"/>
      <c r="DD50" s="192"/>
      <c r="DE50" s="192"/>
      <c r="DF50" s="192"/>
      <c r="DG50" s="192"/>
      <c r="DH50" s="192"/>
      <c r="DI50" s="192"/>
      <c r="DJ50" s="192"/>
      <c r="DK50" s="192"/>
      <c r="DL50" s="192"/>
      <c r="DM50" s="192"/>
      <c r="DN50" s="192"/>
      <c r="DO50" s="192"/>
      <c r="DP50" s="192"/>
      <c r="DQ50" s="192"/>
      <c r="DR50" s="192"/>
      <c r="DS50" s="192"/>
      <c r="DT50" s="192"/>
      <c r="DU50" s="192"/>
      <c r="DV50" s="192"/>
      <c r="DW50" s="192"/>
      <c r="DX50" s="192"/>
      <c r="DY50" s="192"/>
      <c r="DZ50" s="192"/>
      <c r="EA50" s="192"/>
      <c r="EB50" s="192"/>
      <c r="EC50" s="192"/>
      <c r="ED50" s="192"/>
      <c r="EE50" s="192"/>
      <c r="EF50" s="192"/>
      <c r="EG50" s="192"/>
      <c r="EH50" s="192"/>
      <c r="EI50" s="192"/>
      <c r="EJ50" s="192"/>
      <c r="EK50" s="192"/>
      <c r="EL50" s="192"/>
      <c r="EM50" s="192"/>
      <c r="EN50" s="192"/>
      <c r="EO50" s="192"/>
      <c r="EP50" s="192"/>
      <c r="EQ50" s="192"/>
      <c r="ER50" s="192"/>
      <c r="ES50" s="192"/>
    </row>
    <row r="51" spans="1:149">
      <c r="A51" s="723"/>
      <c r="B51" s="719"/>
      <c r="C51" s="719" t="s">
        <v>314</v>
      </c>
      <c r="D51" s="719"/>
      <c r="E51" s="111"/>
      <c r="F51" s="111"/>
      <c r="G51" s="111"/>
      <c r="H51" s="111"/>
      <c r="I51" s="112">
        <f t="shared" ref="I51:I53" si="149">SUM(E51:H51)</f>
        <v>0</v>
      </c>
      <c r="J51" s="111"/>
      <c r="K51" s="111"/>
      <c r="L51" s="111"/>
      <c r="M51" s="111"/>
      <c r="N51" s="111"/>
      <c r="O51" s="111"/>
      <c r="P51" s="111"/>
      <c r="Q51" s="111"/>
      <c r="R51" s="164"/>
      <c r="S51" s="111"/>
      <c r="T51" s="111"/>
      <c r="U51" s="111"/>
      <c r="V51" s="112">
        <f t="shared" ref="V51:V53" si="150">SUM(J51:U51)</f>
        <v>0</v>
      </c>
      <c r="W51" s="111"/>
      <c r="X51" s="111"/>
      <c r="Y51" s="111"/>
      <c r="Z51" s="111"/>
      <c r="AA51" s="111"/>
      <c r="AB51" s="111"/>
      <c r="AC51" s="111"/>
      <c r="AD51" s="111"/>
      <c r="AE51" s="111"/>
      <c r="AF51" s="111"/>
      <c r="AG51" s="111"/>
      <c r="AH51" s="111"/>
      <c r="AI51" s="112">
        <f t="shared" ref="AI51:AI53" si="151">SUM(W51:AH51)</f>
        <v>0</v>
      </c>
      <c r="AJ51" s="111"/>
      <c r="AK51" s="111"/>
      <c r="AL51" s="111"/>
      <c r="AM51" s="111"/>
      <c r="AN51" s="111">
        <f>AN49*AN50/10000</f>
        <v>2240</v>
      </c>
      <c r="AO51" s="111"/>
      <c r="AP51" s="111"/>
      <c r="AQ51" s="111"/>
      <c r="AR51" s="111">
        <f>AR49*AR50/10000</f>
        <v>2240</v>
      </c>
      <c r="AS51" s="111"/>
      <c r="AT51" s="111"/>
      <c r="AU51" s="111"/>
      <c r="AV51" s="112">
        <f t="shared" ref="AV51:AV53" si="152">SUM(AJ51:AU51)</f>
        <v>4480</v>
      </c>
      <c r="AW51" s="111"/>
      <c r="AX51" s="111"/>
      <c r="AY51" s="111"/>
      <c r="AZ51" s="111"/>
      <c r="BA51" s="111"/>
      <c r="BB51" s="111"/>
      <c r="BC51" s="111"/>
      <c r="BD51" s="111"/>
      <c r="BE51" s="111"/>
      <c r="BF51" s="111"/>
      <c r="BG51" s="111"/>
      <c r="BH51" s="111"/>
      <c r="BI51" s="112">
        <f t="shared" ref="BI51:BI53" si="153">SUM(AW51:BH51)</f>
        <v>0</v>
      </c>
      <c r="BJ51" s="174"/>
      <c r="BK51" s="174"/>
      <c r="BL51" s="174"/>
      <c r="BM51" s="174"/>
      <c r="BN51" s="174"/>
      <c r="BO51" s="174"/>
      <c r="BP51" s="193">
        <f t="shared" ref="BP51:BP53" si="154">I51+V51+AI51+AV51+BI51</f>
        <v>4480</v>
      </c>
      <c r="BQ51" s="192"/>
      <c r="BR51" s="192"/>
      <c r="BS51" s="192"/>
      <c r="BT51" s="192"/>
      <c r="BU51" s="192"/>
      <c r="BV51" s="192"/>
      <c r="BW51" s="192"/>
      <c r="BX51" s="192"/>
      <c r="BY51" s="192"/>
      <c r="BZ51" s="192"/>
      <c r="CA51" s="192"/>
      <c r="CB51" s="192"/>
      <c r="CC51" s="192"/>
      <c r="CD51" s="192"/>
      <c r="CE51" s="192"/>
      <c r="CF51" s="192"/>
      <c r="CG51" s="192"/>
      <c r="CH51" s="192"/>
      <c r="CI51" s="192"/>
      <c r="CJ51" s="192"/>
      <c r="CK51" s="192"/>
      <c r="CL51" s="192"/>
      <c r="CM51" s="192"/>
      <c r="CN51" s="192"/>
      <c r="CO51" s="192"/>
      <c r="CP51" s="192"/>
      <c r="CQ51" s="192"/>
      <c r="CR51" s="192"/>
      <c r="CS51" s="192"/>
      <c r="CT51" s="192"/>
      <c r="CU51" s="192"/>
      <c r="CV51" s="192"/>
      <c r="CW51" s="192"/>
      <c r="CX51" s="192"/>
      <c r="CY51" s="192"/>
      <c r="CZ51" s="192"/>
      <c r="DA51" s="192"/>
      <c r="DB51" s="192"/>
      <c r="DC51" s="192"/>
      <c r="DD51" s="192"/>
      <c r="DE51" s="192"/>
      <c r="DF51" s="192"/>
      <c r="DG51" s="192"/>
      <c r="DH51" s="192"/>
      <c r="DI51" s="192"/>
      <c r="DJ51" s="192"/>
      <c r="DK51" s="192"/>
      <c r="DL51" s="192"/>
      <c r="DM51" s="192"/>
      <c r="DN51" s="192"/>
      <c r="DO51" s="192"/>
      <c r="DP51" s="192"/>
      <c r="DQ51" s="192"/>
      <c r="DR51" s="192"/>
      <c r="DS51" s="192"/>
      <c r="DT51" s="192"/>
      <c r="DU51" s="192"/>
      <c r="DV51" s="192"/>
      <c r="DW51" s="192"/>
      <c r="DX51" s="192"/>
      <c r="DY51" s="192"/>
      <c r="DZ51" s="192"/>
      <c r="EA51" s="192"/>
      <c r="EB51" s="192"/>
      <c r="EC51" s="192"/>
      <c r="ED51" s="192"/>
      <c r="EE51" s="192"/>
      <c r="EF51" s="192"/>
      <c r="EG51" s="192"/>
      <c r="EH51" s="192"/>
      <c r="EI51" s="192"/>
      <c r="EJ51" s="192"/>
      <c r="EK51" s="192"/>
      <c r="EL51" s="192"/>
      <c r="EM51" s="192"/>
      <c r="EN51" s="192"/>
      <c r="EO51" s="192"/>
      <c r="EP51" s="192"/>
      <c r="EQ51" s="192"/>
      <c r="ER51" s="192"/>
      <c r="ES51" s="192"/>
    </row>
    <row r="52" spans="1:149">
      <c r="A52" s="709" t="s">
        <v>162</v>
      </c>
      <c r="B52" s="710"/>
      <c r="C52" s="131" t="s">
        <v>311</v>
      </c>
      <c r="D52" s="132">
        <f t="shared" ref="D52:H52" si="155">D12+D24+D36+D40+D44+D48</f>
        <v>580</v>
      </c>
      <c r="E52" s="133">
        <f t="shared" si="155"/>
        <v>0</v>
      </c>
      <c r="F52" s="133">
        <f t="shared" si="155"/>
        <v>0</v>
      </c>
      <c r="G52" s="133">
        <f t="shared" si="155"/>
        <v>0</v>
      </c>
      <c r="H52" s="133">
        <f t="shared" si="155"/>
        <v>0</v>
      </c>
      <c r="I52" s="133">
        <f t="shared" si="149"/>
        <v>0</v>
      </c>
      <c r="J52" s="133">
        <f t="shared" ref="J52:J55" si="156">J12+J24+J36+J40+J44+J48</f>
        <v>0</v>
      </c>
      <c r="K52" s="133">
        <f t="shared" ref="K52:U53" si="157">K12+K24+K36+K40+K44+K48</f>
        <v>0</v>
      </c>
      <c r="L52" s="133">
        <f t="shared" si="157"/>
        <v>0</v>
      </c>
      <c r="M52" s="133">
        <f t="shared" si="157"/>
        <v>0</v>
      </c>
      <c r="N52" s="133">
        <f t="shared" si="157"/>
        <v>0</v>
      </c>
      <c r="O52" s="133">
        <f t="shared" si="157"/>
        <v>0</v>
      </c>
      <c r="P52" s="133">
        <f t="shared" si="157"/>
        <v>45</v>
      </c>
      <c r="Q52" s="133">
        <f t="shared" si="157"/>
        <v>17</v>
      </c>
      <c r="R52" s="133">
        <f t="shared" si="157"/>
        <v>23</v>
      </c>
      <c r="S52" s="133">
        <f t="shared" si="157"/>
        <v>30</v>
      </c>
      <c r="T52" s="133">
        <f t="shared" si="157"/>
        <v>11</v>
      </c>
      <c r="U52" s="133">
        <f t="shared" si="157"/>
        <v>9</v>
      </c>
      <c r="V52" s="133">
        <f t="shared" si="150"/>
        <v>135</v>
      </c>
      <c r="W52" s="133">
        <f t="shared" ref="W52:W55" si="158">W12+W24+W36+W40+W44+W48</f>
        <v>14</v>
      </c>
      <c r="X52" s="133">
        <f t="shared" ref="X52:AH53" si="159">X12+X24+X36+X40+X44+X48</f>
        <v>9</v>
      </c>
      <c r="Y52" s="133">
        <f t="shared" si="159"/>
        <v>14</v>
      </c>
      <c r="Z52" s="133">
        <f t="shared" si="159"/>
        <v>14</v>
      </c>
      <c r="AA52" s="133">
        <f t="shared" si="159"/>
        <v>21</v>
      </c>
      <c r="AB52" s="133">
        <f t="shared" si="159"/>
        <v>19</v>
      </c>
      <c r="AC52" s="133">
        <f t="shared" si="159"/>
        <v>19</v>
      </c>
      <c r="AD52" s="133">
        <f t="shared" si="159"/>
        <v>19</v>
      </c>
      <c r="AE52" s="133">
        <f t="shared" si="159"/>
        <v>20</v>
      </c>
      <c r="AF52" s="133">
        <f t="shared" si="159"/>
        <v>18</v>
      </c>
      <c r="AG52" s="133">
        <f t="shared" si="159"/>
        <v>17</v>
      </c>
      <c r="AH52" s="133">
        <f t="shared" si="159"/>
        <v>16</v>
      </c>
      <c r="AI52" s="133">
        <f t="shared" si="151"/>
        <v>200</v>
      </c>
      <c r="AJ52" s="133">
        <f t="shared" ref="AJ52:AJ55" si="160">AJ12+AJ24+AJ36+AJ40+AJ44+AJ48</f>
        <v>15</v>
      </c>
      <c r="AK52" s="133">
        <f t="shared" ref="AK52:AU53" si="161">AK12+AK24+AK36+AK40+AK44+AK48</f>
        <v>13</v>
      </c>
      <c r="AL52" s="133">
        <f t="shared" si="161"/>
        <v>15</v>
      </c>
      <c r="AM52" s="133">
        <f t="shared" si="161"/>
        <v>14</v>
      </c>
      <c r="AN52" s="133">
        <f t="shared" si="161"/>
        <v>18</v>
      </c>
      <c r="AO52" s="133">
        <f t="shared" si="161"/>
        <v>16</v>
      </c>
      <c r="AP52" s="133">
        <f t="shared" si="161"/>
        <v>17</v>
      </c>
      <c r="AQ52" s="133">
        <f t="shared" si="161"/>
        <v>14</v>
      </c>
      <c r="AR52" s="133">
        <f t="shared" si="161"/>
        <v>17</v>
      </c>
      <c r="AS52" s="133">
        <f t="shared" si="161"/>
        <v>16</v>
      </c>
      <c r="AT52" s="133">
        <f t="shared" si="161"/>
        <v>12</v>
      </c>
      <c r="AU52" s="133">
        <f t="shared" si="161"/>
        <v>13</v>
      </c>
      <c r="AV52" s="133">
        <f t="shared" si="152"/>
        <v>180</v>
      </c>
      <c r="AW52" s="133">
        <f t="shared" ref="AW52:AW55" si="162">AW12+AW24+AW36+AW40+AW44+AW48</f>
        <v>12</v>
      </c>
      <c r="AX52" s="133">
        <f t="shared" ref="AX52:BH53" si="163">AX12+AX24+AX36+AX40+AX44+AX48</f>
        <v>9</v>
      </c>
      <c r="AY52" s="133">
        <f t="shared" si="163"/>
        <v>9</v>
      </c>
      <c r="AZ52" s="133">
        <f t="shared" si="163"/>
        <v>9</v>
      </c>
      <c r="BA52" s="133">
        <f t="shared" si="163"/>
        <v>10</v>
      </c>
      <c r="BB52" s="133">
        <f t="shared" si="163"/>
        <v>6</v>
      </c>
      <c r="BC52" s="133">
        <f t="shared" si="163"/>
        <v>5</v>
      </c>
      <c r="BD52" s="133">
        <f t="shared" si="163"/>
        <v>5</v>
      </c>
      <c r="BE52" s="133">
        <f t="shared" si="163"/>
        <v>0</v>
      </c>
      <c r="BF52" s="133">
        <f t="shared" si="163"/>
        <v>0</v>
      </c>
      <c r="BG52" s="133">
        <f t="shared" si="163"/>
        <v>0</v>
      </c>
      <c r="BH52" s="133">
        <f t="shared" si="163"/>
        <v>0</v>
      </c>
      <c r="BI52" s="133">
        <f t="shared" si="153"/>
        <v>65</v>
      </c>
      <c r="BJ52" s="186"/>
      <c r="BK52" s="186"/>
      <c r="BL52" s="186"/>
      <c r="BM52" s="186"/>
      <c r="BN52" s="186"/>
      <c r="BO52" s="186"/>
      <c r="BP52" s="203">
        <f t="shared" si="154"/>
        <v>580</v>
      </c>
      <c r="BQ52" s="192">
        <f>BP52-D52</f>
        <v>0</v>
      </c>
      <c r="BR52" s="192"/>
      <c r="BS52" s="192"/>
      <c r="BT52" s="192"/>
      <c r="BU52" s="192"/>
      <c r="BV52" s="192"/>
      <c r="BW52" s="192"/>
      <c r="BX52" s="192"/>
      <c r="BY52" s="192"/>
      <c r="BZ52" s="192"/>
      <c r="CA52" s="192"/>
      <c r="CB52" s="192"/>
      <c r="CC52" s="192"/>
      <c r="CD52" s="192"/>
      <c r="CE52" s="192"/>
      <c r="CF52" s="192"/>
      <c r="CG52" s="192"/>
      <c r="CH52" s="192"/>
      <c r="CI52" s="192"/>
      <c r="CJ52" s="192"/>
      <c r="CK52" s="192"/>
      <c r="CL52" s="192"/>
      <c r="CM52" s="192"/>
      <c r="CN52" s="192"/>
      <c r="CO52" s="192"/>
      <c r="CP52" s="192"/>
      <c r="CQ52" s="192"/>
      <c r="CR52" s="192"/>
      <c r="CS52" s="192"/>
      <c r="CT52" s="192"/>
      <c r="CU52" s="192"/>
      <c r="CV52" s="192"/>
      <c r="CW52" s="192"/>
      <c r="CX52" s="192"/>
      <c r="CY52" s="192"/>
      <c r="CZ52" s="192"/>
      <c r="DA52" s="192"/>
      <c r="DB52" s="192"/>
      <c r="DC52" s="192"/>
      <c r="DD52" s="192"/>
      <c r="DE52" s="192"/>
      <c r="DF52" s="192"/>
      <c r="DG52" s="192"/>
      <c r="DH52" s="192"/>
      <c r="DI52" s="192"/>
      <c r="DJ52" s="192"/>
      <c r="DK52" s="192"/>
      <c r="DL52" s="192"/>
      <c r="DM52" s="192"/>
      <c r="DN52" s="192"/>
      <c r="DO52" s="192"/>
      <c r="DP52" s="192"/>
      <c r="DQ52" s="192"/>
      <c r="DR52" s="192"/>
      <c r="DS52" s="192"/>
      <c r="DT52" s="192"/>
      <c r="DU52" s="192"/>
      <c r="DV52" s="192"/>
      <c r="DW52" s="192"/>
      <c r="DX52" s="192"/>
      <c r="DY52" s="192"/>
      <c r="DZ52" s="192"/>
      <c r="EA52" s="192"/>
      <c r="EB52" s="192"/>
      <c r="EC52" s="192"/>
      <c r="ED52" s="192"/>
      <c r="EE52" s="192"/>
      <c r="EF52" s="192"/>
      <c r="EG52" s="192"/>
      <c r="EH52" s="192"/>
      <c r="EI52" s="192"/>
      <c r="EJ52" s="192"/>
      <c r="EK52" s="192"/>
      <c r="EL52" s="192"/>
      <c r="EM52" s="192"/>
      <c r="EN52" s="192"/>
      <c r="EO52" s="192"/>
      <c r="EP52" s="192"/>
      <c r="EQ52" s="192"/>
      <c r="ER52" s="192"/>
      <c r="ES52" s="192"/>
    </row>
    <row r="53" spans="1:149">
      <c r="A53" s="709"/>
      <c r="B53" s="710"/>
      <c r="C53" s="131" t="s">
        <v>312</v>
      </c>
      <c r="D53" s="132"/>
      <c r="E53" s="133">
        <f t="shared" ref="E53:H53" si="164">E13+E25+E37+E41+E45+E49</f>
        <v>0</v>
      </c>
      <c r="F53" s="133">
        <f t="shared" si="164"/>
        <v>0</v>
      </c>
      <c r="G53" s="133">
        <f t="shared" si="164"/>
        <v>0</v>
      </c>
      <c r="H53" s="133">
        <f t="shared" si="164"/>
        <v>0</v>
      </c>
      <c r="I53" s="133">
        <f t="shared" si="149"/>
        <v>0</v>
      </c>
      <c r="J53" s="133">
        <f t="shared" si="156"/>
        <v>0</v>
      </c>
      <c r="K53" s="133">
        <f t="shared" si="157"/>
        <v>0</v>
      </c>
      <c r="L53" s="133">
        <f t="shared" si="157"/>
        <v>0</v>
      </c>
      <c r="M53" s="133">
        <f t="shared" si="157"/>
        <v>0</v>
      </c>
      <c r="N53" s="133">
        <f t="shared" si="157"/>
        <v>0</v>
      </c>
      <c r="O53" s="133">
        <f t="shared" si="157"/>
        <v>0</v>
      </c>
      <c r="P53" s="133">
        <f t="shared" si="157"/>
        <v>7659.9</v>
      </c>
      <c r="Q53" s="133">
        <f t="shared" si="157"/>
        <v>2546.9499999999998</v>
      </c>
      <c r="R53" s="133">
        <f t="shared" si="157"/>
        <v>3709.7200000000003</v>
      </c>
      <c r="S53" s="133">
        <f t="shared" si="157"/>
        <v>4291.8999999999996</v>
      </c>
      <c r="T53" s="133">
        <f t="shared" si="157"/>
        <v>1533.31</v>
      </c>
      <c r="U53" s="133">
        <f t="shared" si="157"/>
        <v>1410.77</v>
      </c>
      <c r="V53" s="133">
        <f t="shared" si="150"/>
        <v>21152.550000000003</v>
      </c>
      <c r="W53" s="133">
        <f t="shared" si="158"/>
        <v>2252.77</v>
      </c>
      <c r="X53" s="133">
        <f t="shared" si="159"/>
        <v>1315.3600000000001</v>
      </c>
      <c r="Y53" s="133">
        <f t="shared" si="159"/>
        <v>2289.9499999999998</v>
      </c>
      <c r="Z53" s="133">
        <f t="shared" si="159"/>
        <v>2289.9499999999998</v>
      </c>
      <c r="AA53" s="133">
        <f t="shared" si="159"/>
        <v>3157.36</v>
      </c>
      <c r="AB53" s="133">
        <f t="shared" si="159"/>
        <v>3027.36</v>
      </c>
      <c r="AC53" s="133">
        <f t="shared" si="159"/>
        <v>3118.36</v>
      </c>
      <c r="AD53" s="133">
        <f t="shared" si="159"/>
        <v>3118.36</v>
      </c>
      <c r="AE53" s="133">
        <f t="shared" si="159"/>
        <v>2995.95</v>
      </c>
      <c r="AF53" s="133">
        <f t="shared" si="159"/>
        <v>2875.95</v>
      </c>
      <c r="AG53" s="133">
        <f t="shared" si="159"/>
        <v>2737.36</v>
      </c>
      <c r="AH53" s="133">
        <f t="shared" si="159"/>
        <v>2416.9499999999998</v>
      </c>
      <c r="AI53" s="133">
        <f t="shared" si="151"/>
        <v>31595.680000000004</v>
      </c>
      <c r="AJ53" s="133">
        <f t="shared" si="160"/>
        <v>2444.36</v>
      </c>
      <c r="AK53" s="133">
        <f t="shared" si="161"/>
        <v>2112.36</v>
      </c>
      <c r="AL53" s="133">
        <f t="shared" si="161"/>
        <v>2444.36</v>
      </c>
      <c r="AM53" s="133">
        <f t="shared" si="161"/>
        <v>2132.77</v>
      </c>
      <c r="AN53" s="133">
        <f t="shared" si="161"/>
        <v>4513.51</v>
      </c>
      <c r="AO53" s="133">
        <f t="shared" si="161"/>
        <v>2582.9499999999998</v>
      </c>
      <c r="AP53" s="133">
        <f t="shared" si="161"/>
        <v>2771.95</v>
      </c>
      <c r="AQ53" s="133">
        <f t="shared" si="161"/>
        <v>2256.9499999999998</v>
      </c>
      <c r="AR53" s="133">
        <f t="shared" si="161"/>
        <v>4274.51</v>
      </c>
      <c r="AS53" s="133">
        <f t="shared" si="161"/>
        <v>2588.9499999999998</v>
      </c>
      <c r="AT53" s="133">
        <f t="shared" si="161"/>
        <v>1957.95</v>
      </c>
      <c r="AU53" s="133">
        <f t="shared" si="161"/>
        <v>2100.9499999999998</v>
      </c>
      <c r="AV53" s="133">
        <f t="shared" si="152"/>
        <v>32181.570000000003</v>
      </c>
      <c r="AW53" s="133">
        <f t="shared" si="162"/>
        <v>1830.95</v>
      </c>
      <c r="AX53" s="133">
        <f t="shared" si="163"/>
        <v>1447.95</v>
      </c>
      <c r="AY53" s="133">
        <f t="shared" si="163"/>
        <v>1574.95</v>
      </c>
      <c r="AZ53" s="133">
        <f t="shared" si="163"/>
        <v>1493.95</v>
      </c>
      <c r="BA53" s="133">
        <f t="shared" si="163"/>
        <v>1763.95</v>
      </c>
      <c r="BB53" s="133">
        <f t="shared" si="163"/>
        <v>926.95</v>
      </c>
      <c r="BC53" s="133">
        <f t="shared" si="163"/>
        <v>692.95</v>
      </c>
      <c r="BD53" s="133">
        <f t="shared" si="163"/>
        <v>692.95</v>
      </c>
      <c r="BE53" s="133">
        <f t="shared" si="163"/>
        <v>0</v>
      </c>
      <c r="BF53" s="133">
        <f t="shared" si="163"/>
        <v>0</v>
      </c>
      <c r="BG53" s="133">
        <f t="shared" si="163"/>
        <v>0</v>
      </c>
      <c r="BH53" s="133">
        <f t="shared" si="163"/>
        <v>0</v>
      </c>
      <c r="BI53" s="133">
        <f t="shared" si="153"/>
        <v>10424.600000000002</v>
      </c>
      <c r="BJ53" s="186"/>
      <c r="BK53" s="186"/>
      <c r="BL53" s="186"/>
      <c r="BM53" s="186"/>
      <c r="BN53" s="186"/>
      <c r="BO53" s="186"/>
      <c r="BP53" s="203">
        <f t="shared" si="154"/>
        <v>95354.400000000023</v>
      </c>
      <c r="BQ53" s="192"/>
      <c r="BR53" s="192"/>
      <c r="BS53" s="192"/>
      <c r="BT53" s="192"/>
      <c r="BU53" s="192"/>
      <c r="BV53" s="192"/>
      <c r="BW53" s="192"/>
      <c r="BX53" s="192"/>
      <c r="BY53" s="192"/>
      <c r="BZ53" s="192"/>
      <c r="CA53" s="192"/>
      <c r="CB53" s="192"/>
      <c r="CC53" s="192"/>
      <c r="CD53" s="192"/>
      <c r="CE53" s="192"/>
      <c r="CF53" s="192"/>
      <c r="CG53" s="192"/>
      <c r="CH53" s="192"/>
      <c r="CI53" s="192"/>
      <c r="CJ53" s="192"/>
      <c r="CK53" s="192"/>
      <c r="CL53" s="192"/>
      <c r="CM53" s="192"/>
      <c r="CN53" s="192"/>
      <c r="CO53" s="192"/>
      <c r="CP53" s="192"/>
      <c r="CQ53" s="192"/>
      <c r="CR53" s="192"/>
      <c r="CS53" s="192"/>
      <c r="CT53" s="192"/>
      <c r="CU53" s="192"/>
      <c r="CV53" s="192"/>
      <c r="CW53" s="192"/>
      <c r="CX53" s="192"/>
      <c r="CY53" s="192"/>
      <c r="CZ53" s="192"/>
      <c r="DA53" s="192"/>
      <c r="DB53" s="192"/>
      <c r="DC53" s="192"/>
      <c r="DD53" s="192"/>
      <c r="DE53" s="192"/>
      <c r="DF53" s="192"/>
      <c r="DG53" s="192"/>
      <c r="DH53" s="192"/>
      <c r="DI53" s="192"/>
      <c r="DJ53" s="192"/>
      <c r="DK53" s="192"/>
      <c r="DL53" s="192"/>
      <c r="DM53" s="192"/>
      <c r="DN53" s="192"/>
      <c r="DO53" s="192"/>
      <c r="DP53" s="192"/>
      <c r="DQ53" s="192"/>
      <c r="DR53" s="192"/>
      <c r="DS53" s="192"/>
      <c r="DT53" s="192"/>
      <c r="DU53" s="192"/>
      <c r="DV53" s="192"/>
      <c r="DW53" s="192"/>
      <c r="DX53" s="192"/>
      <c r="DY53" s="192"/>
      <c r="DZ53" s="192"/>
      <c r="EA53" s="192"/>
      <c r="EB53" s="192"/>
      <c r="EC53" s="192"/>
      <c r="ED53" s="192"/>
      <c r="EE53" s="192"/>
      <c r="EF53" s="192"/>
      <c r="EG53" s="192"/>
      <c r="EH53" s="192"/>
      <c r="EI53" s="192"/>
      <c r="EJ53" s="192"/>
      <c r="EK53" s="192"/>
      <c r="EL53" s="192"/>
      <c r="EM53" s="192"/>
      <c r="EN53" s="192"/>
      <c r="EO53" s="192"/>
      <c r="EP53" s="192"/>
      <c r="EQ53" s="192"/>
      <c r="ER53" s="192"/>
      <c r="ES53" s="192"/>
    </row>
    <row r="54" spans="1:149" s="97" customFormat="1">
      <c r="A54" s="709"/>
      <c r="B54" s="710"/>
      <c r="C54" s="720" t="s">
        <v>313</v>
      </c>
      <c r="D54" s="721"/>
      <c r="E54" s="134" t="e">
        <f t="shared" ref="E54:BI54" si="165">E55/E53*10000</f>
        <v>#DIV/0!</v>
      </c>
      <c r="F54" s="134" t="e">
        <f t="shared" si="165"/>
        <v>#DIV/0!</v>
      </c>
      <c r="G54" s="134" t="e">
        <f t="shared" si="165"/>
        <v>#DIV/0!</v>
      </c>
      <c r="H54" s="134" t="e">
        <f t="shared" si="165"/>
        <v>#DIV/0!</v>
      </c>
      <c r="I54" s="134" t="e">
        <f t="shared" si="165"/>
        <v>#DIV/0!</v>
      </c>
      <c r="J54" s="134" t="e">
        <f t="shared" si="165"/>
        <v>#DIV/0!</v>
      </c>
      <c r="K54" s="134" t="e">
        <f t="shared" si="165"/>
        <v>#DIV/0!</v>
      </c>
      <c r="L54" s="134" t="e">
        <f t="shared" si="165"/>
        <v>#DIV/0!</v>
      </c>
      <c r="M54" s="134" t="e">
        <f t="shared" si="165"/>
        <v>#DIV/0!</v>
      </c>
      <c r="N54" s="134" t="e">
        <f t="shared" si="165"/>
        <v>#DIV/0!</v>
      </c>
      <c r="O54" s="134" t="e">
        <f t="shared" si="165"/>
        <v>#DIV/0!</v>
      </c>
      <c r="P54" s="134">
        <f t="shared" si="165"/>
        <v>11744.8999334195</v>
      </c>
      <c r="Q54" s="134">
        <f t="shared" si="165"/>
        <v>11094.931781150006</v>
      </c>
      <c r="R54" s="134">
        <f t="shared" si="165"/>
        <v>11557.124796480593</v>
      </c>
      <c r="S54" s="134">
        <f t="shared" si="165"/>
        <v>11496.602437149051</v>
      </c>
      <c r="T54" s="134">
        <f t="shared" si="165"/>
        <v>10938.389823323398</v>
      </c>
      <c r="U54" s="134">
        <f t="shared" si="165"/>
        <v>11846.253110003758</v>
      </c>
      <c r="V54" s="134">
        <f t="shared" si="165"/>
        <v>11531.623444927443</v>
      </c>
      <c r="W54" s="134">
        <f t="shared" si="165"/>
        <v>12631.180058328193</v>
      </c>
      <c r="X54" s="134">
        <f t="shared" si="165"/>
        <v>11954.220137452865</v>
      </c>
      <c r="Y54" s="134">
        <f t="shared" si="165"/>
        <v>12615.476975479816</v>
      </c>
      <c r="Z54" s="134">
        <f t="shared" si="165"/>
        <v>12615.476975479816</v>
      </c>
      <c r="AA54" s="134">
        <f t="shared" si="165"/>
        <v>12608.924227835914</v>
      </c>
      <c r="AB54" s="134">
        <f t="shared" si="165"/>
        <v>12879.910549125309</v>
      </c>
      <c r="AC54" s="134">
        <f t="shared" si="165"/>
        <v>13013.091496812425</v>
      </c>
      <c r="AD54" s="134">
        <f t="shared" si="165"/>
        <v>13056.383483626007</v>
      </c>
      <c r="AE54" s="134">
        <f t="shared" si="165"/>
        <v>12732.294764598877</v>
      </c>
      <c r="AF54" s="134">
        <f t="shared" si="165"/>
        <v>13064.827796032616</v>
      </c>
      <c r="AG54" s="134">
        <f t="shared" si="165"/>
        <v>13136.459216179093</v>
      </c>
      <c r="AH54" s="134">
        <f t="shared" si="165"/>
        <v>12719.898425701816</v>
      </c>
      <c r="AI54" s="134">
        <f t="shared" si="165"/>
        <v>12801.61094807898</v>
      </c>
      <c r="AJ54" s="134">
        <f t="shared" si="165"/>
        <v>13164.434862295242</v>
      </c>
      <c r="AK54" s="134">
        <f t="shared" si="165"/>
        <v>13130.860743433885</v>
      </c>
      <c r="AL54" s="134">
        <f t="shared" si="165"/>
        <v>13164.434862295242</v>
      </c>
      <c r="AM54" s="134">
        <f t="shared" si="165"/>
        <v>13025.3733407728</v>
      </c>
      <c r="AN54" s="134">
        <f t="shared" si="165"/>
        <v>15670.219961847873</v>
      </c>
      <c r="AO54" s="134">
        <f t="shared" si="165"/>
        <v>13332.616388238257</v>
      </c>
      <c r="AP54" s="134">
        <f t="shared" si="165"/>
        <v>13398.371002362959</v>
      </c>
      <c r="AQ54" s="134">
        <f t="shared" si="165"/>
        <v>13166.157646381178</v>
      </c>
      <c r="AR54" s="134">
        <f t="shared" si="165"/>
        <v>15898.860571153185</v>
      </c>
      <c r="AS54" s="134">
        <f t="shared" si="165"/>
        <v>13400.553313119219</v>
      </c>
      <c r="AT54" s="134">
        <f t="shared" si="165"/>
        <v>13458.340866722849</v>
      </c>
      <c r="AU54" s="134">
        <f t="shared" si="165"/>
        <v>13424.421571193983</v>
      </c>
      <c r="AV54" s="134">
        <f t="shared" si="165"/>
        <v>13955.273608465963</v>
      </c>
      <c r="AW54" s="134">
        <f t="shared" si="165"/>
        <v>13229.377372402307</v>
      </c>
      <c r="AX54" s="134">
        <f t="shared" si="165"/>
        <v>13435.299216133155</v>
      </c>
      <c r="AY54" s="134">
        <f t="shared" si="165"/>
        <v>13985.689386964666</v>
      </c>
      <c r="AZ54" s="134">
        <f t="shared" si="165"/>
        <v>13608.617758291777</v>
      </c>
      <c r="BA54" s="134">
        <f t="shared" si="165"/>
        <v>14051.188809206607</v>
      </c>
      <c r="BB54" s="134">
        <f t="shared" si="165"/>
        <v>13004.040671017852</v>
      </c>
      <c r="BC54" s="134">
        <f t="shared" si="165"/>
        <v>12249.999999999998</v>
      </c>
      <c r="BD54" s="134">
        <f t="shared" si="165"/>
        <v>12249.999999999998</v>
      </c>
      <c r="BE54" s="134" t="e">
        <f t="shared" si="165"/>
        <v>#DIV/0!</v>
      </c>
      <c r="BF54" s="134" t="e">
        <f t="shared" si="165"/>
        <v>#DIV/0!</v>
      </c>
      <c r="BG54" s="134" t="e">
        <f t="shared" si="165"/>
        <v>#DIV/0!</v>
      </c>
      <c r="BH54" s="134" t="e">
        <f t="shared" si="165"/>
        <v>#DIV/0!</v>
      </c>
      <c r="BI54" s="134">
        <f t="shared" si="165"/>
        <v>13415.410759165819</v>
      </c>
      <c r="BJ54" s="134"/>
      <c r="BK54" s="134"/>
      <c r="BL54" s="134"/>
      <c r="BM54" s="134"/>
      <c r="BN54" s="134"/>
      <c r="BO54" s="134"/>
      <c r="BP54" s="204">
        <f>BP55/BP53*10000</f>
        <v>12976.346660458246</v>
      </c>
    </row>
    <row r="55" spans="1:149">
      <c r="A55" s="711"/>
      <c r="B55" s="712"/>
      <c r="C55" s="722" t="s">
        <v>314</v>
      </c>
      <c r="D55" s="722"/>
      <c r="E55" s="135">
        <f t="shared" ref="E55:H55" si="166">E15+E27+E39+E43+E47+E51</f>
        <v>0</v>
      </c>
      <c r="F55" s="135">
        <f t="shared" si="166"/>
        <v>0</v>
      </c>
      <c r="G55" s="135">
        <f t="shared" si="166"/>
        <v>0</v>
      </c>
      <c r="H55" s="135">
        <f t="shared" si="166"/>
        <v>0</v>
      </c>
      <c r="I55" s="135">
        <f>SUM(E55:H55)</f>
        <v>0</v>
      </c>
      <c r="J55" s="135">
        <f t="shared" si="156"/>
        <v>0</v>
      </c>
      <c r="K55" s="135">
        <f t="shared" ref="K55:U55" si="167">K15+K27+K39+K43+K47+K51</f>
        <v>0</v>
      </c>
      <c r="L55" s="135">
        <f t="shared" si="167"/>
        <v>0</v>
      </c>
      <c r="M55" s="135">
        <f t="shared" si="167"/>
        <v>0</v>
      </c>
      <c r="N55" s="135">
        <f t="shared" si="167"/>
        <v>0</v>
      </c>
      <c r="O55" s="135">
        <f t="shared" si="167"/>
        <v>0</v>
      </c>
      <c r="P55" s="135">
        <f t="shared" si="167"/>
        <v>8996.4759000000013</v>
      </c>
      <c r="Q55" s="135">
        <f t="shared" si="167"/>
        <v>2825.8236500000003</v>
      </c>
      <c r="R55" s="135">
        <f t="shared" si="167"/>
        <v>4287.3696999999993</v>
      </c>
      <c r="S55" s="135">
        <f t="shared" si="167"/>
        <v>4934.2268000000004</v>
      </c>
      <c r="T55" s="135">
        <f t="shared" si="167"/>
        <v>1677.19425</v>
      </c>
      <c r="U55" s="135">
        <f t="shared" si="167"/>
        <v>1671.2338500000001</v>
      </c>
      <c r="V55" s="165">
        <f>SUM(J55:U55)</f>
        <v>24392.324150000004</v>
      </c>
      <c r="W55" s="135">
        <f t="shared" si="158"/>
        <v>2845.5143500000004</v>
      </c>
      <c r="X55" s="135">
        <f t="shared" ref="X55:AH55" si="168">X15+X27+X39+X43+X47+X51</f>
        <v>1572.4103</v>
      </c>
      <c r="Y55" s="135">
        <f t="shared" si="168"/>
        <v>2888.8811500000002</v>
      </c>
      <c r="Z55" s="135">
        <f t="shared" si="168"/>
        <v>2888.8811500000002</v>
      </c>
      <c r="AA55" s="135">
        <f t="shared" si="168"/>
        <v>3981.0913</v>
      </c>
      <c r="AB55" s="135">
        <f t="shared" si="168"/>
        <v>3899.2125999999998</v>
      </c>
      <c r="AC55" s="135">
        <f t="shared" si="168"/>
        <v>4057.9503999999997</v>
      </c>
      <c r="AD55" s="135">
        <f t="shared" si="168"/>
        <v>4071.4503999999997</v>
      </c>
      <c r="AE55" s="135">
        <f t="shared" si="168"/>
        <v>3814.5318500000003</v>
      </c>
      <c r="AF55" s="135">
        <f t="shared" si="168"/>
        <v>3757.3791500000002</v>
      </c>
      <c r="AG55" s="135">
        <f t="shared" si="168"/>
        <v>3595.9218000000001</v>
      </c>
      <c r="AH55" s="135">
        <f t="shared" si="168"/>
        <v>3074.3358500000004</v>
      </c>
      <c r="AI55" s="135">
        <f>SUM(W55:AH55)</f>
        <v>40447.560300000012</v>
      </c>
      <c r="AJ55" s="135">
        <f t="shared" si="160"/>
        <v>3217.8618000000001</v>
      </c>
      <c r="AK55" s="135">
        <f t="shared" ref="AK55:AU55" si="169">AK15+AK27+AK39+AK43+AK47+AK51</f>
        <v>2773.7105000000001</v>
      </c>
      <c r="AL55" s="135">
        <f t="shared" si="169"/>
        <v>3217.8618000000001</v>
      </c>
      <c r="AM55" s="135">
        <f t="shared" si="169"/>
        <v>2778.0125500000004</v>
      </c>
      <c r="AN55" s="135">
        <f t="shared" si="169"/>
        <v>7072.7694499999998</v>
      </c>
      <c r="AO55" s="135">
        <f t="shared" si="169"/>
        <v>3443.7481500000004</v>
      </c>
      <c r="AP55" s="135">
        <f t="shared" si="169"/>
        <v>3713.9614500000002</v>
      </c>
      <c r="AQ55" s="135">
        <f t="shared" si="169"/>
        <v>2971.53595</v>
      </c>
      <c r="AR55" s="135">
        <f t="shared" si="169"/>
        <v>6795.9838500000005</v>
      </c>
      <c r="AS55" s="135">
        <f t="shared" si="169"/>
        <v>3469.3362499999998</v>
      </c>
      <c r="AT55" s="135">
        <f t="shared" si="169"/>
        <v>2635.0758500000002</v>
      </c>
      <c r="AU55" s="135">
        <f t="shared" si="169"/>
        <v>2820.4038499999997</v>
      </c>
      <c r="AV55" s="135">
        <f>SUM(AJ55:AU55)</f>
        <v>44910.261450000005</v>
      </c>
      <c r="AW55" s="135">
        <f t="shared" si="162"/>
        <v>2422.2328500000003</v>
      </c>
      <c r="AX55" s="135">
        <f t="shared" ref="AX55:BH55" si="170">AX15+AX27+AX39+AX43+AX47+AX51</f>
        <v>1945.3641500000001</v>
      </c>
      <c r="AY55" s="135">
        <f t="shared" si="170"/>
        <v>2202.6761500000002</v>
      </c>
      <c r="AZ55" s="135">
        <f t="shared" si="170"/>
        <v>2033.05945</v>
      </c>
      <c r="BA55" s="135">
        <f t="shared" si="170"/>
        <v>2478.5594499999997</v>
      </c>
      <c r="BB55" s="135">
        <f t="shared" si="170"/>
        <v>1205.4095499999999</v>
      </c>
      <c r="BC55" s="135">
        <f t="shared" si="170"/>
        <v>848.86374999999998</v>
      </c>
      <c r="BD55" s="135">
        <f t="shared" si="170"/>
        <v>848.86374999999998</v>
      </c>
      <c r="BE55" s="135">
        <f t="shared" si="170"/>
        <v>0</v>
      </c>
      <c r="BF55" s="135">
        <f t="shared" si="170"/>
        <v>0</v>
      </c>
      <c r="BG55" s="135">
        <f t="shared" si="170"/>
        <v>0</v>
      </c>
      <c r="BH55" s="135">
        <f t="shared" si="170"/>
        <v>0</v>
      </c>
      <c r="BI55" s="135">
        <f>SUM(AW55:BH55)</f>
        <v>13985.029100000003</v>
      </c>
      <c r="BJ55" s="187"/>
      <c r="BK55" s="187"/>
      <c r="BL55" s="187"/>
      <c r="BM55" s="187"/>
      <c r="BN55" s="187"/>
      <c r="BO55" s="187"/>
      <c r="BP55" s="205">
        <f>I55+V55+AI55+AV55+BI55</f>
        <v>123735.17500000002</v>
      </c>
      <c r="BQ55" s="192"/>
      <c r="BR55" s="192">
        <v>118237.8316</v>
      </c>
      <c r="BS55" s="192"/>
      <c r="BT55" s="192"/>
      <c r="BU55" s="192"/>
      <c r="BV55" s="192"/>
      <c r="BW55" s="192"/>
      <c r="BX55" s="192"/>
      <c r="BY55" s="192"/>
      <c r="BZ55" s="192"/>
      <c r="CA55" s="192"/>
      <c r="CB55" s="192"/>
      <c r="CC55" s="192"/>
      <c r="CD55" s="192"/>
      <c r="CE55" s="192"/>
      <c r="CF55" s="192"/>
      <c r="CG55" s="192"/>
      <c r="CH55" s="192"/>
      <c r="CI55" s="192"/>
      <c r="CJ55" s="192"/>
      <c r="CK55" s="192"/>
      <c r="CL55" s="192"/>
      <c r="CM55" s="192"/>
      <c r="CN55" s="192"/>
      <c r="CO55" s="192"/>
      <c r="CP55" s="192"/>
      <c r="CQ55" s="192"/>
      <c r="CR55" s="192"/>
      <c r="CS55" s="192"/>
      <c r="CT55" s="192"/>
      <c r="CU55" s="192"/>
      <c r="CV55" s="192"/>
      <c r="CW55" s="192"/>
      <c r="CX55" s="192"/>
      <c r="CY55" s="192"/>
      <c r="CZ55" s="192"/>
      <c r="DA55" s="192"/>
      <c r="DB55" s="192"/>
      <c r="DC55" s="192"/>
      <c r="DD55" s="192"/>
      <c r="DE55" s="192"/>
      <c r="DF55" s="192"/>
      <c r="DG55" s="192"/>
      <c r="DH55" s="192"/>
      <c r="DI55" s="192"/>
      <c r="DJ55" s="192"/>
      <c r="DK55" s="192"/>
      <c r="DL55" s="192"/>
      <c r="DM55" s="192"/>
      <c r="DN55" s="192"/>
      <c r="DO55" s="192"/>
      <c r="DP55" s="192"/>
      <c r="DQ55" s="192"/>
      <c r="DR55" s="192"/>
      <c r="DS55" s="192"/>
      <c r="DT55" s="192"/>
      <c r="DU55" s="192"/>
      <c r="DV55" s="192"/>
      <c r="DW55" s="192"/>
      <c r="DX55" s="192"/>
      <c r="DY55" s="192"/>
      <c r="DZ55" s="192"/>
      <c r="EA55" s="192"/>
      <c r="EB55" s="192"/>
      <c r="EC55" s="192"/>
      <c r="ED55" s="192"/>
      <c r="EE55" s="192"/>
      <c r="EF55" s="192"/>
      <c r="EG55" s="192"/>
      <c r="EH55" s="192"/>
      <c r="EI55" s="192"/>
      <c r="EJ55" s="192"/>
      <c r="EK55" s="192"/>
      <c r="EL55" s="192"/>
      <c r="EM55" s="192"/>
      <c r="EN55" s="192"/>
      <c r="EO55" s="192"/>
      <c r="EP55" s="192"/>
      <c r="EQ55" s="192"/>
      <c r="ER55" s="192"/>
      <c r="ES55" s="192"/>
    </row>
  </sheetData>
  <mergeCells count="49">
    <mergeCell ref="BJ1:BO1"/>
    <mergeCell ref="A3:D3"/>
    <mergeCell ref="C6:D6"/>
    <mergeCell ref="C7:D7"/>
    <mergeCell ref="C10:D10"/>
    <mergeCell ref="E1:I1"/>
    <mergeCell ref="J1:V1"/>
    <mergeCell ref="W1:AI1"/>
    <mergeCell ref="AJ1:AV1"/>
    <mergeCell ref="AW1:BI1"/>
    <mergeCell ref="A4:A15"/>
    <mergeCell ref="C11:D11"/>
    <mergeCell ref="C14:D14"/>
    <mergeCell ref="C15:D15"/>
    <mergeCell ref="C34:D34"/>
    <mergeCell ref="C35:D35"/>
    <mergeCell ref="C18:D18"/>
    <mergeCell ref="C19:D19"/>
    <mergeCell ref="C22:D22"/>
    <mergeCell ref="C23:D23"/>
    <mergeCell ref="C26:D26"/>
    <mergeCell ref="C38:D38"/>
    <mergeCell ref="C39:D39"/>
    <mergeCell ref="A16:A27"/>
    <mergeCell ref="A28:A39"/>
    <mergeCell ref="B4:B7"/>
    <mergeCell ref="B8:B11"/>
    <mergeCell ref="B12:B15"/>
    <mergeCell ref="B16:B19"/>
    <mergeCell ref="B20:B23"/>
    <mergeCell ref="B24:B27"/>
    <mergeCell ref="B28:B31"/>
    <mergeCell ref="B32:B35"/>
    <mergeCell ref="B36:B39"/>
    <mergeCell ref="C27:D27"/>
    <mergeCell ref="C30:D30"/>
    <mergeCell ref="C31:D31"/>
    <mergeCell ref="A52:B55"/>
    <mergeCell ref="A40:B43"/>
    <mergeCell ref="A44:B47"/>
    <mergeCell ref="C51:D51"/>
    <mergeCell ref="C54:D54"/>
    <mergeCell ref="C55:D55"/>
    <mergeCell ref="A48:B51"/>
    <mergeCell ref="C42:D42"/>
    <mergeCell ref="C43:D43"/>
    <mergeCell ref="C46:D46"/>
    <mergeCell ref="C47:D47"/>
    <mergeCell ref="C50:D50"/>
  </mergeCells>
  <phoneticPr fontId="34"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1"/>
  <sheetViews>
    <sheetView tabSelected="1" workbookViewId="0">
      <pane xSplit="2" ySplit="5" topLeftCell="C6" activePane="bottomRight" state="frozen"/>
      <selection pane="topRight"/>
      <selection pane="bottomLeft"/>
      <selection pane="bottomRight" activeCell="C6" sqref="C6"/>
    </sheetView>
  </sheetViews>
  <sheetFormatPr defaultColWidth="8.875" defaultRowHeight="14.25" outlineLevelRow="2"/>
  <cols>
    <col min="1" max="1" width="8.875" style="448"/>
    <col min="2" max="2" width="20.375" style="448" customWidth="1"/>
    <col min="3" max="3" width="9.5" style="448" customWidth="1"/>
    <col min="4" max="5" width="12.625" style="448" customWidth="1"/>
    <col min="6" max="6" width="13.875" style="448" customWidth="1"/>
    <col min="7" max="9" width="9" style="448" customWidth="1"/>
    <col min="10" max="10" width="14.5" style="448" customWidth="1"/>
    <col min="11" max="11" width="9" style="448" customWidth="1"/>
    <col min="12" max="12" width="11.125" style="448" customWidth="1"/>
    <col min="13" max="13" width="9" style="275" customWidth="1"/>
    <col min="14" max="14" width="11.375" style="448" customWidth="1"/>
    <col min="15" max="15" width="10.625" style="448" customWidth="1"/>
    <col min="16" max="16" width="18" style="460" customWidth="1"/>
    <col min="17" max="16384" width="8.875" style="448"/>
  </cols>
  <sheetData>
    <row r="1" spans="1:17" s="275" customFormat="1" ht="22.5">
      <c r="A1" s="749" t="s">
        <v>551</v>
      </c>
      <c r="B1" s="749"/>
      <c r="C1" s="749"/>
      <c r="D1" s="749"/>
      <c r="E1" s="749"/>
      <c r="F1" s="749"/>
      <c r="G1" s="749"/>
      <c r="H1" s="749"/>
      <c r="I1" s="749"/>
      <c r="J1" s="749"/>
      <c r="K1" s="749"/>
      <c r="L1" s="749"/>
      <c r="M1" s="749"/>
      <c r="N1" s="749"/>
      <c r="O1" s="749"/>
      <c r="P1" s="749"/>
      <c r="Q1" s="749"/>
    </row>
    <row r="3" spans="1:17" s="280" customFormat="1" ht="28.5" customHeight="1">
      <c r="A3" s="750" t="s">
        <v>167</v>
      </c>
      <c r="B3" s="751"/>
      <c r="C3" s="756" t="s">
        <v>326</v>
      </c>
      <c r="D3" s="751"/>
      <c r="E3" s="434" t="s">
        <v>327</v>
      </c>
      <c r="F3" s="757" t="s">
        <v>168</v>
      </c>
      <c r="G3" s="758"/>
      <c r="H3" s="758"/>
      <c r="I3" s="758"/>
      <c r="J3" s="758"/>
      <c r="K3" s="759"/>
      <c r="L3" s="757" t="s">
        <v>169</v>
      </c>
      <c r="M3" s="759"/>
      <c r="N3" s="760" t="s">
        <v>170</v>
      </c>
      <c r="O3" s="760" t="s">
        <v>171</v>
      </c>
      <c r="P3" s="762" t="s">
        <v>172</v>
      </c>
      <c r="Q3" s="435"/>
    </row>
    <row r="4" spans="1:17" s="280" customFormat="1" ht="28.5" customHeight="1">
      <c r="A4" s="752"/>
      <c r="B4" s="753"/>
      <c r="C4" s="436" t="s">
        <v>552</v>
      </c>
      <c r="D4" s="668">
        <v>95754.15</v>
      </c>
      <c r="E4" s="437"/>
      <c r="F4" s="765" t="s">
        <v>173</v>
      </c>
      <c r="G4" s="766"/>
      <c r="H4" s="765" t="s">
        <v>166</v>
      </c>
      <c r="I4" s="766"/>
      <c r="J4" s="746" t="s">
        <v>876</v>
      </c>
      <c r="K4" s="747" t="s">
        <v>174</v>
      </c>
      <c r="L4" s="747" t="s">
        <v>175</v>
      </c>
      <c r="M4" s="747" t="s">
        <v>174</v>
      </c>
      <c r="N4" s="761"/>
      <c r="O4" s="761"/>
      <c r="P4" s="763"/>
      <c r="Q4" s="435"/>
    </row>
    <row r="5" spans="1:17" s="280" customFormat="1" ht="28.5" customHeight="1">
      <c r="A5" s="754"/>
      <c r="B5" s="755"/>
      <c r="C5" s="438" t="s">
        <v>176</v>
      </c>
      <c r="D5" s="438" t="s">
        <v>177</v>
      </c>
      <c r="E5" s="438"/>
      <c r="F5" s="439" t="s">
        <v>178</v>
      </c>
      <c r="G5" s="440" t="s">
        <v>179</v>
      </c>
      <c r="H5" s="439" t="s">
        <v>178</v>
      </c>
      <c r="I5" s="440" t="s">
        <v>179</v>
      </c>
      <c r="J5" s="746"/>
      <c r="K5" s="748"/>
      <c r="L5" s="748"/>
      <c r="M5" s="748"/>
      <c r="N5" s="748"/>
      <c r="O5" s="748"/>
      <c r="P5" s="764"/>
      <c r="Q5" s="435"/>
    </row>
    <row r="6" spans="1:17" s="280" customFormat="1" ht="28.5" customHeight="1">
      <c r="A6" s="441"/>
      <c r="B6" s="442"/>
      <c r="C6" s="438"/>
      <c r="D6" s="439" t="s">
        <v>553</v>
      </c>
      <c r="E6" s="440"/>
      <c r="F6" s="440" t="s">
        <v>554</v>
      </c>
      <c r="G6" s="439" t="s">
        <v>555</v>
      </c>
      <c r="H6" s="440" t="s">
        <v>556</v>
      </c>
      <c r="I6" s="440" t="s">
        <v>557</v>
      </c>
      <c r="J6" s="443" t="s">
        <v>558</v>
      </c>
      <c r="K6" s="439"/>
      <c r="L6" s="439" t="s">
        <v>559</v>
      </c>
      <c r="M6" s="444"/>
      <c r="N6" s="439" t="s">
        <v>560</v>
      </c>
      <c r="O6" s="439" t="s">
        <v>561</v>
      </c>
      <c r="P6" s="445"/>
      <c r="Q6" s="435"/>
    </row>
    <row r="7" spans="1:17" s="280" customFormat="1" ht="28.5" customHeight="1">
      <c r="A7" s="441"/>
      <c r="B7" s="442"/>
      <c r="C7" s="438"/>
      <c r="D7" s="439"/>
      <c r="E7" s="440"/>
      <c r="F7" s="440"/>
      <c r="G7" s="439"/>
      <c r="H7" s="440"/>
      <c r="I7" s="440"/>
      <c r="J7" s="443"/>
      <c r="K7" s="439"/>
      <c r="L7" s="439"/>
      <c r="M7" s="444"/>
      <c r="N7" s="439"/>
      <c r="O7" s="439"/>
      <c r="P7" s="445"/>
      <c r="Q7" s="435"/>
    </row>
    <row r="8" spans="1:17" ht="16.5" customHeight="1">
      <c r="A8" s="446" t="s">
        <v>180</v>
      </c>
      <c r="B8" s="447" t="s">
        <v>181</v>
      </c>
      <c r="C8" s="49">
        <f>C9+C10+C11+C12+C13+C14+C15</f>
        <v>4379.9983917146155</v>
      </c>
      <c r="D8" s="49">
        <f t="shared" ref="D8:O8" si="0">D9+D10+D11+D12+D13+D14+D15</f>
        <v>41940.302300000003</v>
      </c>
      <c r="E8" s="49">
        <v>41940.285418084997</v>
      </c>
      <c r="F8" s="49">
        <f t="shared" si="0"/>
        <v>41966.709757000004</v>
      </c>
      <c r="G8" s="49">
        <f t="shared" si="0"/>
        <v>0</v>
      </c>
      <c r="H8" s="49">
        <f t="shared" si="0"/>
        <v>0</v>
      </c>
      <c r="I8" s="49">
        <f t="shared" si="0"/>
        <v>0</v>
      </c>
      <c r="J8" s="49">
        <f t="shared" si="0"/>
        <v>41966.709757000004</v>
      </c>
      <c r="K8" s="49"/>
      <c r="L8" s="49">
        <f t="shared" si="0"/>
        <v>-26.424357000000025</v>
      </c>
      <c r="M8" s="53"/>
      <c r="N8" s="49">
        <f t="shared" si="0"/>
        <v>41940.285400000008</v>
      </c>
      <c r="O8" s="49">
        <f t="shared" si="0"/>
        <v>-1.6899999999992588E-2</v>
      </c>
      <c r="P8" s="54" t="s">
        <v>562</v>
      </c>
    </row>
    <row r="9" spans="1:17" ht="16.5" customHeight="1" outlineLevel="1">
      <c r="A9" s="449">
        <v>1.1000000000000001</v>
      </c>
      <c r="B9" s="450" t="s">
        <v>2368</v>
      </c>
      <c r="C9" s="50">
        <f>D9/$D$4*10000</f>
        <v>3823.3329834790452</v>
      </c>
      <c r="D9" s="50">
        <f>成本明细!E5</f>
        <v>36610</v>
      </c>
      <c r="E9" s="50">
        <v>36610</v>
      </c>
      <c r="F9" s="50">
        <f>成本明细!F5/10000</f>
        <v>36610</v>
      </c>
      <c r="G9" s="50"/>
      <c r="H9" s="50"/>
      <c r="I9" s="50"/>
      <c r="J9" s="50">
        <f>F9+G9+H9+I9</f>
        <v>36610</v>
      </c>
      <c r="K9" s="50"/>
      <c r="L9" s="50">
        <v>0</v>
      </c>
      <c r="M9" s="55"/>
      <c r="N9" s="50">
        <f>J9+L9</f>
        <v>36610</v>
      </c>
      <c r="O9" s="50">
        <f>N9-D9</f>
        <v>0</v>
      </c>
      <c r="P9" s="56"/>
    </row>
    <row r="10" spans="1:17" ht="16.5" customHeight="1" outlineLevel="1">
      <c r="A10" s="449">
        <v>1.2</v>
      </c>
      <c r="B10" s="450" t="s">
        <v>182</v>
      </c>
      <c r="C10" s="50">
        <f t="shared" ref="C10:C15" si="1">D10/$D$4*10000</f>
        <v>253.06539716555369</v>
      </c>
      <c r="D10" s="50">
        <f>成本明细!E9</f>
        <v>2423.2062000000001</v>
      </c>
      <c r="E10" s="50">
        <v>2423.2061699999999</v>
      </c>
      <c r="F10" s="50">
        <f>成本明细!F9/10000</f>
        <v>2439.28334</v>
      </c>
      <c r="G10" s="50"/>
      <c r="H10" s="50"/>
      <c r="I10" s="50"/>
      <c r="J10" s="50">
        <f t="shared" ref="J10:J15" si="2">F10+G10+H10+I10</f>
        <v>2439.28334</v>
      </c>
      <c r="K10" s="50"/>
      <c r="L10" s="50">
        <f>D10-F10</f>
        <v>-16.077139999999872</v>
      </c>
      <c r="M10" s="55"/>
      <c r="N10" s="50">
        <f t="shared" ref="N10:N15" si="3">J10+L10</f>
        <v>2423.2062000000001</v>
      </c>
      <c r="O10" s="50">
        <f t="shared" ref="O10:O15" si="4">N10-D10</f>
        <v>0</v>
      </c>
      <c r="P10" s="56"/>
    </row>
    <row r="11" spans="1:17" ht="16.5" customHeight="1" outlineLevel="1">
      <c r="A11" s="449">
        <v>1.3</v>
      </c>
      <c r="B11" s="450" t="s">
        <v>120</v>
      </c>
      <c r="C11" s="50">
        <f t="shared" si="1"/>
        <v>121.86339704336574</v>
      </c>
      <c r="D11" s="50">
        <f>成本明细!E13</f>
        <v>1166.8925999999999</v>
      </c>
      <c r="E11" s="50">
        <v>1166.8926449999999</v>
      </c>
      <c r="F11" s="50">
        <f>成本明细!F13/10000</f>
        <v>1196.7564170000001</v>
      </c>
      <c r="G11" s="50"/>
      <c r="H11" s="50"/>
      <c r="I11" s="50"/>
      <c r="J11" s="50">
        <f t="shared" si="2"/>
        <v>1196.7564170000001</v>
      </c>
      <c r="K11" s="50"/>
      <c r="L11" s="50">
        <f>D11-J11</f>
        <v>-29.863817000000154</v>
      </c>
      <c r="M11" s="55"/>
      <c r="N11" s="50">
        <f t="shared" si="3"/>
        <v>1166.8925999999999</v>
      </c>
      <c r="O11" s="50">
        <f t="shared" si="4"/>
        <v>0</v>
      </c>
      <c r="P11" s="56" t="s">
        <v>563</v>
      </c>
    </row>
    <row r="12" spans="1:17" ht="16.5" customHeight="1" outlineLevel="1">
      <c r="A12" s="449">
        <v>1.4</v>
      </c>
      <c r="B12" s="450" t="s">
        <v>183</v>
      </c>
      <c r="C12" s="50">
        <f t="shared" si="1"/>
        <v>19.118429853954112</v>
      </c>
      <c r="D12" s="50">
        <f>成本明细!E16</f>
        <v>183.0669</v>
      </c>
      <c r="E12" s="50">
        <v>183.05</v>
      </c>
      <c r="F12" s="50">
        <f>成本明细!F16/10000</f>
        <v>183.05</v>
      </c>
      <c r="G12" s="50"/>
      <c r="H12" s="50"/>
      <c r="I12" s="50"/>
      <c r="J12" s="50">
        <f t="shared" si="2"/>
        <v>183.05</v>
      </c>
      <c r="K12" s="50"/>
      <c r="L12" s="50">
        <v>0</v>
      </c>
      <c r="M12" s="55"/>
      <c r="N12" s="50">
        <f t="shared" si="3"/>
        <v>183.05</v>
      </c>
      <c r="O12" s="50">
        <f t="shared" si="4"/>
        <v>-1.6899999999992588E-2</v>
      </c>
      <c r="P12" s="56"/>
    </row>
    <row r="13" spans="1:17" ht="16.5" customHeight="1" outlineLevel="1">
      <c r="A13" s="449">
        <v>1.5</v>
      </c>
      <c r="B13" s="451" t="s">
        <v>328</v>
      </c>
      <c r="C13" s="50">
        <f t="shared" si="1"/>
        <v>2.0381988665765403</v>
      </c>
      <c r="D13" s="50">
        <f>成本明细!E19</f>
        <v>19.5166</v>
      </c>
      <c r="E13" s="50">
        <v>19.516603085</v>
      </c>
      <c r="F13" s="50">
        <f>成本明细!F19/10000</f>
        <v>0</v>
      </c>
      <c r="G13" s="50"/>
      <c r="H13" s="50"/>
      <c r="I13" s="50"/>
      <c r="J13" s="50">
        <f t="shared" si="2"/>
        <v>0</v>
      </c>
      <c r="K13" s="50"/>
      <c r="L13" s="50">
        <f>D13</f>
        <v>19.5166</v>
      </c>
      <c r="M13" s="55"/>
      <c r="N13" s="50">
        <f t="shared" si="3"/>
        <v>19.5166</v>
      </c>
      <c r="O13" s="50">
        <f t="shared" si="4"/>
        <v>0</v>
      </c>
      <c r="P13" s="56"/>
    </row>
    <row r="14" spans="1:17" ht="16.5" customHeight="1" outlineLevel="1">
      <c r="A14" s="449">
        <v>1.6</v>
      </c>
      <c r="B14" s="450" t="s">
        <v>329</v>
      </c>
      <c r="C14" s="50">
        <f t="shared" si="1"/>
        <v>7.646665966958091</v>
      </c>
      <c r="D14" s="50">
        <f>成本明细!E22</f>
        <v>73.22</v>
      </c>
      <c r="E14" s="50">
        <v>73.22</v>
      </c>
      <c r="F14" s="50">
        <f>成本明细!F22/10000</f>
        <v>73.22</v>
      </c>
      <c r="G14" s="50"/>
      <c r="H14" s="50"/>
      <c r="I14" s="50"/>
      <c r="J14" s="50">
        <f t="shared" si="2"/>
        <v>73.22</v>
      </c>
      <c r="K14" s="50"/>
      <c r="L14" s="50">
        <v>0</v>
      </c>
      <c r="M14" s="55"/>
      <c r="N14" s="50">
        <f t="shared" si="3"/>
        <v>73.22</v>
      </c>
      <c r="O14" s="50">
        <f t="shared" si="4"/>
        <v>0</v>
      </c>
      <c r="P14" s="56"/>
    </row>
    <row r="15" spans="1:17" ht="16.5" customHeight="1" outlineLevel="1">
      <c r="A15" s="449">
        <v>1.7</v>
      </c>
      <c r="B15" s="450" t="s">
        <v>330</v>
      </c>
      <c r="C15" s="50">
        <f t="shared" si="1"/>
        <v>152.93331933916181</v>
      </c>
      <c r="D15" s="50">
        <f>成本明细!E25</f>
        <v>1464.4</v>
      </c>
      <c r="E15" s="50">
        <v>1464.4</v>
      </c>
      <c r="F15" s="50">
        <f>成本明细!F25/10000</f>
        <v>1464.4</v>
      </c>
      <c r="G15" s="50"/>
      <c r="H15" s="50"/>
      <c r="I15" s="50"/>
      <c r="J15" s="50">
        <f t="shared" si="2"/>
        <v>1464.4</v>
      </c>
      <c r="K15" s="50"/>
      <c r="L15" s="50">
        <v>0</v>
      </c>
      <c r="M15" s="55"/>
      <c r="N15" s="50">
        <f t="shared" si="3"/>
        <v>1464.4</v>
      </c>
      <c r="O15" s="50">
        <f t="shared" si="4"/>
        <v>0</v>
      </c>
      <c r="P15" s="56"/>
    </row>
    <row r="16" spans="1:17" ht="16.5" customHeight="1">
      <c r="A16" s="452" t="s">
        <v>184</v>
      </c>
      <c r="B16" s="453" t="s">
        <v>185</v>
      </c>
      <c r="C16" s="49">
        <f t="shared" ref="C16:J16" si="5">C17+C21+C28+C36+C41+C48+C55+C62</f>
        <v>274.7254505418303</v>
      </c>
      <c r="D16" s="49">
        <f t="shared" si="5"/>
        <v>2630.6102000000005</v>
      </c>
      <c r="E16" s="49">
        <v>2921.16396746808</v>
      </c>
      <c r="F16" s="49">
        <f t="shared" si="5"/>
        <v>2501.114728</v>
      </c>
      <c r="G16" s="49">
        <f t="shared" si="5"/>
        <v>6.3845000000000001</v>
      </c>
      <c r="H16" s="49">
        <f t="shared" si="5"/>
        <v>0</v>
      </c>
      <c r="I16" s="49">
        <f t="shared" si="5"/>
        <v>0</v>
      </c>
      <c r="J16" s="49">
        <f t="shared" si="5"/>
        <v>2507.4992279999997</v>
      </c>
      <c r="K16" s="49"/>
      <c r="L16" s="49">
        <f t="shared" ref="L16:O16" si="6">L17+L21+L28+L36+L41+L48+L55+L62</f>
        <v>351.067049</v>
      </c>
      <c r="M16" s="53"/>
      <c r="N16" s="49">
        <f t="shared" si="6"/>
        <v>2858.5662769999999</v>
      </c>
      <c r="O16" s="49">
        <f t="shared" si="6"/>
        <v>227.95607699999985</v>
      </c>
      <c r="P16" s="54"/>
    </row>
    <row r="17" spans="1:16" ht="16.5" customHeight="1" outlineLevel="1">
      <c r="A17" s="454">
        <v>2.1</v>
      </c>
      <c r="B17" s="455" t="s">
        <v>331</v>
      </c>
      <c r="C17" s="51">
        <f t="shared" ref="C17:F17" si="7">SUM(C18:C20)</f>
        <v>14.399992063007188</v>
      </c>
      <c r="D17" s="51">
        <f t="shared" si="7"/>
        <v>137.88589999999999</v>
      </c>
      <c r="E17" s="51">
        <v>137.88584489153999</v>
      </c>
      <c r="F17" s="51">
        <f t="shared" si="7"/>
        <v>127.60080000000001</v>
      </c>
      <c r="G17" s="51">
        <f t="shared" ref="G17:O17" si="8">SUM(G18:G20)</f>
        <v>3.0554999999999999</v>
      </c>
      <c r="H17" s="51">
        <f t="shared" si="8"/>
        <v>0</v>
      </c>
      <c r="I17" s="51">
        <f t="shared" si="8"/>
        <v>0</v>
      </c>
      <c r="J17" s="51">
        <f t="shared" si="8"/>
        <v>130.65629999999999</v>
      </c>
      <c r="K17" s="51"/>
      <c r="L17" s="51">
        <f t="shared" si="8"/>
        <v>7.7224999999999966</v>
      </c>
      <c r="M17" s="57"/>
      <c r="N17" s="51">
        <f t="shared" si="8"/>
        <v>138.37879999999998</v>
      </c>
      <c r="O17" s="51">
        <f t="shared" si="8"/>
        <v>0.49290000000000034</v>
      </c>
      <c r="P17" s="58"/>
    </row>
    <row r="18" spans="1:16" ht="16.5" customHeight="1" outlineLevel="2">
      <c r="A18" s="449" t="s">
        <v>332</v>
      </c>
      <c r="B18" s="450" t="s">
        <v>186</v>
      </c>
      <c r="C18" s="50">
        <f t="shared" ref="C18:C69" si="9">D18/$D$4*10000</f>
        <v>12.632350660519673</v>
      </c>
      <c r="D18" s="50">
        <f>成本明细!E30</f>
        <v>120.96</v>
      </c>
      <c r="E18" s="50">
        <v>120.96</v>
      </c>
      <c r="F18" s="50">
        <f>成本明细!F30/10000-3.0555</f>
        <v>110.182</v>
      </c>
      <c r="G18" s="50">
        <v>3.0554999999999999</v>
      </c>
      <c r="H18" s="50"/>
      <c r="I18" s="50"/>
      <c r="J18" s="50">
        <f>F18+G18+H18+I18</f>
        <v>113.2375</v>
      </c>
      <c r="K18" s="50"/>
      <c r="L18" s="50">
        <f>D18-J18</f>
        <v>7.7224999999999966</v>
      </c>
      <c r="M18" s="55" t="s">
        <v>564</v>
      </c>
      <c r="N18" s="50">
        <f t="shared" ref="N18:N69" si="10">J18+L18</f>
        <v>120.96</v>
      </c>
      <c r="O18" s="50">
        <f t="shared" ref="O18:O69" si="11">N18-D18</f>
        <v>0</v>
      </c>
      <c r="P18" s="56"/>
    </row>
    <row r="19" spans="1:16" ht="16.5" customHeight="1" outlineLevel="2">
      <c r="A19" s="449" t="s">
        <v>333</v>
      </c>
      <c r="B19" s="450" t="s">
        <v>334</v>
      </c>
      <c r="C19" s="50">
        <f t="shared" si="9"/>
        <v>1.6627999935250848</v>
      </c>
      <c r="D19" s="50">
        <f>成本明细!E34</f>
        <v>15.922000000000001</v>
      </c>
      <c r="E19" s="50">
        <v>15.921979392600001</v>
      </c>
      <c r="F19" s="50">
        <f>成本明细!F34/10000</f>
        <v>16.418800000000001</v>
      </c>
      <c r="G19" s="50"/>
      <c r="H19" s="50"/>
      <c r="I19" s="50"/>
      <c r="J19" s="50">
        <f t="shared" ref="J19:J69" si="12">F19+G19+H19+I19</f>
        <v>16.418800000000001</v>
      </c>
      <c r="K19" s="50"/>
      <c r="L19" s="50">
        <v>0</v>
      </c>
      <c r="M19" s="55"/>
      <c r="N19" s="50">
        <f t="shared" si="10"/>
        <v>16.418800000000001</v>
      </c>
      <c r="O19" s="50">
        <f t="shared" si="11"/>
        <v>0.49680000000000035</v>
      </c>
      <c r="P19" s="56"/>
    </row>
    <row r="20" spans="1:16" ht="16.5" customHeight="1" outlineLevel="2">
      <c r="A20" s="449" t="s">
        <v>335</v>
      </c>
      <c r="B20" s="450" t="s">
        <v>192</v>
      </c>
      <c r="C20" s="50">
        <f t="shared" si="9"/>
        <v>0.1048414089624314</v>
      </c>
      <c r="D20" s="50">
        <f>成本明细!E41</f>
        <v>1.0039</v>
      </c>
      <c r="E20" s="50">
        <v>1.00386549894</v>
      </c>
      <c r="F20" s="50">
        <f>成本明细!F41/10000</f>
        <v>1</v>
      </c>
      <c r="G20" s="50"/>
      <c r="H20" s="50"/>
      <c r="I20" s="50"/>
      <c r="J20" s="50">
        <f t="shared" si="12"/>
        <v>1</v>
      </c>
      <c r="K20" s="50"/>
      <c r="L20" s="50">
        <v>0</v>
      </c>
      <c r="M20" s="55"/>
      <c r="N20" s="50">
        <f t="shared" si="10"/>
        <v>1</v>
      </c>
      <c r="O20" s="50">
        <f t="shared" si="11"/>
        <v>-3.9000000000000146E-3</v>
      </c>
      <c r="P20" s="56"/>
    </row>
    <row r="21" spans="1:16" ht="16.5" customHeight="1" outlineLevel="1">
      <c r="A21" s="454">
        <v>2.2000000000000002</v>
      </c>
      <c r="B21" s="455" t="s">
        <v>187</v>
      </c>
      <c r="C21" s="51">
        <f t="shared" ref="C21:O21" si="13">SUM(C22:C27)</f>
        <v>130.95099272459734</v>
      </c>
      <c r="D21" s="51">
        <f t="shared" si="13"/>
        <v>1253.9101000000001</v>
      </c>
      <c r="E21" s="51">
        <v>1453.4849224240199</v>
      </c>
      <c r="F21" s="51">
        <f t="shared" si="13"/>
        <v>1278.8694</v>
      </c>
      <c r="G21" s="51">
        <f t="shared" si="13"/>
        <v>3.3290000000000002</v>
      </c>
      <c r="H21" s="51">
        <f t="shared" si="13"/>
        <v>0</v>
      </c>
      <c r="I21" s="51">
        <f t="shared" si="13"/>
        <v>0</v>
      </c>
      <c r="J21" s="51">
        <f t="shared" si="13"/>
        <v>1282.1984</v>
      </c>
      <c r="K21" s="51"/>
      <c r="L21" s="51">
        <f t="shared" si="13"/>
        <v>171.2619</v>
      </c>
      <c r="M21" s="57"/>
      <c r="N21" s="51">
        <f t="shared" si="13"/>
        <v>1453.4603000000002</v>
      </c>
      <c r="O21" s="51">
        <f t="shared" si="13"/>
        <v>199.5501999999999</v>
      </c>
      <c r="P21" s="58"/>
    </row>
    <row r="22" spans="1:16" ht="16.5" customHeight="1" outlineLevel="2">
      <c r="A22" s="449" t="s">
        <v>336</v>
      </c>
      <c r="B22" s="450" t="s">
        <v>337</v>
      </c>
      <c r="C22" s="50">
        <f t="shared" si="9"/>
        <v>79.899931230134683</v>
      </c>
      <c r="D22" s="50">
        <f>成本明细!E46</f>
        <v>765.07500000000005</v>
      </c>
      <c r="E22" s="50">
        <v>948.89</v>
      </c>
      <c r="F22" s="50">
        <f>成本明细!F46/10000</f>
        <v>780</v>
      </c>
      <c r="G22" s="50"/>
      <c r="H22" s="50"/>
      <c r="I22" s="50"/>
      <c r="J22" s="50">
        <f t="shared" si="12"/>
        <v>780</v>
      </c>
      <c r="K22" s="50"/>
      <c r="L22" s="50">
        <f>-31.11+200</f>
        <v>168.89</v>
      </c>
      <c r="M22" s="55" t="s">
        <v>565</v>
      </c>
      <c r="N22" s="50">
        <f t="shared" si="10"/>
        <v>948.89</v>
      </c>
      <c r="O22" s="50">
        <f t="shared" si="11"/>
        <v>183.81499999999994</v>
      </c>
      <c r="P22" s="56"/>
    </row>
    <row r="23" spans="1:16" ht="16.5" customHeight="1" outlineLevel="2">
      <c r="A23" s="449" t="s">
        <v>338</v>
      </c>
      <c r="B23" s="450" t="s">
        <v>339</v>
      </c>
      <c r="C23" s="50">
        <f t="shared" si="9"/>
        <v>7.3554618781535845</v>
      </c>
      <c r="D23" s="50">
        <f>成本明细!E49</f>
        <v>70.431600000000003</v>
      </c>
      <c r="E23" s="50">
        <v>73.329949999999997</v>
      </c>
      <c r="F23" s="50">
        <f>成本明细!F49/10000-3.329</f>
        <v>70.405000000000001</v>
      </c>
      <c r="G23" s="50">
        <v>3.3290000000000002</v>
      </c>
      <c r="H23" s="50"/>
      <c r="I23" s="50"/>
      <c r="J23" s="50">
        <f t="shared" si="12"/>
        <v>73.733999999999995</v>
      </c>
      <c r="K23" s="50"/>
      <c r="L23" s="50">
        <v>0</v>
      </c>
      <c r="M23" s="55"/>
      <c r="N23" s="50">
        <f t="shared" si="10"/>
        <v>73.733999999999995</v>
      </c>
      <c r="O23" s="50">
        <f t="shared" si="11"/>
        <v>3.3023999999999916</v>
      </c>
      <c r="P23" s="56" t="s">
        <v>340</v>
      </c>
    </row>
    <row r="24" spans="1:16" ht="16.5" customHeight="1" outlineLevel="2">
      <c r="A24" s="449" t="s">
        <v>341</v>
      </c>
      <c r="B24" s="450" t="s">
        <v>342</v>
      </c>
      <c r="C24" s="50">
        <f t="shared" si="9"/>
        <v>28.025678260420051</v>
      </c>
      <c r="D24" s="50">
        <f>成本明细!E52</f>
        <v>268.35750000000002</v>
      </c>
      <c r="E24" s="50">
        <v>268.35745524191998</v>
      </c>
      <c r="F24" s="50">
        <f>成本明细!F52/10000</f>
        <v>268.35750000000002</v>
      </c>
      <c r="G24" s="50"/>
      <c r="H24" s="50"/>
      <c r="I24" s="50"/>
      <c r="J24" s="50">
        <f t="shared" si="12"/>
        <v>268.35750000000002</v>
      </c>
      <c r="K24" s="50"/>
      <c r="L24" s="50">
        <v>0</v>
      </c>
      <c r="M24" s="55"/>
      <c r="N24" s="50">
        <f t="shared" si="10"/>
        <v>268.35750000000002</v>
      </c>
      <c r="O24" s="50">
        <f t="shared" si="11"/>
        <v>0</v>
      </c>
      <c r="P24" s="56"/>
    </row>
    <row r="25" spans="1:16" ht="16.5" customHeight="1" outlineLevel="2">
      <c r="A25" s="449" t="s">
        <v>343</v>
      </c>
      <c r="B25" s="450" t="s">
        <v>188</v>
      </c>
      <c r="C25" s="50">
        <f t="shared" si="9"/>
        <v>5.2173404494739914</v>
      </c>
      <c r="D25" s="50">
        <f>成本明细!E55</f>
        <v>49.958199999999998</v>
      </c>
      <c r="E25" s="50">
        <v>49.778221242599997</v>
      </c>
      <c r="F25" s="50">
        <f>成本明细!F55/10000</f>
        <v>49.78</v>
      </c>
      <c r="G25" s="50"/>
      <c r="H25" s="50"/>
      <c r="I25" s="50"/>
      <c r="J25" s="50">
        <f t="shared" si="12"/>
        <v>49.78</v>
      </c>
      <c r="K25" s="50"/>
      <c r="L25" s="50">
        <v>0</v>
      </c>
      <c r="M25" s="55"/>
      <c r="N25" s="50">
        <f t="shared" si="10"/>
        <v>49.78</v>
      </c>
      <c r="O25" s="50">
        <f t="shared" si="11"/>
        <v>-0.17819999999999681</v>
      </c>
      <c r="P25" s="56"/>
    </row>
    <row r="26" spans="1:16" ht="16.5" customHeight="1" outlineLevel="2">
      <c r="A26" s="449" t="s">
        <v>344</v>
      </c>
      <c r="B26" s="450" t="s">
        <v>345</v>
      </c>
      <c r="C26" s="50">
        <f t="shared" si="9"/>
        <v>8.0787099044793358</v>
      </c>
      <c r="D26" s="50">
        <f>成本明细!E59</f>
        <v>77.356999999999999</v>
      </c>
      <c r="E26" s="50">
        <v>89.966935639499994</v>
      </c>
      <c r="F26" s="50">
        <f>成本明细!F59/10000</f>
        <v>89.968000000000004</v>
      </c>
      <c r="G26" s="50"/>
      <c r="H26" s="50"/>
      <c r="I26" s="50"/>
      <c r="J26" s="50">
        <f t="shared" si="12"/>
        <v>89.968000000000004</v>
      </c>
      <c r="K26" s="50"/>
      <c r="L26" s="50">
        <v>0</v>
      </c>
      <c r="M26" s="55"/>
      <c r="N26" s="50">
        <f t="shared" si="10"/>
        <v>89.968000000000004</v>
      </c>
      <c r="O26" s="50">
        <f t="shared" si="11"/>
        <v>12.611000000000004</v>
      </c>
      <c r="P26" s="56" t="s">
        <v>346</v>
      </c>
    </row>
    <row r="27" spans="1:16" ht="16.5" customHeight="1" outlineLevel="2">
      <c r="A27" s="449" t="s">
        <v>347</v>
      </c>
      <c r="B27" s="450" t="s">
        <v>193</v>
      </c>
      <c r="C27" s="50">
        <f t="shared" si="9"/>
        <v>2.3738710019356861</v>
      </c>
      <c r="D27" s="50">
        <f>成本明细!E64</f>
        <v>22.730799999999999</v>
      </c>
      <c r="E27" s="50">
        <v>22.7307603</v>
      </c>
      <c r="F27" s="50">
        <f>成本明细!F64/10000</f>
        <v>20.358899999999998</v>
      </c>
      <c r="G27" s="50"/>
      <c r="H27" s="50"/>
      <c r="I27" s="50"/>
      <c r="J27" s="50">
        <f t="shared" si="12"/>
        <v>20.358899999999998</v>
      </c>
      <c r="K27" s="50"/>
      <c r="L27" s="50">
        <f>D27-J27</f>
        <v>2.3719000000000001</v>
      </c>
      <c r="M27" s="55" t="s">
        <v>566</v>
      </c>
      <c r="N27" s="50">
        <f t="shared" si="10"/>
        <v>22.730799999999999</v>
      </c>
      <c r="O27" s="50">
        <f t="shared" si="11"/>
        <v>0</v>
      </c>
      <c r="P27" s="56"/>
    </row>
    <row r="28" spans="1:16" ht="16.5" customHeight="1" outlineLevel="1">
      <c r="A28" s="454">
        <v>2.2999999999999998</v>
      </c>
      <c r="B28" s="455" t="s">
        <v>348</v>
      </c>
      <c r="C28" s="51">
        <f t="shared" ref="C28:F28" si="14">SUM(C29:C35)</f>
        <v>89.479985984941649</v>
      </c>
      <c r="D28" s="51">
        <f t="shared" si="14"/>
        <v>856.80799999999999</v>
      </c>
      <c r="E28" s="51">
        <v>872.73927721860002</v>
      </c>
      <c r="F28" s="51">
        <f t="shared" si="14"/>
        <v>834.97069999999997</v>
      </c>
      <c r="G28" s="51">
        <f t="shared" ref="G28:O28" si="15">SUM(G29:G35)</f>
        <v>0</v>
      </c>
      <c r="H28" s="51">
        <f t="shared" si="15"/>
        <v>0</v>
      </c>
      <c r="I28" s="51">
        <f t="shared" si="15"/>
        <v>0</v>
      </c>
      <c r="J28" s="51">
        <f t="shared" si="15"/>
        <v>834.97069999999997</v>
      </c>
      <c r="K28" s="51"/>
      <c r="L28" s="51">
        <f t="shared" si="15"/>
        <v>37.7453</v>
      </c>
      <c r="M28" s="57"/>
      <c r="N28" s="51">
        <f t="shared" si="15"/>
        <v>872.71600000000001</v>
      </c>
      <c r="O28" s="51">
        <f t="shared" si="15"/>
        <v>15.907999999999971</v>
      </c>
      <c r="P28" s="58"/>
    </row>
    <row r="29" spans="1:16" ht="16.5" customHeight="1" outlineLevel="2">
      <c r="A29" s="449" t="s">
        <v>349</v>
      </c>
      <c r="B29" s="450" t="s">
        <v>350</v>
      </c>
      <c r="C29" s="50">
        <f t="shared" si="9"/>
        <v>5.3069031472787342</v>
      </c>
      <c r="D29" s="50">
        <f>成本明细!E76</f>
        <v>50.815800000000003</v>
      </c>
      <c r="E29" s="50">
        <v>77.620085900999996</v>
      </c>
      <c r="F29" s="50">
        <f>成本明细!F76/10000</f>
        <v>65.617699999999999</v>
      </c>
      <c r="G29" s="50"/>
      <c r="H29" s="50"/>
      <c r="I29" s="50"/>
      <c r="J29" s="50">
        <f t="shared" si="12"/>
        <v>65.617699999999999</v>
      </c>
      <c r="K29" s="50"/>
      <c r="L29" s="50">
        <v>12</v>
      </c>
      <c r="M29" s="59" t="s">
        <v>567</v>
      </c>
      <c r="N29" s="50">
        <f t="shared" si="10"/>
        <v>77.617699999999999</v>
      </c>
      <c r="O29" s="50">
        <f t="shared" si="11"/>
        <v>26.801899999999996</v>
      </c>
      <c r="P29" s="56" t="s">
        <v>351</v>
      </c>
    </row>
    <row r="30" spans="1:16" ht="16.5" customHeight="1" outlineLevel="2">
      <c r="A30" s="449" t="s">
        <v>352</v>
      </c>
      <c r="B30" s="450" t="s">
        <v>353</v>
      </c>
      <c r="C30" s="50">
        <f t="shared" si="9"/>
        <v>0.62389985186020658</v>
      </c>
      <c r="D30" s="50">
        <f>成本明细!E84</f>
        <v>5.9741</v>
      </c>
      <c r="E30" s="50">
        <v>5.9740877147999996</v>
      </c>
      <c r="F30" s="50">
        <f>成本明细!F84/10000</f>
        <v>5.9504999999999999</v>
      </c>
      <c r="G30" s="50"/>
      <c r="H30" s="50"/>
      <c r="I30" s="50"/>
      <c r="J30" s="50">
        <f t="shared" si="12"/>
        <v>5.9504999999999999</v>
      </c>
      <c r="K30" s="50"/>
      <c r="L30" s="50">
        <v>0</v>
      </c>
      <c r="M30" s="55"/>
      <c r="N30" s="50">
        <f t="shared" si="10"/>
        <v>5.9504999999999999</v>
      </c>
      <c r="O30" s="50">
        <f t="shared" si="11"/>
        <v>-2.3600000000000065E-2</v>
      </c>
      <c r="P30" s="56"/>
    </row>
    <row r="31" spans="1:16" ht="16.5" customHeight="1" outlineLevel="2">
      <c r="A31" s="449" t="s">
        <v>354</v>
      </c>
      <c r="B31" s="450" t="s">
        <v>355</v>
      </c>
      <c r="C31" s="50">
        <f t="shared" si="9"/>
        <v>0</v>
      </c>
      <c r="D31" s="50">
        <f>成本明细!E88</f>
        <v>0</v>
      </c>
      <c r="E31" s="50">
        <v>0</v>
      </c>
      <c r="F31" s="50">
        <f>成本明细!F88</f>
        <v>0</v>
      </c>
      <c r="G31" s="50"/>
      <c r="H31" s="50"/>
      <c r="I31" s="50"/>
      <c r="J31" s="50">
        <f t="shared" si="12"/>
        <v>0</v>
      </c>
      <c r="K31" s="50"/>
      <c r="L31" s="50">
        <v>0</v>
      </c>
      <c r="M31" s="55"/>
      <c r="N31" s="50">
        <f t="shared" si="10"/>
        <v>0</v>
      </c>
      <c r="O31" s="50">
        <f t="shared" si="11"/>
        <v>0</v>
      </c>
      <c r="P31" s="56"/>
    </row>
    <row r="32" spans="1:16" ht="16.5" customHeight="1" outlineLevel="2">
      <c r="A32" s="449" t="s">
        <v>356</v>
      </c>
      <c r="B32" s="450" t="s">
        <v>357</v>
      </c>
      <c r="C32" s="50">
        <f t="shared" si="9"/>
        <v>72.969641524675438</v>
      </c>
      <c r="D32" s="50">
        <f>成本明细!E91</f>
        <v>698.71460000000002</v>
      </c>
      <c r="E32" s="50">
        <v>674.99976657599996</v>
      </c>
      <c r="F32" s="50">
        <f>成本明细!F91/10000</f>
        <v>675</v>
      </c>
      <c r="G32" s="50"/>
      <c r="H32" s="50"/>
      <c r="I32" s="50"/>
      <c r="J32" s="50">
        <f t="shared" si="12"/>
        <v>675</v>
      </c>
      <c r="K32" s="50"/>
      <c r="L32" s="50">
        <v>0</v>
      </c>
      <c r="M32" s="55"/>
      <c r="N32" s="50">
        <f t="shared" si="10"/>
        <v>675</v>
      </c>
      <c r="O32" s="50">
        <f t="shared" si="11"/>
        <v>-23.714600000000019</v>
      </c>
      <c r="P32" s="56"/>
    </row>
    <row r="33" spans="1:16" ht="16.5" customHeight="1" outlineLevel="2">
      <c r="A33" s="449" t="s">
        <v>358</v>
      </c>
      <c r="B33" s="450" t="s">
        <v>359</v>
      </c>
      <c r="C33" s="50">
        <f t="shared" si="9"/>
        <v>4.8609172552834528</v>
      </c>
      <c r="D33" s="50">
        <f>成本明细!E94</f>
        <v>46.545299999999997</v>
      </c>
      <c r="E33" s="50">
        <v>46.545287999999999</v>
      </c>
      <c r="F33" s="50">
        <f>成本明细!F94/10000</f>
        <v>33.799999999999997</v>
      </c>
      <c r="G33" s="50"/>
      <c r="H33" s="50"/>
      <c r="I33" s="50"/>
      <c r="J33" s="50">
        <f t="shared" si="12"/>
        <v>33.799999999999997</v>
      </c>
      <c r="K33" s="50"/>
      <c r="L33" s="50">
        <f>D33-J33</f>
        <v>12.7453</v>
      </c>
      <c r="M33" s="55" t="s">
        <v>568</v>
      </c>
      <c r="N33" s="50">
        <f t="shared" si="10"/>
        <v>46.545299999999997</v>
      </c>
      <c r="O33" s="50">
        <f t="shared" si="11"/>
        <v>0</v>
      </c>
      <c r="P33" s="56"/>
    </row>
    <row r="34" spans="1:16" ht="16.5" customHeight="1" outlineLevel="2">
      <c r="A34" s="449" t="s">
        <v>360</v>
      </c>
      <c r="B34" s="450" t="s">
        <v>198</v>
      </c>
      <c r="C34" s="50">
        <f t="shared" si="9"/>
        <v>4.1520706935417424</v>
      </c>
      <c r="D34" s="50">
        <f>成本明细!E98</f>
        <v>39.757800000000003</v>
      </c>
      <c r="E34" s="50">
        <v>52.599666336600002</v>
      </c>
      <c r="F34" s="50">
        <f>成本明细!F98/10000</f>
        <v>39.602499999999999</v>
      </c>
      <c r="G34" s="50"/>
      <c r="H34" s="50"/>
      <c r="I34" s="50"/>
      <c r="J34" s="50">
        <f t="shared" si="12"/>
        <v>39.602499999999999</v>
      </c>
      <c r="K34" s="50"/>
      <c r="L34" s="50">
        <v>13</v>
      </c>
      <c r="M34" s="55" t="s">
        <v>569</v>
      </c>
      <c r="N34" s="50">
        <f t="shared" si="10"/>
        <v>52.602499999999999</v>
      </c>
      <c r="O34" s="50">
        <f t="shared" si="11"/>
        <v>12.844699999999996</v>
      </c>
      <c r="P34" s="56"/>
    </row>
    <row r="35" spans="1:16" ht="16.5" customHeight="1" outlineLevel="2">
      <c r="A35" s="449" t="s">
        <v>361</v>
      </c>
      <c r="B35" s="450" t="s">
        <v>362</v>
      </c>
      <c r="C35" s="50">
        <f t="shared" si="9"/>
        <v>1.566553512302078</v>
      </c>
      <c r="D35" s="50">
        <f>成本明细!E103</f>
        <v>15.000400000000001</v>
      </c>
      <c r="E35" s="50">
        <v>15.0003826902</v>
      </c>
      <c r="F35" s="50">
        <f>成本明细!F103/10000</f>
        <v>15</v>
      </c>
      <c r="G35" s="50"/>
      <c r="H35" s="50"/>
      <c r="I35" s="50"/>
      <c r="J35" s="50">
        <f t="shared" si="12"/>
        <v>15</v>
      </c>
      <c r="K35" s="50"/>
      <c r="L35" s="50">
        <v>0</v>
      </c>
      <c r="M35" s="55"/>
      <c r="N35" s="50">
        <f t="shared" si="10"/>
        <v>15</v>
      </c>
      <c r="O35" s="50">
        <f t="shared" si="11"/>
        <v>-4.0000000000084412E-4</v>
      </c>
      <c r="P35" s="56"/>
    </row>
    <row r="36" spans="1:16" ht="16.5" customHeight="1" outlineLevel="1">
      <c r="A36" s="454">
        <v>2.4</v>
      </c>
      <c r="B36" s="455" t="s">
        <v>363</v>
      </c>
      <c r="C36" s="51">
        <f t="shared" ref="C36:O36" si="16">SUM(C37:C40)</f>
        <v>12.7644702605579</v>
      </c>
      <c r="D36" s="51">
        <f t="shared" si="16"/>
        <v>122.2251</v>
      </c>
      <c r="E36" s="51">
        <v>110.0004791304</v>
      </c>
      <c r="F36" s="51">
        <f t="shared" si="16"/>
        <v>115.674882</v>
      </c>
      <c r="G36" s="51">
        <f t="shared" si="16"/>
        <v>0</v>
      </c>
      <c r="H36" s="51">
        <f t="shared" si="16"/>
        <v>0</v>
      </c>
      <c r="I36" s="51">
        <f t="shared" si="16"/>
        <v>0</v>
      </c>
      <c r="J36" s="51">
        <f t="shared" si="16"/>
        <v>115.674882</v>
      </c>
      <c r="K36" s="51"/>
      <c r="L36" s="51">
        <f t="shared" si="16"/>
        <v>19.145170000000007</v>
      </c>
      <c r="M36" s="57"/>
      <c r="N36" s="51">
        <f t="shared" si="16"/>
        <v>134.820052</v>
      </c>
      <c r="O36" s="51">
        <f t="shared" si="16"/>
        <v>12.594951999999999</v>
      </c>
      <c r="P36" s="58"/>
    </row>
    <row r="37" spans="1:16" ht="16.5" customHeight="1" outlineLevel="2">
      <c r="A37" s="449" t="s">
        <v>364</v>
      </c>
      <c r="B37" s="450" t="s">
        <v>365</v>
      </c>
      <c r="C37" s="50">
        <f t="shared" si="9"/>
        <v>3.0470637565055929</v>
      </c>
      <c r="D37" s="50">
        <f>成本明细!E109</f>
        <v>29.1769</v>
      </c>
      <c r="E37" s="50">
        <v>30.873489530400001</v>
      </c>
      <c r="F37" s="50">
        <f>成本明细!F109/10000</f>
        <v>30.8733</v>
      </c>
      <c r="G37" s="50"/>
      <c r="H37" s="50"/>
      <c r="I37" s="50"/>
      <c r="J37" s="50">
        <f t="shared" si="12"/>
        <v>30.8733</v>
      </c>
      <c r="K37" s="50"/>
      <c r="L37" s="50">
        <v>0</v>
      </c>
      <c r="M37" s="55"/>
      <c r="N37" s="50">
        <f t="shared" si="10"/>
        <v>30.8733</v>
      </c>
      <c r="O37" s="50">
        <f t="shared" si="11"/>
        <v>1.6964000000000006</v>
      </c>
      <c r="P37" s="56"/>
    </row>
    <row r="38" spans="1:16" ht="16.5" customHeight="1" outlineLevel="2">
      <c r="A38" s="449" t="s">
        <v>366</v>
      </c>
      <c r="B38" s="450" t="s">
        <v>367</v>
      </c>
      <c r="C38" s="50">
        <f t="shared" si="9"/>
        <v>2.4304534059359311</v>
      </c>
      <c r="D38" s="50">
        <f>成本明细!E114</f>
        <v>23.272600000000001</v>
      </c>
      <c r="E38" s="50">
        <v>23.272644</v>
      </c>
      <c r="F38" s="50">
        <f>成本明细!F114/10000</f>
        <v>24.611152000000001</v>
      </c>
      <c r="G38" s="50"/>
      <c r="H38" s="50"/>
      <c r="I38" s="50"/>
      <c r="J38" s="50">
        <f t="shared" si="12"/>
        <v>24.611152000000001</v>
      </c>
      <c r="K38" s="50"/>
      <c r="L38" s="50">
        <f>4.56+3+2</f>
        <v>9.5599999999999987</v>
      </c>
      <c r="M38" s="55" t="s">
        <v>570</v>
      </c>
      <c r="N38" s="50">
        <f t="shared" si="10"/>
        <v>34.171151999999999</v>
      </c>
      <c r="O38" s="50">
        <f t="shared" si="11"/>
        <v>10.898551999999999</v>
      </c>
      <c r="P38" s="56"/>
    </row>
    <row r="39" spans="1:16" ht="16.5" customHeight="1" outlineLevel="2">
      <c r="A39" s="449" t="s">
        <v>368</v>
      </c>
      <c r="B39" s="450" t="s">
        <v>369</v>
      </c>
      <c r="C39" s="50">
        <f t="shared" si="9"/>
        <v>0.972187628421327</v>
      </c>
      <c r="D39" s="50">
        <f>成本明细!E124</f>
        <v>9.3091000000000008</v>
      </c>
      <c r="E39" s="50">
        <v>9.3090575999999992</v>
      </c>
      <c r="F39" s="50">
        <f>成本明细!F124/10000</f>
        <v>9.2210000000000001</v>
      </c>
      <c r="G39" s="50"/>
      <c r="H39" s="50"/>
      <c r="I39" s="50"/>
      <c r="J39" s="50">
        <f t="shared" si="12"/>
        <v>9.2210000000000001</v>
      </c>
      <c r="K39" s="50"/>
      <c r="L39" s="50">
        <f t="shared" ref="L39:L43" si="17">D39-J39</f>
        <v>8.8100000000000733E-2</v>
      </c>
      <c r="M39" s="55" t="s">
        <v>571</v>
      </c>
      <c r="N39" s="50">
        <f t="shared" si="10"/>
        <v>9.3091000000000008</v>
      </c>
      <c r="O39" s="50">
        <f t="shared" si="11"/>
        <v>0</v>
      </c>
      <c r="P39" s="56"/>
    </row>
    <row r="40" spans="1:16" ht="16.5" customHeight="1" outlineLevel="2">
      <c r="A40" s="449" t="s">
        <v>370</v>
      </c>
      <c r="B40" s="450" t="s">
        <v>371</v>
      </c>
      <c r="C40" s="50">
        <f t="shared" si="9"/>
        <v>6.3147654696950477</v>
      </c>
      <c r="D40" s="50">
        <f>成本明细!E129</f>
        <v>60.466500000000003</v>
      </c>
      <c r="E40" s="50">
        <v>46.545287999999999</v>
      </c>
      <c r="F40" s="50">
        <f>成本明细!F129/10000</f>
        <v>50.969429999999996</v>
      </c>
      <c r="G40" s="50"/>
      <c r="H40" s="50"/>
      <c r="I40" s="50"/>
      <c r="J40" s="50">
        <f t="shared" si="12"/>
        <v>50.969429999999996</v>
      </c>
      <c r="K40" s="50"/>
      <c r="L40" s="50">
        <f t="shared" si="17"/>
        <v>9.4970700000000079</v>
      </c>
      <c r="M40" s="55" t="s">
        <v>572</v>
      </c>
      <c r="N40" s="50">
        <f t="shared" si="10"/>
        <v>60.466500000000003</v>
      </c>
      <c r="O40" s="50">
        <f t="shared" si="11"/>
        <v>0</v>
      </c>
      <c r="P40" s="56"/>
    </row>
    <row r="41" spans="1:16" ht="16.5" customHeight="1" outlineLevel="1">
      <c r="A41" s="454">
        <v>2.5</v>
      </c>
      <c r="B41" s="455" t="s">
        <v>372</v>
      </c>
      <c r="C41" s="51">
        <f t="shared" ref="C41:F41" si="18">SUM(C42:C45)</f>
        <v>5.9685454886289531</v>
      </c>
      <c r="D41" s="51">
        <f t="shared" si="18"/>
        <v>57.151299999999999</v>
      </c>
      <c r="E41" s="51">
        <v>144.42374505012</v>
      </c>
      <c r="F41" s="51">
        <f t="shared" si="18"/>
        <v>33.75</v>
      </c>
      <c r="G41" s="51">
        <f t="shared" ref="G41:O41" si="19">SUM(G42:G45)</f>
        <v>0</v>
      </c>
      <c r="H41" s="51">
        <f t="shared" si="19"/>
        <v>0</v>
      </c>
      <c r="I41" s="51">
        <f t="shared" si="19"/>
        <v>0</v>
      </c>
      <c r="J41" s="51">
        <f t="shared" si="19"/>
        <v>33.75</v>
      </c>
      <c r="K41" s="51"/>
      <c r="L41" s="51">
        <f t="shared" si="19"/>
        <v>23.272600000000001</v>
      </c>
      <c r="M41" s="57"/>
      <c r="N41" s="51">
        <f t="shared" si="19"/>
        <v>57.022599999999997</v>
      </c>
      <c r="O41" s="51">
        <f t="shared" si="19"/>
        <v>-0.12870000000000026</v>
      </c>
      <c r="P41" s="58"/>
    </row>
    <row r="42" spans="1:16" ht="16.5" customHeight="1" outlineLevel="2">
      <c r="A42" s="449" t="s">
        <v>373</v>
      </c>
      <c r="B42" s="450" t="s">
        <v>189</v>
      </c>
      <c r="C42" s="50">
        <f t="shared" si="9"/>
        <v>2.4376280296989741</v>
      </c>
      <c r="D42" s="50">
        <f>成本明细!E134</f>
        <v>23.3413</v>
      </c>
      <c r="E42" s="50">
        <v>23.341298299799998</v>
      </c>
      <c r="F42" s="50">
        <f>成本明细!F134/10000</f>
        <v>23.25</v>
      </c>
      <c r="G42" s="50"/>
      <c r="H42" s="50"/>
      <c r="I42" s="50"/>
      <c r="J42" s="50">
        <f t="shared" si="12"/>
        <v>23.25</v>
      </c>
      <c r="K42" s="50"/>
      <c r="L42" s="50">
        <v>0</v>
      </c>
      <c r="M42" s="55"/>
      <c r="N42" s="50">
        <f t="shared" si="10"/>
        <v>23.25</v>
      </c>
      <c r="O42" s="50">
        <f t="shared" si="11"/>
        <v>-9.1300000000000381E-2</v>
      </c>
      <c r="P42" s="56"/>
    </row>
    <row r="43" spans="1:16" ht="16.5" customHeight="1" outlineLevel="2">
      <c r="A43" s="449" t="s">
        <v>374</v>
      </c>
      <c r="B43" s="450" t="s">
        <v>375</v>
      </c>
      <c r="C43" s="50">
        <f t="shared" si="9"/>
        <v>2.4304534059359311</v>
      </c>
      <c r="D43" s="50">
        <f>成本明细!E138</f>
        <v>23.272600000000001</v>
      </c>
      <c r="E43" s="50">
        <v>23.272644</v>
      </c>
      <c r="F43" s="50">
        <f>成本明细!F138/10000</f>
        <v>0</v>
      </c>
      <c r="G43" s="50"/>
      <c r="H43" s="50"/>
      <c r="I43" s="50"/>
      <c r="J43" s="50">
        <f t="shared" si="12"/>
        <v>0</v>
      </c>
      <c r="K43" s="50"/>
      <c r="L43" s="50">
        <f t="shared" si="17"/>
        <v>23.272600000000001</v>
      </c>
      <c r="M43" s="55"/>
      <c r="N43" s="50">
        <f t="shared" si="10"/>
        <v>23.272600000000001</v>
      </c>
      <c r="O43" s="50">
        <f t="shared" si="11"/>
        <v>0</v>
      </c>
      <c r="P43" s="56"/>
    </row>
    <row r="44" spans="1:16" ht="16.5" customHeight="1" outlineLevel="2">
      <c r="A44" s="449" t="s">
        <v>376</v>
      </c>
      <c r="B44" s="450" t="s">
        <v>377</v>
      </c>
      <c r="C44" s="50">
        <f t="shared" si="9"/>
        <v>0</v>
      </c>
      <c r="D44" s="50">
        <f>成本明细!E141</f>
        <v>0</v>
      </c>
      <c r="E44" s="50">
        <v>0</v>
      </c>
      <c r="F44" s="50">
        <f>成本明细!F141/10000</f>
        <v>0</v>
      </c>
      <c r="G44" s="50"/>
      <c r="H44" s="50"/>
      <c r="I44" s="50"/>
      <c r="J44" s="50">
        <f t="shared" si="12"/>
        <v>0</v>
      </c>
      <c r="K44" s="50"/>
      <c r="L44" s="50">
        <v>0</v>
      </c>
      <c r="M44" s="55"/>
      <c r="N44" s="50">
        <f t="shared" si="10"/>
        <v>0</v>
      </c>
      <c r="O44" s="50">
        <f t="shared" si="11"/>
        <v>0</v>
      </c>
      <c r="P44" s="56" t="s">
        <v>573</v>
      </c>
    </row>
    <row r="45" spans="1:16" ht="16.5" customHeight="1" outlineLevel="2">
      <c r="A45" s="449" t="s">
        <v>378</v>
      </c>
      <c r="B45" s="450" t="s">
        <v>379</v>
      </c>
      <c r="C45" s="50">
        <f t="shared" si="9"/>
        <v>1.1004640529940477</v>
      </c>
      <c r="D45" s="50">
        <f>成本明细!E144</f>
        <v>10.5374</v>
      </c>
      <c r="E45" s="50">
        <v>10.537387750320001</v>
      </c>
      <c r="F45" s="50">
        <f>成本明细!F144/10000</f>
        <v>10.5</v>
      </c>
      <c r="G45" s="50"/>
      <c r="H45" s="50"/>
      <c r="I45" s="50"/>
      <c r="J45" s="50">
        <f t="shared" si="12"/>
        <v>10.5</v>
      </c>
      <c r="K45" s="50"/>
      <c r="L45" s="50">
        <v>0</v>
      </c>
      <c r="M45" s="55"/>
      <c r="N45" s="50">
        <f t="shared" si="10"/>
        <v>10.5</v>
      </c>
      <c r="O45" s="50">
        <f t="shared" si="11"/>
        <v>-3.7399999999999878E-2</v>
      </c>
      <c r="P45" s="56"/>
    </row>
    <row r="46" spans="1:16" ht="16.5" customHeight="1" outlineLevel="2">
      <c r="A46" s="449" t="s">
        <v>380</v>
      </c>
      <c r="B46" s="52" t="s">
        <v>381</v>
      </c>
      <c r="C46" s="50">
        <f t="shared" si="9"/>
        <v>0</v>
      </c>
      <c r="D46" s="50">
        <f>成本明细!E143</f>
        <v>0</v>
      </c>
      <c r="E46" s="50">
        <v>52.363449000000003</v>
      </c>
      <c r="F46" s="50">
        <f>成本明细!F143/10000</f>
        <v>0</v>
      </c>
      <c r="G46" s="50"/>
      <c r="H46" s="50"/>
      <c r="I46" s="50"/>
      <c r="J46" s="50">
        <f t="shared" si="12"/>
        <v>0</v>
      </c>
      <c r="K46" s="50"/>
      <c r="L46" s="50">
        <v>0</v>
      </c>
      <c r="M46" s="55"/>
      <c r="N46" s="50">
        <f t="shared" si="10"/>
        <v>0</v>
      </c>
      <c r="O46" s="50">
        <f t="shared" si="11"/>
        <v>0</v>
      </c>
      <c r="P46" s="56" t="s">
        <v>573</v>
      </c>
    </row>
    <row r="47" spans="1:16" ht="16.5" customHeight="1" outlineLevel="2">
      <c r="A47" s="449" t="s">
        <v>382</v>
      </c>
      <c r="B47" s="52" t="s">
        <v>383</v>
      </c>
      <c r="C47" s="50">
        <f t="shared" si="9"/>
        <v>0</v>
      </c>
      <c r="D47" s="50">
        <f>成本明细!E146</f>
        <v>0</v>
      </c>
      <c r="E47" s="50">
        <v>34.908965999999999</v>
      </c>
      <c r="F47" s="50">
        <f>成本明细!F146/10000</f>
        <v>0</v>
      </c>
      <c r="G47" s="50"/>
      <c r="H47" s="50"/>
      <c r="I47" s="50"/>
      <c r="J47" s="50">
        <f t="shared" si="12"/>
        <v>0</v>
      </c>
      <c r="K47" s="50"/>
      <c r="L47" s="50">
        <v>0</v>
      </c>
      <c r="M47" s="55"/>
      <c r="N47" s="50">
        <f t="shared" si="10"/>
        <v>0</v>
      </c>
      <c r="O47" s="50">
        <f t="shared" si="11"/>
        <v>0</v>
      </c>
      <c r="P47" s="56"/>
    </row>
    <row r="48" spans="1:16" ht="16.5" customHeight="1" outlineLevel="1">
      <c r="A48" s="454">
        <v>2.6</v>
      </c>
      <c r="B48" s="455" t="s">
        <v>384</v>
      </c>
      <c r="C48" s="51">
        <f t="shared" ref="C48:O48" si="20">SUM(C49:C54)</f>
        <v>9.064494854792196</v>
      </c>
      <c r="D48" s="51">
        <f t="shared" si="20"/>
        <v>86.796300000000016</v>
      </c>
      <c r="E48" s="51">
        <v>86.796199953400006</v>
      </c>
      <c r="F48" s="51">
        <f t="shared" si="20"/>
        <v>80.407815999999997</v>
      </c>
      <c r="G48" s="51">
        <f t="shared" si="20"/>
        <v>0</v>
      </c>
      <c r="H48" s="51">
        <f t="shared" si="20"/>
        <v>0</v>
      </c>
      <c r="I48" s="51">
        <f t="shared" si="20"/>
        <v>0</v>
      </c>
      <c r="J48" s="51">
        <f t="shared" si="20"/>
        <v>80.407815999999997</v>
      </c>
      <c r="K48" s="51"/>
      <c r="L48" s="51">
        <f t="shared" si="20"/>
        <v>5.9272089999999986</v>
      </c>
      <c r="M48" s="57"/>
      <c r="N48" s="51">
        <f t="shared" si="20"/>
        <v>86.335025000000016</v>
      </c>
      <c r="O48" s="51">
        <f t="shared" si="20"/>
        <v>-0.46127500000000732</v>
      </c>
      <c r="P48" s="58"/>
    </row>
    <row r="49" spans="1:16" ht="16.5" customHeight="1" outlineLevel="2">
      <c r="A49" s="449" t="s">
        <v>385</v>
      </c>
      <c r="B49" s="450" t="s">
        <v>194</v>
      </c>
      <c r="C49" s="50">
        <f t="shared" si="9"/>
        <v>2.9165524418523896</v>
      </c>
      <c r="D49" s="50">
        <f>成本明细!E148</f>
        <v>27.927199999999999</v>
      </c>
      <c r="E49" s="50">
        <v>27.927172800000001</v>
      </c>
      <c r="F49" s="50">
        <f>成本明细!F148/10000</f>
        <v>27.827709999999996</v>
      </c>
      <c r="G49" s="50"/>
      <c r="H49" s="50"/>
      <c r="I49" s="50"/>
      <c r="J49" s="50">
        <f t="shared" si="12"/>
        <v>27.827709999999996</v>
      </c>
      <c r="K49" s="50"/>
      <c r="L49" s="50">
        <v>0</v>
      </c>
      <c r="M49" s="55"/>
      <c r="N49" s="50">
        <f t="shared" si="10"/>
        <v>27.827709999999996</v>
      </c>
      <c r="O49" s="50">
        <f t="shared" si="11"/>
        <v>-9.9490000000002965E-2</v>
      </c>
      <c r="P49" s="56"/>
    </row>
    <row r="50" spans="1:16" ht="16.5" customHeight="1" outlineLevel="2">
      <c r="A50" s="449" t="s">
        <v>386</v>
      </c>
      <c r="B50" s="450" t="s">
        <v>195</v>
      </c>
      <c r="C50" s="50">
        <f t="shared" si="9"/>
        <v>1.0937071656946462</v>
      </c>
      <c r="D50" s="50">
        <f>成本明细!E152</f>
        <v>10.4727</v>
      </c>
      <c r="E50" s="50">
        <v>10.472689799999999</v>
      </c>
      <c r="F50" s="50">
        <f>成本明细!F152/10000</f>
        <v>10.363691000000001</v>
      </c>
      <c r="G50" s="50"/>
      <c r="H50" s="50"/>
      <c r="I50" s="50"/>
      <c r="J50" s="50">
        <f t="shared" si="12"/>
        <v>10.363691000000001</v>
      </c>
      <c r="K50" s="50"/>
      <c r="L50" s="50">
        <f>D50-J50</f>
        <v>0.10900899999999858</v>
      </c>
      <c r="M50" s="55" t="s">
        <v>574</v>
      </c>
      <c r="N50" s="50">
        <f t="shared" si="10"/>
        <v>10.4727</v>
      </c>
      <c r="O50" s="50">
        <f t="shared" si="11"/>
        <v>0</v>
      </c>
      <c r="P50" s="56"/>
    </row>
    <row r="51" spans="1:16" ht="16.5" customHeight="1" outlineLevel="2">
      <c r="A51" s="449" t="s">
        <v>387</v>
      </c>
      <c r="B51" s="450" t="s">
        <v>388</v>
      </c>
      <c r="C51" s="50">
        <f t="shared" si="9"/>
        <v>3.5541853799548115</v>
      </c>
      <c r="D51" s="50">
        <f>成本明细!E156</f>
        <v>34.032800000000002</v>
      </c>
      <c r="E51" s="50">
        <v>34.032750953399997</v>
      </c>
      <c r="F51" s="50">
        <f>成本明细!F156/10000</f>
        <v>33.9</v>
      </c>
      <c r="G51" s="50"/>
      <c r="H51" s="50"/>
      <c r="I51" s="50"/>
      <c r="J51" s="50">
        <f t="shared" si="12"/>
        <v>33.9</v>
      </c>
      <c r="K51" s="50"/>
      <c r="L51" s="50">
        <v>0</v>
      </c>
      <c r="M51" s="55"/>
      <c r="N51" s="50">
        <f t="shared" si="10"/>
        <v>33.9</v>
      </c>
      <c r="O51" s="50">
        <f t="shared" si="11"/>
        <v>-0.13280000000000314</v>
      </c>
      <c r="P51" s="56"/>
    </row>
    <row r="52" spans="1:16" ht="16.5" customHeight="1" outlineLevel="2">
      <c r="A52" s="449" t="s">
        <v>389</v>
      </c>
      <c r="B52" s="450" t="s">
        <v>390</v>
      </c>
      <c r="C52" s="50">
        <f t="shared" si="9"/>
        <v>0.85065764773641672</v>
      </c>
      <c r="D52" s="50">
        <f>成本明细!E159</f>
        <v>8.1454000000000004</v>
      </c>
      <c r="E52" s="50">
        <v>8.1454254000000006</v>
      </c>
      <c r="F52" s="50">
        <f>成本明细!F159/10000</f>
        <v>8.3164149999999992</v>
      </c>
      <c r="G52" s="50"/>
      <c r="H52" s="50"/>
      <c r="I52" s="50"/>
      <c r="J52" s="50">
        <f t="shared" si="12"/>
        <v>8.3164149999999992</v>
      </c>
      <c r="K52" s="50"/>
      <c r="L52" s="50">
        <v>0</v>
      </c>
      <c r="M52" s="55"/>
      <c r="N52" s="50">
        <f t="shared" si="10"/>
        <v>8.3164149999999992</v>
      </c>
      <c r="O52" s="50">
        <f t="shared" si="11"/>
        <v>0.17101499999999881</v>
      </c>
      <c r="P52" s="56"/>
    </row>
    <row r="53" spans="1:16" ht="16.5" customHeight="1" outlineLevel="2">
      <c r="A53" s="449" t="s">
        <v>391</v>
      </c>
      <c r="B53" s="450" t="s">
        <v>392</v>
      </c>
      <c r="C53" s="50">
        <f t="shared" si="9"/>
        <v>4.1773646364152366E-2</v>
      </c>
      <c r="D53" s="50">
        <f>成本明细!E162</f>
        <v>0.4</v>
      </c>
      <c r="E53" s="50">
        <v>0.4</v>
      </c>
      <c r="F53" s="50">
        <f>成本明细!F162/10000</f>
        <v>0</v>
      </c>
      <c r="G53" s="50"/>
      <c r="H53" s="50"/>
      <c r="I53" s="50"/>
      <c r="J53" s="50">
        <f t="shared" si="12"/>
        <v>0</v>
      </c>
      <c r="K53" s="50"/>
      <c r="L53" s="50">
        <v>0</v>
      </c>
      <c r="M53" s="55"/>
      <c r="N53" s="50">
        <f t="shared" si="10"/>
        <v>0</v>
      </c>
      <c r="O53" s="50">
        <f t="shared" si="11"/>
        <v>-0.4</v>
      </c>
      <c r="P53" s="56"/>
    </row>
    <row r="54" spans="1:16" ht="16.5" customHeight="1" outlineLevel="2">
      <c r="A54" s="449" t="s">
        <v>393</v>
      </c>
      <c r="B54" s="450" t="s">
        <v>394</v>
      </c>
      <c r="C54" s="50">
        <f t="shared" si="9"/>
        <v>0.60761857318977819</v>
      </c>
      <c r="D54" s="50">
        <f>成本明细!E165</f>
        <v>5.8182</v>
      </c>
      <c r="E54" s="50">
        <v>5.8181609999999999</v>
      </c>
      <c r="F54" s="50">
        <f>成本明细!F165/10000</f>
        <v>0</v>
      </c>
      <c r="G54" s="50"/>
      <c r="H54" s="50"/>
      <c r="I54" s="50"/>
      <c r="J54" s="50">
        <f t="shared" si="12"/>
        <v>0</v>
      </c>
      <c r="K54" s="50"/>
      <c r="L54" s="50">
        <f t="shared" ref="L54" si="21">D54-J54</f>
        <v>5.8182</v>
      </c>
      <c r="M54" s="55"/>
      <c r="N54" s="50">
        <f t="shared" si="10"/>
        <v>5.8182</v>
      </c>
      <c r="O54" s="50">
        <f t="shared" si="11"/>
        <v>0</v>
      </c>
      <c r="P54" s="56"/>
    </row>
    <row r="55" spans="1:16" ht="16.5" customHeight="1" outlineLevel="1">
      <c r="A55" s="454">
        <v>2.7</v>
      </c>
      <c r="B55" s="455" t="s">
        <v>395</v>
      </c>
      <c r="C55" s="51">
        <f t="shared" ref="C55:O55" si="22">SUM(C56:C61)</f>
        <v>5.2846064635318681</v>
      </c>
      <c r="D55" s="51">
        <f t="shared" si="22"/>
        <v>50.6023</v>
      </c>
      <c r="E55" s="51">
        <v>50.602304400000001</v>
      </c>
      <c r="F55" s="51">
        <f t="shared" si="22"/>
        <v>2.1980999999999997</v>
      </c>
      <c r="G55" s="51">
        <f t="shared" si="22"/>
        <v>0</v>
      </c>
      <c r="H55" s="51">
        <f t="shared" si="22"/>
        <v>0</v>
      </c>
      <c r="I55" s="51">
        <f t="shared" si="22"/>
        <v>0</v>
      </c>
      <c r="J55" s="51">
        <f t="shared" si="22"/>
        <v>2.1980999999999997</v>
      </c>
      <c r="K55" s="51"/>
      <c r="L55" s="51">
        <f t="shared" si="22"/>
        <v>48.404199999999996</v>
      </c>
      <c r="M55" s="57"/>
      <c r="N55" s="51">
        <f t="shared" si="22"/>
        <v>50.6023</v>
      </c>
      <c r="O55" s="51">
        <f t="shared" si="22"/>
        <v>0</v>
      </c>
      <c r="P55" s="58"/>
    </row>
    <row r="56" spans="1:16" ht="16.5" customHeight="1" outlineLevel="2">
      <c r="A56" s="449" t="s">
        <v>396</v>
      </c>
      <c r="B56" s="450" t="s">
        <v>190</v>
      </c>
      <c r="C56" s="50">
        <f t="shared" si="9"/>
        <v>1.0853628798334067</v>
      </c>
      <c r="D56" s="50">
        <f>成本明细!E169</f>
        <v>10.392799999999999</v>
      </c>
      <c r="E56" s="50">
        <v>10.392825</v>
      </c>
      <c r="F56" s="50">
        <f>成本明细!F169/10000</f>
        <v>0</v>
      </c>
      <c r="G56" s="50"/>
      <c r="H56" s="50"/>
      <c r="I56" s="50"/>
      <c r="J56" s="50">
        <f t="shared" si="12"/>
        <v>0</v>
      </c>
      <c r="K56" s="50"/>
      <c r="L56" s="50">
        <f>D56-J56</f>
        <v>10.392799999999999</v>
      </c>
      <c r="M56" s="55"/>
      <c r="N56" s="50">
        <f t="shared" si="10"/>
        <v>10.392799999999999</v>
      </c>
      <c r="O56" s="50">
        <f t="shared" si="11"/>
        <v>0</v>
      </c>
      <c r="P56" s="56"/>
    </row>
    <row r="57" spans="1:16" ht="16.5" customHeight="1" outlineLevel="2">
      <c r="A57" s="449" t="s">
        <v>397</v>
      </c>
      <c r="B57" s="450" t="s">
        <v>398</v>
      </c>
      <c r="C57" s="50">
        <f t="shared" si="9"/>
        <v>0.60761857318977819</v>
      </c>
      <c r="D57" s="50">
        <f>成本明细!E172</f>
        <v>5.8182</v>
      </c>
      <c r="E57" s="50">
        <v>5.8181609999999999</v>
      </c>
      <c r="F57" s="50">
        <f>成本明细!F172/10000</f>
        <v>0</v>
      </c>
      <c r="G57" s="50"/>
      <c r="H57" s="50"/>
      <c r="I57" s="50"/>
      <c r="J57" s="50">
        <f t="shared" si="12"/>
        <v>0</v>
      </c>
      <c r="K57" s="50"/>
      <c r="L57" s="50">
        <f t="shared" ref="L57:L69" si="23">D57-J57</f>
        <v>5.8182</v>
      </c>
      <c r="M57" s="55"/>
      <c r="N57" s="50">
        <f t="shared" si="10"/>
        <v>5.8182</v>
      </c>
      <c r="O57" s="50">
        <f t="shared" si="11"/>
        <v>0</v>
      </c>
      <c r="P57" s="56"/>
    </row>
    <row r="58" spans="1:16" ht="16.5" customHeight="1" outlineLevel="2">
      <c r="A58" s="449" t="s">
        <v>399</v>
      </c>
      <c r="B58" s="450" t="s">
        <v>191</v>
      </c>
      <c r="C58" s="50">
        <f t="shared" si="9"/>
        <v>1.0853628798334067</v>
      </c>
      <c r="D58" s="50">
        <f>成本明细!E175</f>
        <v>10.392799999999999</v>
      </c>
      <c r="E58" s="50">
        <v>10.392825</v>
      </c>
      <c r="F58" s="50">
        <f>成本明细!F175/10000</f>
        <v>0</v>
      </c>
      <c r="G58" s="50"/>
      <c r="H58" s="50"/>
      <c r="I58" s="50"/>
      <c r="J58" s="50">
        <f t="shared" si="12"/>
        <v>0</v>
      </c>
      <c r="K58" s="50"/>
      <c r="L58" s="50">
        <f t="shared" si="23"/>
        <v>10.392799999999999</v>
      </c>
      <c r="M58" s="55"/>
      <c r="N58" s="50">
        <f t="shared" si="10"/>
        <v>10.392799999999999</v>
      </c>
      <c r="O58" s="50">
        <f t="shared" si="11"/>
        <v>0</v>
      </c>
      <c r="P58" s="56"/>
    </row>
    <row r="59" spans="1:16" ht="16.5" customHeight="1" outlineLevel="2">
      <c r="A59" s="449" t="s">
        <v>400</v>
      </c>
      <c r="B59" s="450" t="s">
        <v>201</v>
      </c>
      <c r="C59" s="50">
        <f t="shared" si="9"/>
        <v>1.4582762209261948</v>
      </c>
      <c r="D59" s="50">
        <f>成本明细!E178</f>
        <v>13.9636</v>
      </c>
      <c r="E59" s="50">
        <v>13.963586400000001</v>
      </c>
      <c r="F59" s="50">
        <f>成本明细!F178/10000</f>
        <v>0</v>
      </c>
      <c r="G59" s="50"/>
      <c r="H59" s="50"/>
      <c r="I59" s="50"/>
      <c r="J59" s="50">
        <f t="shared" si="12"/>
        <v>0</v>
      </c>
      <c r="K59" s="50"/>
      <c r="L59" s="50">
        <f t="shared" si="23"/>
        <v>13.9636</v>
      </c>
      <c r="M59" s="55"/>
      <c r="N59" s="50">
        <f t="shared" si="10"/>
        <v>13.9636</v>
      </c>
      <c r="O59" s="50">
        <f t="shared" si="11"/>
        <v>0</v>
      </c>
      <c r="P59" s="56"/>
    </row>
    <row r="60" spans="1:16" ht="16.5" customHeight="1" outlineLevel="2">
      <c r="A60" s="449" t="s">
        <v>401</v>
      </c>
      <c r="B60" s="450" t="s">
        <v>204</v>
      </c>
      <c r="C60" s="50">
        <f t="shared" si="9"/>
        <v>0.80936439830545204</v>
      </c>
      <c r="D60" s="50">
        <f>成本明细!E181</f>
        <v>7.75</v>
      </c>
      <c r="E60" s="50">
        <v>7.75</v>
      </c>
      <c r="F60" s="50">
        <f>成本明细!F181/10000</f>
        <v>1.9644999999999999</v>
      </c>
      <c r="G60" s="50"/>
      <c r="H60" s="50"/>
      <c r="I60" s="50"/>
      <c r="J60" s="50">
        <f t="shared" si="12"/>
        <v>1.9644999999999999</v>
      </c>
      <c r="K60" s="50"/>
      <c r="L60" s="50">
        <f t="shared" si="23"/>
        <v>5.7854999999999999</v>
      </c>
      <c r="M60" s="55"/>
      <c r="N60" s="50">
        <f t="shared" si="10"/>
        <v>7.75</v>
      </c>
      <c r="O60" s="50">
        <f t="shared" si="11"/>
        <v>0</v>
      </c>
      <c r="P60" s="56"/>
    </row>
    <row r="61" spans="1:16" ht="16.5" customHeight="1" outlineLevel="2">
      <c r="A61" s="449" t="s">
        <v>402</v>
      </c>
      <c r="B61" s="450" t="s">
        <v>199</v>
      </c>
      <c r="C61" s="50">
        <f t="shared" si="9"/>
        <v>0.23862151144362934</v>
      </c>
      <c r="D61" s="50">
        <f>成本明细!E184</f>
        <v>2.2848999999999999</v>
      </c>
      <c r="E61" s="50">
        <v>2.284907</v>
      </c>
      <c r="F61" s="50">
        <f>成本明细!F184/10000</f>
        <v>0.2336</v>
      </c>
      <c r="G61" s="50"/>
      <c r="H61" s="50"/>
      <c r="I61" s="50"/>
      <c r="J61" s="50">
        <f t="shared" si="12"/>
        <v>0.2336</v>
      </c>
      <c r="K61" s="50"/>
      <c r="L61" s="50">
        <f t="shared" si="23"/>
        <v>2.0512999999999999</v>
      </c>
      <c r="M61" s="55"/>
      <c r="N61" s="50">
        <f t="shared" si="10"/>
        <v>2.2848999999999999</v>
      </c>
      <c r="O61" s="50">
        <f t="shared" si="11"/>
        <v>0</v>
      </c>
      <c r="P61" s="56"/>
    </row>
    <row r="62" spans="1:16" ht="16.5" customHeight="1" outlineLevel="1">
      <c r="A62" s="454">
        <v>2.8</v>
      </c>
      <c r="B62" s="455" t="s">
        <v>403</v>
      </c>
      <c r="C62" s="51">
        <f t="shared" ref="C62:O62" si="24">SUM(C63:C69)</f>
        <v>6.8123627017732389</v>
      </c>
      <c r="D62" s="51">
        <f t="shared" si="24"/>
        <v>65.231200000000001</v>
      </c>
      <c r="E62" s="51">
        <v>65.231194400000007</v>
      </c>
      <c r="F62" s="51">
        <f t="shared" si="24"/>
        <v>27.643030000000003</v>
      </c>
      <c r="G62" s="51">
        <f t="shared" si="24"/>
        <v>0</v>
      </c>
      <c r="H62" s="51">
        <f t="shared" si="24"/>
        <v>0</v>
      </c>
      <c r="I62" s="51">
        <f t="shared" si="24"/>
        <v>0</v>
      </c>
      <c r="J62" s="51">
        <f t="shared" si="24"/>
        <v>27.643030000000003</v>
      </c>
      <c r="K62" s="51"/>
      <c r="L62" s="51">
        <f t="shared" si="24"/>
        <v>37.588169999999998</v>
      </c>
      <c r="M62" s="57"/>
      <c r="N62" s="51">
        <f t="shared" si="24"/>
        <v>65.231200000000001</v>
      </c>
      <c r="O62" s="51">
        <f t="shared" si="24"/>
        <v>0</v>
      </c>
      <c r="P62" s="58"/>
    </row>
    <row r="63" spans="1:16" ht="16.5" customHeight="1" outlineLevel="2">
      <c r="A63" s="449" t="s">
        <v>404</v>
      </c>
      <c r="B63" s="450" t="s">
        <v>196</v>
      </c>
      <c r="C63" s="50">
        <f t="shared" si="9"/>
        <v>0.60761857318977819</v>
      </c>
      <c r="D63" s="50">
        <f>成本明细!E188</f>
        <v>5.8182</v>
      </c>
      <c r="E63" s="50">
        <v>5.8181609999999999</v>
      </c>
      <c r="F63" s="50">
        <f>成本明细!F188/10000</f>
        <v>1.612876</v>
      </c>
      <c r="G63" s="50"/>
      <c r="H63" s="50"/>
      <c r="I63" s="50"/>
      <c r="J63" s="50">
        <f t="shared" si="12"/>
        <v>1.612876</v>
      </c>
      <c r="K63" s="50"/>
      <c r="L63" s="50">
        <f t="shared" si="23"/>
        <v>4.2053240000000001</v>
      </c>
      <c r="M63" s="55"/>
      <c r="N63" s="50">
        <f t="shared" si="10"/>
        <v>5.8182</v>
      </c>
      <c r="O63" s="50">
        <f t="shared" si="11"/>
        <v>0</v>
      </c>
      <c r="P63" s="56"/>
    </row>
    <row r="64" spans="1:16" ht="16.5" customHeight="1" outlineLevel="2">
      <c r="A64" s="449" t="s">
        <v>405</v>
      </c>
      <c r="B64" s="450" t="s">
        <v>197</v>
      </c>
      <c r="C64" s="50">
        <f t="shared" si="9"/>
        <v>0.31330234773114274</v>
      </c>
      <c r="D64" s="50">
        <f>成本明细!E193</f>
        <v>3</v>
      </c>
      <c r="E64" s="50">
        <v>3</v>
      </c>
      <c r="F64" s="50">
        <f>成本明细!F193/10000</f>
        <v>2.4</v>
      </c>
      <c r="G64" s="50"/>
      <c r="H64" s="50"/>
      <c r="I64" s="50"/>
      <c r="J64" s="50">
        <f t="shared" si="12"/>
        <v>2.4</v>
      </c>
      <c r="K64" s="50"/>
      <c r="L64" s="50">
        <f t="shared" si="23"/>
        <v>0.60000000000000009</v>
      </c>
      <c r="M64" s="55"/>
      <c r="N64" s="50">
        <f t="shared" si="10"/>
        <v>3</v>
      </c>
      <c r="O64" s="50">
        <f t="shared" si="11"/>
        <v>0</v>
      </c>
      <c r="P64" s="56"/>
    </row>
    <row r="65" spans="1:16" ht="16.5" customHeight="1" outlineLevel="2">
      <c r="A65" s="449" t="s">
        <v>406</v>
      </c>
      <c r="B65" s="450" t="s">
        <v>407</v>
      </c>
      <c r="C65" s="50">
        <f t="shared" si="9"/>
        <v>0.57898273860715177</v>
      </c>
      <c r="D65" s="50">
        <f>成本明细!E198</f>
        <v>5.5439999999999996</v>
      </c>
      <c r="E65" s="50">
        <v>5.5439999999999996</v>
      </c>
      <c r="F65" s="50">
        <f>成本明细!F198/10000</f>
        <v>2.5680000000000001</v>
      </c>
      <c r="G65" s="50"/>
      <c r="H65" s="50"/>
      <c r="I65" s="50"/>
      <c r="J65" s="50">
        <f t="shared" si="12"/>
        <v>2.5680000000000001</v>
      </c>
      <c r="K65" s="50"/>
      <c r="L65" s="50">
        <f t="shared" si="23"/>
        <v>2.9759999999999995</v>
      </c>
      <c r="M65" s="55"/>
      <c r="N65" s="50">
        <f t="shared" si="10"/>
        <v>5.5439999999999996</v>
      </c>
      <c r="O65" s="50">
        <f t="shared" si="11"/>
        <v>0</v>
      </c>
      <c r="P65" s="56"/>
    </row>
    <row r="66" spans="1:16" ht="16.5" customHeight="1" outlineLevel="2">
      <c r="A66" s="449" t="s">
        <v>408</v>
      </c>
      <c r="B66" s="450" t="s">
        <v>409</v>
      </c>
      <c r="C66" s="50">
        <f t="shared" si="9"/>
        <v>0</v>
      </c>
      <c r="D66" s="50">
        <f>成本明细!E203</f>
        <v>0</v>
      </c>
      <c r="E66" s="50">
        <v>0</v>
      </c>
      <c r="F66" s="50">
        <f>成本明细!F203/10000</f>
        <v>0</v>
      </c>
      <c r="G66" s="50"/>
      <c r="H66" s="50"/>
      <c r="I66" s="50"/>
      <c r="J66" s="50">
        <f t="shared" si="12"/>
        <v>0</v>
      </c>
      <c r="K66" s="50"/>
      <c r="L66" s="50">
        <f t="shared" si="23"/>
        <v>0</v>
      </c>
      <c r="M66" s="55"/>
      <c r="N66" s="50">
        <f t="shared" si="10"/>
        <v>0</v>
      </c>
      <c r="O66" s="50">
        <f t="shared" si="11"/>
        <v>0</v>
      </c>
      <c r="P66" s="56"/>
    </row>
    <row r="67" spans="1:16" ht="16.5" customHeight="1" outlineLevel="2">
      <c r="A67" s="449" t="s">
        <v>410</v>
      </c>
      <c r="B67" s="450" t="s">
        <v>200</v>
      </c>
      <c r="C67" s="50">
        <f t="shared" si="9"/>
        <v>3.3418917091321894E-2</v>
      </c>
      <c r="D67" s="50">
        <f>成本明细!E206</f>
        <v>0.32</v>
      </c>
      <c r="E67" s="50">
        <v>0.32</v>
      </c>
      <c r="F67" s="50">
        <f>成本明细!F206/10000</f>
        <v>0</v>
      </c>
      <c r="G67" s="50"/>
      <c r="H67" s="50"/>
      <c r="I67" s="50"/>
      <c r="J67" s="50">
        <f t="shared" si="12"/>
        <v>0</v>
      </c>
      <c r="K67" s="50"/>
      <c r="L67" s="50">
        <f t="shared" si="23"/>
        <v>0.32</v>
      </c>
      <c r="M67" s="55"/>
      <c r="N67" s="50">
        <f t="shared" si="10"/>
        <v>0.32</v>
      </c>
      <c r="O67" s="50">
        <f t="shared" si="11"/>
        <v>0</v>
      </c>
      <c r="P67" s="56"/>
    </row>
    <row r="68" spans="1:16" ht="16.5" customHeight="1" outlineLevel="2">
      <c r="A68" s="449" t="s">
        <v>411</v>
      </c>
      <c r="B68" s="450" t="s">
        <v>412</v>
      </c>
      <c r="C68" s="50">
        <f t="shared" si="9"/>
        <v>1.8054256656238921</v>
      </c>
      <c r="D68" s="50">
        <f>成本明细!E209</f>
        <v>17.287700000000001</v>
      </c>
      <c r="E68" s="50">
        <v>17.287738399999999</v>
      </c>
      <c r="F68" s="50">
        <f>成本明细!F209/10000</f>
        <v>8.1518990000000002</v>
      </c>
      <c r="G68" s="50"/>
      <c r="H68" s="50"/>
      <c r="I68" s="50"/>
      <c r="J68" s="50">
        <f t="shared" si="12"/>
        <v>8.1518990000000002</v>
      </c>
      <c r="K68" s="50"/>
      <c r="L68" s="50">
        <f t="shared" si="23"/>
        <v>9.1358010000000007</v>
      </c>
      <c r="M68" s="55"/>
      <c r="N68" s="50">
        <f t="shared" si="10"/>
        <v>17.287700000000001</v>
      </c>
      <c r="O68" s="50">
        <f t="shared" si="11"/>
        <v>0</v>
      </c>
      <c r="P68" s="56"/>
    </row>
    <row r="69" spans="1:16" ht="16.5" customHeight="1" outlineLevel="2">
      <c r="A69" s="449" t="s">
        <v>413</v>
      </c>
      <c r="B69" s="450" t="s">
        <v>414</v>
      </c>
      <c r="C69" s="50">
        <f t="shared" si="9"/>
        <v>3.4736144595299527</v>
      </c>
      <c r="D69" s="50">
        <f>成本明细!E213</f>
        <v>33.261299999999999</v>
      </c>
      <c r="E69" s="50">
        <v>33.261294999999997</v>
      </c>
      <c r="F69" s="50">
        <f>成本明细!F213/10000</f>
        <v>12.910255000000001</v>
      </c>
      <c r="G69" s="50"/>
      <c r="H69" s="50"/>
      <c r="I69" s="50"/>
      <c r="J69" s="50">
        <f t="shared" si="12"/>
        <v>12.910255000000001</v>
      </c>
      <c r="K69" s="50"/>
      <c r="L69" s="50">
        <f t="shared" si="23"/>
        <v>20.351044999999999</v>
      </c>
      <c r="M69" s="55"/>
      <c r="N69" s="50">
        <f t="shared" si="10"/>
        <v>33.261299999999999</v>
      </c>
      <c r="O69" s="50">
        <f t="shared" si="11"/>
        <v>0</v>
      </c>
      <c r="P69" s="56"/>
    </row>
    <row r="70" spans="1:16" ht="16.5" customHeight="1">
      <c r="A70" s="446" t="s">
        <v>205</v>
      </c>
      <c r="B70" s="447" t="s">
        <v>206</v>
      </c>
      <c r="C70" s="49">
        <f t="shared" ref="C70:O70" si="25">C71+C79+C88+C97+C101+C104</f>
        <v>4069.0801913024138</v>
      </c>
      <c r="D70" s="49">
        <f t="shared" si="25"/>
        <v>38963.131499999996</v>
      </c>
      <c r="E70" s="49">
        <v>41880.310860200698</v>
      </c>
      <c r="F70" s="49">
        <f t="shared" si="25"/>
        <v>33315.832199999997</v>
      </c>
      <c r="G70" s="49">
        <f t="shared" si="25"/>
        <v>0</v>
      </c>
      <c r="H70" s="49">
        <f t="shared" si="25"/>
        <v>0</v>
      </c>
      <c r="I70" s="49">
        <f t="shared" si="25"/>
        <v>0</v>
      </c>
      <c r="J70" s="49">
        <f t="shared" si="25"/>
        <v>32697.813000000002</v>
      </c>
      <c r="K70" s="49"/>
      <c r="L70" s="49">
        <f t="shared" si="25"/>
        <v>34256.164400000001</v>
      </c>
      <c r="M70" s="53"/>
      <c r="N70" s="49">
        <f t="shared" si="25"/>
        <v>66953.977400000003</v>
      </c>
      <c r="O70" s="49">
        <f t="shared" si="25"/>
        <v>27990.8459</v>
      </c>
      <c r="P70" s="54"/>
    </row>
    <row r="71" spans="1:16" ht="16.5" customHeight="1" outlineLevel="1">
      <c r="A71" s="454">
        <v>3.1</v>
      </c>
      <c r="B71" s="455" t="s">
        <v>415</v>
      </c>
      <c r="C71" s="51">
        <f t="shared" ref="C71:F71" si="26">SUM(C72:C78)</f>
        <v>123.3233650969697</v>
      </c>
      <c r="D71" s="51">
        <f t="shared" si="26"/>
        <v>1180.8724</v>
      </c>
      <c r="E71" s="51">
        <v>1797.9616260753</v>
      </c>
      <c r="F71" s="51">
        <f t="shared" si="26"/>
        <v>836.21410000000003</v>
      </c>
      <c r="G71" s="51">
        <f t="shared" ref="G71:O71" si="27">SUM(G72:G78)</f>
        <v>0</v>
      </c>
      <c r="H71" s="51">
        <f t="shared" si="27"/>
        <v>0</v>
      </c>
      <c r="I71" s="51">
        <f t="shared" si="27"/>
        <v>0</v>
      </c>
      <c r="J71" s="51">
        <f t="shared" si="27"/>
        <v>836.21410000000003</v>
      </c>
      <c r="K71" s="51"/>
      <c r="L71" s="51">
        <f t="shared" si="27"/>
        <v>1538.1967000000002</v>
      </c>
      <c r="M71" s="57"/>
      <c r="N71" s="51">
        <f t="shared" si="27"/>
        <v>2374.4107999999997</v>
      </c>
      <c r="O71" s="51">
        <f t="shared" si="27"/>
        <v>1193.5383999999999</v>
      </c>
      <c r="P71" s="58"/>
    </row>
    <row r="72" spans="1:16" ht="16.5" customHeight="1" outlineLevel="2">
      <c r="A72" s="449" t="s">
        <v>416</v>
      </c>
      <c r="B72" s="450" t="s">
        <v>207</v>
      </c>
      <c r="C72" s="50">
        <f t="shared" ref="C72:C104" si="28">D72/$D$4*10000</f>
        <v>10.853660128568839</v>
      </c>
      <c r="D72" s="50">
        <f>成本明细!E229</f>
        <v>103.92829999999999</v>
      </c>
      <c r="E72" s="50">
        <v>700.00041361499996</v>
      </c>
      <c r="F72" s="50">
        <f>成本明细!F229/10000</f>
        <v>576.46600000000001</v>
      </c>
      <c r="G72" s="50"/>
      <c r="H72" s="50"/>
      <c r="I72" s="50"/>
      <c r="J72" s="50">
        <f t="shared" ref="J72:J104" si="29">F72+G72+H72+I72</f>
        <v>576.46600000000001</v>
      </c>
      <c r="K72" s="50"/>
      <c r="L72" s="50">
        <v>700</v>
      </c>
      <c r="M72" s="55"/>
      <c r="N72" s="50">
        <f t="shared" ref="N72:N78" si="30">J72+L72</f>
        <v>1276.4659999999999</v>
      </c>
      <c r="O72" s="50">
        <f t="shared" ref="O72:O78" si="31">N72-D72</f>
        <v>1172.5376999999999</v>
      </c>
      <c r="P72" s="56"/>
    </row>
    <row r="73" spans="1:16" ht="16.5" customHeight="1" outlineLevel="2">
      <c r="A73" s="449" t="s">
        <v>417</v>
      </c>
      <c r="B73" s="450" t="s">
        <v>418</v>
      </c>
      <c r="C73" s="50">
        <f t="shared" si="28"/>
        <v>0.64931911567279332</v>
      </c>
      <c r="D73" s="50">
        <f>成本明细!E232</f>
        <v>6.2175000000000002</v>
      </c>
      <c r="E73" s="50">
        <v>18.4898749575</v>
      </c>
      <c r="F73" s="50">
        <f>成本明细!F232/10000</f>
        <v>18.494</v>
      </c>
      <c r="G73" s="50"/>
      <c r="H73" s="50"/>
      <c r="I73" s="50"/>
      <c r="J73" s="50">
        <f t="shared" si="29"/>
        <v>18.494</v>
      </c>
      <c r="K73" s="50"/>
      <c r="L73" s="50">
        <v>0</v>
      </c>
      <c r="M73" s="55"/>
      <c r="N73" s="50">
        <f t="shared" si="30"/>
        <v>18.494</v>
      </c>
      <c r="O73" s="50">
        <f t="shared" si="31"/>
        <v>12.276499999999999</v>
      </c>
      <c r="P73" s="56"/>
    </row>
    <row r="74" spans="1:16" ht="16.5" customHeight="1" outlineLevel="2">
      <c r="A74" s="449" t="s">
        <v>419</v>
      </c>
      <c r="B74" s="451" t="s">
        <v>420</v>
      </c>
      <c r="C74" s="50">
        <f t="shared" si="28"/>
        <v>24.304575833005675</v>
      </c>
      <c r="D74" s="50">
        <f>成本明细!E236</f>
        <v>232.72640000000001</v>
      </c>
      <c r="E74" s="50">
        <v>232.72644</v>
      </c>
      <c r="F74" s="50">
        <f>成本明细!F236/10000</f>
        <v>0</v>
      </c>
      <c r="G74" s="50"/>
      <c r="H74" s="50"/>
      <c r="I74" s="50"/>
      <c r="J74" s="50">
        <f t="shared" si="29"/>
        <v>0</v>
      </c>
      <c r="K74" s="50"/>
      <c r="L74" s="50">
        <f>D74-J74</f>
        <v>232.72640000000001</v>
      </c>
      <c r="M74" s="55"/>
      <c r="N74" s="50">
        <f t="shared" si="30"/>
        <v>232.72640000000001</v>
      </c>
      <c r="O74" s="50">
        <f t="shared" si="31"/>
        <v>0</v>
      </c>
      <c r="P74" s="56"/>
    </row>
    <row r="75" spans="1:16" ht="16.5" customHeight="1" outlineLevel="2">
      <c r="A75" s="449" t="s">
        <v>421</v>
      </c>
      <c r="B75" s="450" t="s">
        <v>422</v>
      </c>
      <c r="C75" s="50">
        <f t="shared" si="28"/>
        <v>30.380730234668682</v>
      </c>
      <c r="D75" s="50">
        <f>成本明细!E239</f>
        <v>290.90809999999999</v>
      </c>
      <c r="E75" s="50">
        <v>290.90805</v>
      </c>
      <c r="F75" s="50">
        <f>成本明细!F239/10000</f>
        <v>191.61779999999999</v>
      </c>
      <c r="G75" s="50"/>
      <c r="H75" s="50"/>
      <c r="I75" s="50"/>
      <c r="J75" s="50">
        <f t="shared" si="29"/>
        <v>191.61779999999999</v>
      </c>
      <c r="K75" s="50"/>
      <c r="L75" s="50">
        <f t="shared" ref="L75:L76" si="32">D75-J75</f>
        <v>99.290300000000002</v>
      </c>
      <c r="M75" s="55"/>
      <c r="N75" s="50">
        <f t="shared" si="30"/>
        <v>290.90809999999999</v>
      </c>
      <c r="O75" s="50">
        <f t="shared" si="31"/>
        <v>0</v>
      </c>
      <c r="P75" s="56"/>
    </row>
    <row r="76" spans="1:16" ht="16.5" customHeight="1" outlineLevel="2">
      <c r="A76" s="449" t="s">
        <v>423</v>
      </c>
      <c r="B76" s="451" t="s">
        <v>424</v>
      </c>
      <c r="C76" s="50">
        <f t="shared" si="28"/>
        <v>52.862460791516611</v>
      </c>
      <c r="D76" s="50">
        <f>成本明细!E245</f>
        <v>506.18</v>
      </c>
      <c r="E76" s="50">
        <v>506.18000699999999</v>
      </c>
      <c r="F76" s="50">
        <f>成本明细!F245/10000</f>
        <v>0</v>
      </c>
      <c r="G76" s="50"/>
      <c r="H76" s="50"/>
      <c r="I76" s="50"/>
      <c r="J76" s="50">
        <f t="shared" si="29"/>
        <v>0</v>
      </c>
      <c r="K76" s="50"/>
      <c r="L76" s="50">
        <f t="shared" si="32"/>
        <v>506.18</v>
      </c>
      <c r="M76" s="55"/>
      <c r="N76" s="50">
        <f t="shared" si="30"/>
        <v>506.18</v>
      </c>
      <c r="O76" s="50">
        <f t="shared" si="31"/>
        <v>0</v>
      </c>
      <c r="P76" s="56"/>
    </row>
    <row r="77" spans="1:16" ht="16.5" customHeight="1" outlineLevel="2">
      <c r="A77" s="449" t="s">
        <v>425</v>
      </c>
      <c r="B77" s="450" t="s">
        <v>203</v>
      </c>
      <c r="C77" s="50">
        <f t="shared" si="28"/>
        <v>0.86997795917983711</v>
      </c>
      <c r="D77" s="50">
        <f>成本明细!E248</f>
        <v>8.3303999999999991</v>
      </c>
      <c r="E77" s="50">
        <v>8.3304429197999994</v>
      </c>
      <c r="F77" s="50">
        <f>成本明细!F248/10000</f>
        <v>8.3102999999999998</v>
      </c>
      <c r="G77" s="50"/>
      <c r="H77" s="50"/>
      <c r="I77" s="50"/>
      <c r="J77" s="50">
        <f t="shared" si="29"/>
        <v>8.3102999999999998</v>
      </c>
      <c r="K77" s="50"/>
      <c r="L77" s="50">
        <v>0</v>
      </c>
      <c r="M77" s="55"/>
      <c r="N77" s="50">
        <f t="shared" si="30"/>
        <v>8.3102999999999998</v>
      </c>
      <c r="O77" s="50">
        <f t="shared" si="31"/>
        <v>-2.0099999999999341E-2</v>
      </c>
      <c r="P77" s="56"/>
    </row>
    <row r="78" spans="1:16" ht="16.5" customHeight="1" outlineLevel="2">
      <c r="A78" s="449" t="s">
        <v>426</v>
      </c>
      <c r="B78" s="450" t="s">
        <v>427</v>
      </c>
      <c r="C78" s="50">
        <f t="shared" si="28"/>
        <v>3.4026410343572575</v>
      </c>
      <c r="D78" s="50">
        <f>成本明细!E252</f>
        <v>32.581699999999998</v>
      </c>
      <c r="E78" s="50">
        <v>41.326397583000002</v>
      </c>
      <c r="F78" s="50">
        <f>成本明细!F252/10000</f>
        <v>41.326000000000001</v>
      </c>
      <c r="G78" s="50"/>
      <c r="H78" s="50"/>
      <c r="I78" s="50"/>
      <c r="J78" s="50">
        <f t="shared" si="29"/>
        <v>41.326000000000001</v>
      </c>
      <c r="K78" s="50"/>
      <c r="L78" s="50">
        <v>0</v>
      </c>
      <c r="M78" s="55"/>
      <c r="N78" s="50">
        <f t="shared" si="30"/>
        <v>41.326000000000001</v>
      </c>
      <c r="O78" s="50">
        <f t="shared" si="31"/>
        <v>8.7443000000000026</v>
      </c>
      <c r="P78" s="56"/>
    </row>
    <row r="79" spans="1:16" ht="16.5" customHeight="1" outlineLevel="1">
      <c r="A79" s="454">
        <v>3.2</v>
      </c>
      <c r="B79" s="455" t="s">
        <v>208</v>
      </c>
      <c r="C79" s="51">
        <f t="shared" ref="C79:O79" si="33">SUM(C80:C87)</f>
        <v>3257.9823119937887</v>
      </c>
      <c r="D79" s="51">
        <f t="shared" si="33"/>
        <v>31196.5327</v>
      </c>
      <c r="E79" s="51">
        <v>32973.187353707799</v>
      </c>
      <c r="F79" s="51">
        <f t="shared" si="33"/>
        <v>28961.1669</v>
      </c>
      <c r="G79" s="51">
        <f t="shared" si="33"/>
        <v>0</v>
      </c>
      <c r="H79" s="51">
        <f t="shared" si="33"/>
        <v>0</v>
      </c>
      <c r="I79" s="51">
        <f t="shared" si="33"/>
        <v>0</v>
      </c>
      <c r="J79" s="51">
        <f t="shared" si="33"/>
        <v>28961.1669</v>
      </c>
      <c r="K79" s="51"/>
      <c r="L79" s="51">
        <f>SUM(L80:L87)</f>
        <v>27988.429700000004</v>
      </c>
      <c r="M79" s="57"/>
      <c r="N79" s="51">
        <f t="shared" si="33"/>
        <v>56949.596599999997</v>
      </c>
      <c r="O79" s="51">
        <f t="shared" si="33"/>
        <v>25753.063899999997</v>
      </c>
      <c r="P79" s="58"/>
    </row>
    <row r="80" spans="1:16" ht="16.5" customHeight="1" outlineLevel="2">
      <c r="A80" s="449" t="s">
        <v>428</v>
      </c>
      <c r="B80" s="451" t="s">
        <v>429</v>
      </c>
      <c r="C80" s="50">
        <f t="shared" si="28"/>
        <v>2330.0742056610607</v>
      </c>
      <c r="D80" s="50">
        <f>成本明细!E258</f>
        <v>22311.427500000002</v>
      </c>
      <c r="E80" s="50">
        <v>23739.602181709401</v>
      </c>
      <c r="F80" s="50">
        <f>成本明细!F258/10000</f>
        <v>23990.0072</v>
      </c>
      <c r="G80" s="50"/>
      <c r="H80" s="50"/>
      <c r="I80" s="50"/>
      <c r="J80" s="50">
        <f t="shared" si="29"/>
        <v>23990.0072</v>
      </c>
      <c r="K80" s="50"/>
      <c r="L80" s="50">
        <f>11032+300+12490-1*96</f>
        <v>23726</v>
      </c>
      <c r="M80" s="55" t="s">
        <v>575</v>
      </c>
      <c r="N80" s="50">
        <f t="shared" ref="N80:N87" si="34">J80+L80</f>
        <v>47716.0072</v>
      </c>
      <c r="O80" s="50">
        <f t="shared" ref="O80:O87" si="35">N80-D80</f>
        <v>25404.579699999998</v>
      </c>
      <c r="P80" s="56"/>
    </row>
    <row r="81" spans="1:16" ht="16.5" customHeight="1" outlineLevel="2">
      <c r="A81" s="449" t="s">
        <v>430</v>
      </c>
      <c r="B81" s="451" t="s">
        <v>210</v>
      </c>
      <c r="C81" s="50">
        <f t="shared" si="28"/>
        <v>0</v>
      </c>
      <c r="D81" s="50">
        <f>成本明细!E266</f>
        <v>0</v>
      </c>
      <c r="E81" s="50">
        <v>338.54020018</v>
      </c>
      <c r="F81" s="50">
        <f>成本明细!F266/10000</f>
        <v>14.901400000000001</v>
      </c>
      <c r="G81" s="50"/>
      <c r="H81" s="50"/>
      <c r="I81" s="50"/>
      <c r="J81" s="50">
        <f t="shared" si="29"/>
        <v>14.901400000000001</v>
      </c>
      <c r="K81" s="50"/>
      <c r="L81" s="50">
        <f>3.48*93</f>
        <v>323.64</v>
      </c>
      <c r="M81" s="55" t="s">
        <v>576</v>
      </c>
      <c r="N81" s="50">
        <f t="shared" si="34"/>
        <v>338.54140000000001</v>
      </c>
      <c r="O81" s="50">
        <f t="shared" si="35"/>
        <v>338.54140000000001</v>
      </c>
      <c r="P81" s="56"/>
    </row>
    <row r="82" spans="1:16" ht="16.5" customHeight="1" outlineLevel="2">
      <c r="A82" s="449" t="s">
        <v>431</v>
      </c>
      <c r="B82" s="450" t="s">
        <v>432</v>
      </c>
      <c r="C82" s="50">
        <f t="shared" si="28"/>
        <v>42.933345447690783</v>
      </c>
      <c r="D82" s="50">
        <f>成本明细!E270</f>
        <v>411.1046</v>
      </c>
      <c r="E82" s="50">
        <v>421.04436900000002</v>
      </c>
      <c r="F82" s="50">
        <f>成本明细!F270/10000</f>
        <v>421.04739999999998</v>
      </c>
      <c r="G82" s="50"/>
      <c r="H82" s="50"/>
      <c r="I82" s="50"/>
      <c r="J82" s="50">
        <f t="shared" si="29"/>
        <v>421.04739999999998</v>
      </c>
      <c r="K82" s="50"/>
      <c r="L82" s="50">
        <v>0</v>
      </c>
      <c r="M82" s="55"/>
      <c r="N82" s="50">
        <f t="shared" si="34"/>
        <v>421.04739999999998</v>
      </c>
      <c r="O82" s="50">
        <f t="shared" si="35"/>
        <v>9.942799999999977</v>
      </c>
      <c r="P82" s="56" t="s">
        <v>577</v>
      </c>
    </row>
    <row r="83" spans="1:16" ht="16.5" customHeight="1" outlineLevel="2">
      <c r="A83" s="449" t="s">
        <v>433</v>
      </c>
      <c r="B83" s="450" t="s">
        <v>434</v>
      </c>
      <c r="C83" s="50">
        <f t="shared" si="28"/>
        <v>658.83136135613972</v>
      </c>
      <c r="D83" s="50">
        <f>成本明细!E274</f>
        <v>6308.5837000000001</v>
      </c>
      <c r="E83" s="50">
        <v>6308.5836811536001</v>
      </c>
      <c r="F83" s="50">
        <f>成本明细!F274/10000</f>
        <v>3443.8905</v>
      </c>
      <c r="G83" s="50"/>
      <c r="H83" s="50"/>
      <c r="I83" s="50"/>
      <c r="J83" s="50">
        <f t="shared" si="29"/>
        <v>3443.8905</v>
      </c>
      <c r="K83" s="50"/>
      <c r="L83" s="50">
        <f t="shared" ref="L83:L87" si="36">D83-J83</f>
        <v>2864.6932000000002</v>
      </c>
      <c r="M83" s="55"/>
      <c r="N83" s="50">
        <f t="shared" si="34"/>
        <v>6308.5837000000001</v>
      </c>
      <c r="O83" s="50">
        <f t="shared" si="35"/>
        <v>0</v>
      </c>
      <c r="P83" s="56"/>
    </row>
    <row r="84" spans="1:16" ht="16.5" customHeight="1" outlineLevel="2">
      <c r="A84" s="449" t="s">
        <v>435</v>
      </c>
      <c r="B84" s="450" t="s">
        <v>436</v>
      </c>
      <c r="C84" s="50">
        <f t="shared" si="28"/>
        <v>131.95179530077809</v>
      </c>
      <c r="D84" s="50">
        <f>成本明细!E279</f>
        <v>1263.4931999999999</v>
      </c>
      <c r="E84" s="50">
        <v>1263.4932416648001</v>
      </c>
      <c r="F84" s="50">
        <f>成本明细!F279/10000</f>
        <v>680.13869999999997</v>
      </c>
      <c r="G84" s="50"/>
      <c r="H84" s="50"/>
      <c r="I84" s="50"/>
      <c r="J84" s="50">
        <f t="shared" si="29"/>
        <v>680.13869999999997</v>
      </c>
      <c r="K84" s="50"/>
      <c r="L84" s="50">
        <f t="shared" si="36"/>
        <v>583.35449999999992</v>
      </c>
      <c r="M84" s="55"/>
      <c r="N84" s="50">
        <f t="shared" si="34"/>
        <v>1263.4931999999999</v>
      </c>
      <c r="O84" s="50">
        <f t="shared" si="35"/>
        <v>0</v>
      </c>
      <c r="P84" s="56"/>
    </row>
    <row r="85" spans="1:16" ht="16.5" customHeight="1" outlineLevel="2">
      <c r="A85" s="449" t="s">
        <v>437</v>
      </c>
      <c r="B85" s="450" t="s">
        <v>438</v>
      </c>
      <c r="C85" s="50">
        <f t="shared" si="28"/>
        <v>4.8949105600122813</v>
      </c>
      <c r="D85" s="50">
        <f>成本明细!E282</f>
        <v>46.870800000000003</v>
      </c>
      <c r="E85" s="50">
        <v>46.870800000000003</v>
      </c>
      <c r="F85" s="50">
        <f>成本明细!F282/10000</f>
        <v>1.2235</v>
      </c>
      <c r="G85" s="50"/>
      <c r="H85" s="50"/>
      <c r="I85" s="50"/>
      <c r="J85" s="50">
        <f t="shared" si="29"/>
        <v>1.2235</v>
      </c>
      <c r="K85" s="50"/>
      <c r="L85" s="50">
        <f t="shared" si="36"/>
        <v>45.647300000000001</v>
      </c>
      <c r="M85" s="55"/>
      <c r="N85" s="50">
        <f t="shared" si="34"/>
        <v>46.870800000000003</v>
      </c>
      <c r="O85" s="50">
        <f t="shared" si="35"/>
        <v>0</v>
      </c>
      <c r="P85" s="56"/>
    </row>
    <row r="86" spans="1:16" ht="16.5" customHeight="1" outlineLevel="2">
      <c r="A86" s="449" t="s">
        <v>439</v>
      </c>
      <c r="B86" s="450" t="s">
        <v>440</v>
      </c>
      <c r="C86" s="50">
        <f t="shared" si="28"/>
        <v>40.687531558684412</v>
      </c>
      <c r="D86" s="50">
        <f>成本明细!E285</f>
        <v>389.6</v>
      </c>
      <c r="E86" s="50">
        <v>389.6</v>
      </c>
      <c r="F86" s="50">
        <f>成本明细!F285/10000</f>
        <v>204.95820000000001</v>
      </c>
      <c r="G86" s="50"/>
      <c r="H86" s="50"/>
      <c r="I86" s="50"/>
      <c r="J86" s="50">
        <f t="shared" si="29"/>
        <v>204.95820000000001</v>
      </c>
      <c r="K86" s="50"/>
      <c r="L86" s="50">
        <f t="shared" si="36"/>
        <v>184.64180000000002</v>
      </c>
      <c r="M86" s="55"/>
      <c r="N86" s="50">
        <f t="shared" si="34"/>
        <v>389.6</v>
      </c>
      <c r="O86" s="50">
        <f t="shared" si="35"/>
        <v>0</v>
      </c>
      <c r="P86" s="56"/>
    </row>
    <row r="87" spans="1:16" ht="16.5" customHeight="1" outlineLevel="2">
      <c r="A87" s="449" t="s">
        <v>441</v>
      </c>
      <c r="B87" s="450" t="s">
        <v>442</v>
      </c>
      <c r="C87" s="50">
        <f t="shared" si="28"/>
        <v>48.60916210942294</v>
      </c>
      <c r="D87" s="50">
        <f>成本明细!E292</f>
        <v>465.4529</v>
      </c>
      <c r="E87" s="50">
        <v>465.45287999999999</v>
      </c>
      <c r="F87" s="50">
        <f>成本明细!F292/10000</f>
        <v>205</v>
      </c>
      <c r="G87" s="50"/>
      <c r="H87" s="50"/>
      <c r="I87" s="50"/>
      <c r="J87" s="50">
        <f t="shared" si="29"/>
        <v>205</v>
      </c>
      <c r="K87" s="50"/>
      <c r="L87" s="50">
        <f t="shared" si="36"/>
        <v>260.4529</v>
      </c>
      <c r="M87" s="55"/>
      <c r="N87" s="50">
        <f t="shared" si="34"/>
        <v>465.4529</v>
      </c>
      <c r="O87" s="50">
        <f t="shared" si="35"/>
        <v>0</v>
      </c>
      <c r="P87" s="56"/>
    </row>
    <row r="88" spans="1:16" ht="16.5" customHeight="1" outlineLevel="1">
      <c r="A88" s="454">
        <v>3.3</v>
      </c>
      <c r="B88" s="455" t="s">
        <v>443</v>
      </c>
      <c r="C88" s="51">
        <f t="shared" ref="C88:F88" si="37">SUM(C89:C96)</f>
        <v>122.67920502662287</v>
      </c>
      <c r="D88" s="51">
        <f t="shared" si="37"/>
        <v>1174.7043000000001</v>
      </c>
      <c r="E88" s="51">
        <v>1174.7043200000001</v>
      </c>
      <c r="F88" s="51">
        <f t="shared" si="37"/>
        <v>104.31959999999999</v>
      </c>
      <c r="G88" s="51">
        <f t="shared" ref="G88:O88" si="38">SUM(G89:G96)</f>
        <v>0</v>
      </c>
      <c r="H88" s="51">
        <f t="shared" si="38"/>
        <v>0</v>
      </c>
      <c r="I88" s="51">
        <f t="shared" si="38"/>
        <v>0</v>
      </c>
      <c r="J88" s="51">
        <f t="shared" si="38"/>
        <v>104.31959999999999</v>
      </c>
      <c r="K88" s="51"/>
      <c r="L88" s="51">
        <f t="shared" si="38"/>
        <v>1070.2859000000001</v>
      </c>
      <c r="M88" s="57"/>
      <c r="N88" s="51">
        <f t="shared" si="38"/>
        <v>1174.6055000000001</v>
      </c>
      <c r="O88" s="51">
        <f t="shared" si="38"/>
        <v>-9.8800000000004218E-2</v>
      </c>
      <c r="P88" s="58"/>
    </row>
    <row r="89" spans="1:16" ht="16.5" customHeight="1" outlineLevel="2">
      <c r="A89" s="449" t="s">
        <v>444</v>
      </c>
      <c r="B89" s="450" t="s">
        <v>209</v>
      </c>
      <c r="C89" s="50">
        <f t="shared" si="28"/>
        <v>2.8197211295802846</v>
      </c>
      <c r="D89" s="50">
        <f>成本明细!E298</f>
        <v>27</v>
      </c>
      <c r="E89" s="50">
        <v>27</v>
      </c>
      <c r="F89" s="50">
        <f>成本明细!F298/10000</f>
        <v>0</v>
      </c>
      <c r="G89" s="50"/>
      <c r="H89" s="50"/>
      <c r="I89" s="50"/>
      <c r="J89" s="50">
        <f t="shared" si="29"/>
        <v>0</v>
      </c>
      <c r="K89" s="50"/>
      <c r="L89" s="50">
        <f>D89-J89</f>
        <v>27</v>
      </c>
      <c r="M89" s="55"/>
      <c r="N89" s="50">
        <f>J89+L89</f>
        <v>27</v>
      </c>
      <c r="O89" s="50">
        <f>N89-D89</f>
        <v>0</v>
      </c>
      <c r="P89" s="56"/>
    </row>
    <row r="90" spans="1:16" ht="16.5" customHeight="1" outlineLevel="2">
      <c r="A90" s="449" t="s">
        <v>445</v>
      </c>
      <c r="B90" s="450" t="s">
        <v>446</v>
      </c>
      <c r="C90" s="50">
        <f t="shared" si="28"/>
        <v>18.265526872725623</v>
      </c>
      <c r="D90" s="50">
        <f>成本明细!E301</f>
        <v>174.9</v>
      </c>
      <c r="E90" s="50">
        <v>174.9</v>
      </c>
      <c r="F90" s="50">
        <f>成本明细!F301/10000</f>
        <v>51.3</v>
      </c>
      <c r="G90" s="50"/>
      <c r="H90" s="50"/>
      <c r="I90" s="50"/>
      <c r="J90" s="50">
        <f t="shared" si="29"/>
        <v>51.3</v>
      </c>
      <c r="K90" s="50"/>
      <c r="L90" s="50">
        <f t="shared" ref="L90:L96" si="39">D90-J90</f>
        <v>123.60000000000001</v>
      </c>
      <c r="M90" s="55"/>
      <c r="N90" s="50">
        <f t="shared" ref="N90:N96" si="40">J90+L90</f>
        <v>174.9</v>
      </c>
      <c r="O90" s="50">
        <f t="shared" ref="O90:O96" si="41">N90-D90</f>
        <v>0</v>
      </c>
      <c r="P90" s="56"/>
    </row>
    <row r="91" spans="1:16" ht="16.5" customHeight="1" outlineLevel="2">
      <c r="A91" s="449" t="s">
        <v>447</v>
      </c>
      <c r="B91" s="450" t="s">
        <v>448</v>
      </c>
      <c r="C91" s="50">
        <f t="shared" si="28"/>
        <v>26.459490267523655</v>
      </c>
      <c r="D91" s="50">
        <f>成本明细!E304</f>
        <v>253.36060000000001</v>
      </c>
      <c r="E91" s="50">
        <v>253.36063999999999</v>
      </c>
      <c r="F91" s="50">
        <f>成本明细!F304/10000</f>
        <v>0</v>
      </c>
      <c r="G91" s="50"/>
      <c r="H91" s="50"/>
      <c r="I91" s="50"/>
      <c r="J91" s="50">
        <f t="shared" si="29"/>
        <v>0</v>
      </c>
      <c r="K91" s="50"/>
      <c r="L91" s="50">
        <f t="shared" si="39"/>
        <v>253.36060000000001</v>
      </c>
      <c r="M91" s="55"/>
      <c r="N91" s="50">
        <f t="shared" si="40"/>
        <v>253.36060000000001</v>
      </c>
      <c r="O91" s="50">
        <f t="shared" si="41"/>
        <v>0</v>
      </c>
      <c r="P91" s="56"/>
    </row>
    <row r="92" spans="1:16" ht="16.5" customHeight="1" outlineLevel="2">
      <c r="A92" s="449" t="s">
        <v>449</v>
      </c>
      <c r="B92" s="450" t="s">
        <v>450</v>
      </c>
      <c r="C92" s="50">
        <f t="shared" si="28"/>
        <v>22.662203152552657</v>
      </c>
      <c r="D92" s="50">
        <f>成本明细!E307</f>
        <v>217</v>
      </c>
      <c r="E92" s="50">
        <v>217</v>
      </c>
      <c r="F92" s="50">
        <f>成本明细!F307/10000</f>
        <v>0</v>
      </c>
      <c r="G92" s="50"/>
      <c r="H92" s="50"/>
      <c r="I92" s="50"/>
      <c r="J92" s="50">
        <f t="shared" si="29"/>
        <v>0</v>
      </c>
      <c r="K92" s="50"/>
      <c r="L92" s="50">
        <f t="shared" si="39"/>
        <v>217</v>
      </c>
      <c r="M92" s="55"/>
      <c r="N92" s="50">
        <f t="shared" si="40"/>
        <v>217</v>
      </c>
      <c r="O92" s="50">
        <f t="shared" si="41"/>
        <v>0</v>
      </c>
      <c r="P92" s="56"/>
    </row>
    <row r="93" spans="1:16" ht="16.5" customHeight="1" outlineLevel="2">
      <c r="A93" s="449" t="s">
        <v>451</v>
      </c>
      <c r="B93" s="450" t="s">
        <v>452</v>
      </c>
      <c r="C93" s="50">
        <f t="shared" si="28"/>
        <v>5.5473731425739778</v>
      </c>
      <c r="D93" s="50">
        <f>成本明细!E310</f>
        <v>53.118400000000001</v>
      </c>
      <c r="E93" s="50">
        <v>53.118400000000001</v>
      </c>
      <c r="F93" s="50">
        <f>成本明细!F310/10000</f>
        <v>53.019599999999997</v>
      </c>
      <c r="G93" s="50"/>
      <c r="H93" s="50"/>
      <c r="I93" s="50"/>
      <c r="J93" s="50">
        <f t="shared" si="29"/>
        <v>53.019599999999997</v>
      </c>
      <c r="K93" s="50"/>
      <c r="L93" s="50">
        <v>0</v>
      </c>
      <c r="M93" s="55"/>
      <c r="N93" s="50">
        <f t="shared" si="40"/>
        <v>53.019599999999997</v>
      </c>
      <c r="O93" s="50">
        <f t="shared" si="41"/>
        <v>-9.8800000000004218E-2</v>
      </c>
      <c r="P93" s="56"/>
    </row>
    <row r="94" spans="1:16" ht="16.5" customHeight="1" outlineLevel="2">
      <c r="A94" s="449" t="s">
        <v>453</v>
      </c>
      <c r="B94" s="456" t="s">
        <v>454</v>
      </c>
      <c r="C94" s="50">
        <f t="shared" si="28"/>
        <v>0</v>
      </c>
      <c r="D94" s="50">
        <f>成本明细!E313</f>
        <v>0</v>
      </c>
      <c r="E94" s="50">
        <v>0</v>
      </c>
      <c r="F94" s="50">
        <f>成本明细!F313/10000</f>
        <v>0</v>
      </c>
      <c r="G94" s="50"/>
      <c r="H94" s="50"/>
      <c r="I94" s="50"/>
      <c r="J94" s="50">
        <f t="shared" si="29"/>
        <v>0</v>
      </c>
      <c r="K94" s="50"/>
      <c r="L94" s="50">
        <v>0</v>
      </c>
      <c r="M94" s="55"/>
      <c r="N94" s="50">
        <f t="shared" si="40"/>
        <v>0</v>
      </c>
      <c r="O94" s="50">
        <f t="shared" si="41"/>
        <v>0</v>
      </c>
      <c r="P94" s="56" t="s">
        <v>455</v>
      </c>
    </row>
    <row r="95" spans="1:16" ht="16.5" customHeight="1" outlineLevel="2">
      <c r="A95" s="449" t="s">
        <v>456</v>
      </c>
      <c r="B95" s="450" t="s">
        <v>457</v>
      </c>
      <c r="C95" s="50">
        <f t="shared" si="28"/>
        <v>15.67347211582997</v>
      </c>
      <c r="D95" s="50">
        <f>成本明细!E316</f>
        <v>150.08000000000001</v>
      </c>
      <c r="E95" s="50">
        <v>150.08000000000001</v>
      </c>
      <c r="F95" s="50">
        <f>成本明细!F316/10000</f>
        <v>0</v>
      </c>
      <c r="G95" s="50"/>
      <c r="H95" s="50"/>
      <c r="I95" s="50"/>
      <c r="J95" s="50">
        <f t="shared" si="29"/>
        <v>0</v>
      </c>
      <c r="K95" s="50"/>
      <c r="L95" s="50">
        <f t="shared" si="39"/>
        <v>150.08000000000001</v>
      </c>
      <c r="M95" s="55"/>
      <c r="N95" s="50">
        <f t="shared" si="40"/>
        <v>150.08000000000001</v>
      </c>
      <c r="O95" s="50">
        <f t="shared" si="41"/>
        <v>0</v>
      </c>
      <c r="P95" s="56"/>
    </row>
    <row r="96" spans="1:16" ht="16.5" customHeight="1" outlineLevel="2">
      <c r="A96" s="449" t="s">
        <v>458</v>
      </c>
      <c r="B96" s="450" t="s">
        <v>459</v>
      </c>
      <c r="C96" s="50">
        <f t="shared" si="28"/>
        <v>31.251418345836708</v>
      </c>
      <c r="D96" s="50">
        <f>成本明细!E319</f>
        <v>299.24529999999999</v>
      </c>
      <c r="E96" s="50">
        <v>299.24527999999998</v>
      </c>
      <c r="F96" s="50">
        <f>成本明细!F319/10000</f>
        <v>0</v>
      </c>
      <c r="G96" s="50"/>
      <c r="H96" s="50"/>
      <c r="I96" s="50"/>
      <c r="J96" s="50">
        <f t="shared" si="29"/>
        <v>0</v>
      </c>
      <c r="K96" s="50"/>
      <c r="L96" s="50">
        <f t="shared" si="39"/>
        <v>299.24529999999999</v>
      </c>
      <c r="M96" s="55"/>
      <c r="N96" s="50">
        <f t="shared" si="40"/>
        <v>299.24529999999999</v>
      </c>
      <c r="O96" s="50">
        <f t="shared" si="41"/>
        <v>0</v>
      </c>
      <c r="P96" s="56"/>
    </row>
    <row r="97" spans="1:16" ht="16.5" customHeight="1" outlineLevel="1">
      <c r="A97" s="454">
        <v>3.4</v>
      </c>
      <c r="B97" s="455" t="s">
        <v>211</v>
      </c>
      <c r="C97" s="51">
        <f t="shared" ref="C97:O97" si="42">SUM(C98:C100)</f>
        <v>524.38269255170667</v>
      </c>
      <c r="D97" s="51">
        <f t="shared" si="42"/>
        <v>5021.1818999999996</v>
      </c>
      <c r="E97" s="51">
        <v>5410.2420821262003</v>
      </c>
      <c r="F97" s="51">
        <f t="shared" si="42"/>
        <v>3157.0059000000001</v>
      </c>
      <c r="G97" s="51">
        <f t="shared" si="42"/>
        <v>0</v>
      </c>
      <c r="H97" s="51">
        <f t="shared" si="42"/>
        <v>0</v>
      </c>
      <c r="I97" s="51">
        <f t="shared" si="42"/>
        <v>0</v>
      </c>
      <c r="J97" s="51">
        <f t="shared" si="42"/>
        <v>2538.9867000000004</v>
      </c>
      <c r="K97" s="51"/>
      <c r="L97" s="51">
        <f t="shared" si="42"/>
        <v>3341.2521000000002</v>
      </c>
      <c r="M97" s="57"/>
      <c r="N97" s="51">
        <f t="shared" si="42"/>
        <v>5880.2388000000001</v>
      </c>
      <c r="O97" s="51">
        <f t="shared" si="42"/>
        <v>859.0569000000005</v>
      </c>
      <c r="P97" s="58"/>
    </row>
    <row r="98" spans="1:16" ht="16.5" customHeight="1" outlineLevel="2">
      <c r="A98" s="449" t="s">
        <v>460</v>
      </c>
      <c r="B98" s="451" t="s">
        <v>461</v>
      </c>
      <c r="C98" s="50">
        <f t="shared" si="28"/>
        <v>376.7230140939061</v>
      </c>
      <c r="D98" s="50">
        <f>成本明细!E323</f>
        <v>3607.2791999999999</v>
      </c>
      <c r="E98" s="50">
        <v>4120.7898232367997</v>
      </c>
      <c r="F98" s="50">
        <f>成本明细!F323/10000</f>
        <v>1938.8094000000001</v>
      </c>
      <c r="G98" s="50"/>
      <c r="H98" s="50"/>
      <c r="I98" s="50"/>
      <c r="J98" s="50">
        <f>F98+G98+H98+I98-828.0192+210</f>
        <v>1320.7902000000001</v>
      </c>
      <c r="K98" s="50"/>
      <c r="L98" s="50">
        <f>900+300+800+800</f>
        <v>2800</v>
      </c>
      <c r="M98" s="55" t="s">
        <v>578</v>
      </c>
      <c r="N98" s="50">
        <f t="shared" ref="N98:N100" si="43">J98+L98</f>
        <v>4120.7902000000004</v>
      </c>
      <c r="O98" s="50">
        <f t="shared" ref="O98:O100" si="44">N98-D98</f>
        <v>513.51100000000042</v>
      </c>
      <c r="P98" s="56"/>
    </row>
    <row r="99" spans="1:16" ht="16.5" customHeight="1" outlineLevel="2">
      <c r="A99" s="449" t="s">
        <v>462</v>
      </c>
      <c r="B99" s="450" t="s">
        <v>463</v>
      </c>
      <c r="C99" s="50">
        <f t="shared" si="28"/>
        <v>114.10999940994725</v>
      </c>
      <c r="D99" s="50">
        <f>成本明细!E328</f>
        <v>1092.6505999999999</v>
      </c>
      <c r="E99" s="50">
        <v>968.20017200999996</v>
      </c>
      <c r="F99" s="50">
        <f>成本明细!F328/10000</f>
        <v>908.19650000000001</v>
      </c>
      <c r="G99" s="50"/>
      <c r="H99" s="50"/>
      <c r="I99" s="50"/>
      <c r="J99" s="50">
        <f t="shared" si="29"/>
        <v>908.19650000000001</v>
      </c>
      <c r="K99" s="50"/>
      <c r="L99" s="50">
        <f>495+35</f>
        <v>530</v>
      </c>
      <c r="M99" s="55" t="s">
        <v>579</v>
      </c>
      <c r="N99" s="50">
        <f t="shared" si="43"/>
        <v>1438.1965</v>
      </c>
      <c r="O99" s="50">
        <f t="shared" si="44"/>
        <v>345.54590000000007</v>
      </c>
      <c r="P99" s="56"/>
    </row>
    <row r="100" spans="1:16" ht="16.5" customHeight="1" outlineLevel="2">
      <c r="A100" s="449" t="s">
        <v>464</v>
      </c>
      <c r="B100" s="450" t="s">
        <v>131</v>
      </c>
      <c r="C100" s="50">
        <f t="shared" si="28"/>
        <v>33.549679047853274</v>
      </c>
      <c r="D100" s="50">
        <f>成本明细!E333</f>
        <v>321.25209999999998</v>
      </c>
      <c r="E100" s="50">
        <v>321.2520868794</v>
      </c>
      <c r="F100" s="50">
        <f>成本明细!F333/10000</f>
        <v>310</v>
      </c>
      <c r="G100" s="50"/>
      <c r="H100" s="50"/>
      <c r="I100" s="50"/>
      <c r="J100" s="50">
        <f t="shared" si="29"/>
        <v>310</v>
      </c>
      <c r="K100" s="50"/>
      <c r="L100" s="50">
        <f>D100-J100</f>
        <v>11.252099999999984</v>
      </c>
      <c r="M100" s="59" t="s">
        <v>580</v>
      </c>
      <c r="N100" s="50">
        <f t="shared" si="43"/>
        <v>321.25209999999998</v>
      </c>
      <c r="O100" s="50">
        <f t="shared" si="44"/>
        <v>0</v>
      </c>
      <c r="P100" s="56"/>
    </row>
    <row r="101" spans="1:16" ht="16.5" customHeight="1" outlineLevel="1">
      <c r="A101" s="454">
        <v>3.5</v>
      </c>
      <c r="B101" s="455" t="s">
        <v>465</v>
      </c>
      <c r="C101" s="51">
        <f t="shared" ref="C101:F101" si="45">SUM(C102:C103)</f>
        <v>28.832055843010458</v>
      </c>
      <c r="D101" s="51">
        <f t="shared" si="45"/>
        <v>276.07889999999998</v>
      </c>
      <c r="E101" s="51">
        <v>276.07890600000002</v>
      </c>
      <c r="F101" s="51">
        <f t="shared" si="45"/>
        <v>257.12569999999999</v>
      </c>
      <c r="G101" s="51">
        <f t="shared" ref="G101:O101" si="46">SUM(G102:G103)</f>
        <v>0</v>
      </c>
      <c r="H101" s="51">
        <f t="shared" si="46"/>
        <v>0</v>
      </c>
      <c r="I101" s="51">
        <f t="shared" si="46"/>
        <v>0</v>
      </c>
      <c r="J101" s="51">
        <f t="shared" si="46"/>
        <v>257.12569999999999</v>
      </c>
      <c r="K101" s="51"/>
      <c r="L101" s="51">
        <f t="shared" si="46"/>
        <v>18</v>
      </c>
      <c r="M101" s="57"/>
      <c r="N101" s="51">
        <f t="shared" si="46"/>
        <v>275.12569999999999</v>
      </c>
      <c r="O101" s="51">
        <f t="shared" si="46"/>
        <v>-0.95319999999998117</v>
      </c>
      <c r="P101" s="58"/>
    </row>
    <row r="102" spans="1:16" ht="16.5" customHeight="1" outlineLevel="2">
      <c r="A102" s="449" t="s">
        <v>466</v>
      </c>
      <c r="B102" s="450" t="s">
        <v>202</v>
      </c>
      <c r="C102" s="50">
        <f t="shared" si="28"/>
        <v>26.9522417566236</v>
      </c>
      <c r="D102" s="50">
        <f>成本明细!E338</f>
        <v>258.07889999999998</v>
      </c>
      <c r="E102" s="50">
        <v>258.07890600000002</v>
      </c>
      <c r="F102" s="50">
        <f>成本明细!F338/10000</f>
        <v>257.12569999999999</v>
      </c>
      <c r="G102" s="50"/>
      <c r="H102" s="50"/>
      <c r="I102" s="50"/>
      <c r="J102" s="50">
        <f t="shared" si="29"/>
        <v>257.12569999999999</v>
      </c>
      <c r="K102" s="50"/>
      <c r="L102" s="50">
        <v>0</v>
      </c>
      <c r="M102" s="55"/>
      <c r="N102" s="50">
        <f t="shared" ref="N102:N104" si="47">J102+L102</f>
        <v>257.12569999999999</v>
      </c>
      <c r="O102" s="50">
        <f t="shared" ref="O102:O104" si="48">N102-D102</f>
        <v>-0.95319999999998117</v>
      </c>
      <c r="P102" s="56"/>
    </row>
    <row r="103" spans="1:16" ht="16.5" customHeight="1" outlineLevel="2">
      <c r="A103" s="449" t="s">
        <v>467</v>
      </c>
      <c r="B103" s="450" t="s">
        <v>468</v>
      </c>
      <c r="C103" s="50">
        <f t="shared" si="28"/>
        <v>1.8798140863868564</v>
      </c>
      <c r="D103" s="50">
        <f>成本明细!E340</f>
        <v>18</v>
      </c>
      <c r="E103" s="50">
        <v>18</v>
      </c>
      <c r="F103" s="50">
        <f>成本明细!F340/10000</f>
        <v>0</v>
      </c>
      <c r="G103" s="50"/>
      <c r="H103" s="50"/>
      <c r="I103" s="50"/>
      <c r="J103" s="50">
        <f t="shared" si="29"/>
        <v>0</v>
      </c>
      <c r="K103" s="50"/>
      <c r="L103" s="50">
        <v>18</v>
      </c>
      <c r="M103" s="55" t="s">
        <v>581</v>
      </c>
      <c r="N103" s="50">
        <f t="shared" si="47"/>
        <v>18</v>
      </c>
      <c r="O103" s="50">
        <f t="shared" si="48"/>
        <v>0</v>
      </c>
      <c r="P103" s="56"/>
    </row>
    <row r="104" spans="1:16" ht="16.5" customHeight="1" outlineLevel="1">
      <c r="A104" s="454">
        <v>3.6</v>
      </c>
      <c r="B104" s="455" t="s">
        <v>469</v>
      </c>
      <c r="C104" s="51">
        <f t="shared" si="28"/>
        <v>11.880560790315617</v>
      </c>
      <c r="D104" s="51">
        <f>成本明细!E344</f>
        <v>113.76130000000001</v>
      </c>
      <c r="E104" s="51">
        <v>248.13657229145599</v>
      </c>
      <c r="F104" s="51">
        <f>成本明细!F344</f>
        <v>0</v>
      </c>
      <c r="G104" s="51"/>
      <c r="H104" s="51"/>
      <c r="I104" s="51"/>
      <c r="J104" s="51">
        <f t="shared" si="29"/>
        <v>0</v>
      </c>
      <c r="K104" s="51"/>
      <c r="L104" s="51">
        <v>300</v>
      </c>
      <c r="M104" s="57" t="s">
        <v>470</v>
      </c>
      <c r="N104" s="51">
        <f t="shared" si="47"/>
        <v>300</v>
      </c>
      <c r="O104" s="51">
        <f t="shared" si="48"/>
        <v>186.23869999999999</v>
      </c>
      <c r="P104" s="58"/>
    </row>
    <row r="105" spans="1:16" ht="16.5" customHeight="1">
      <c r="A105" s="446" t="s">
        <v>212</v>
      </c>
      <c r="B105" s="447" t="s">
        <v>164</v>
      </c>
      <c r="C105" s="49">
        <f t="shared" ref="C105:O105" si="49">C106+C114+C124+C129+C132+C136+C143+C147+C151</f>
        <v>708.05444985935355</v>
      </c>
      <c r="D105" s="49">
        <f t="shared" si="49"/>
        <v>6779.9151999999985</v>
      </c>
      <c r="E105" s="49">
        <v>6905.5237545263999</v>
      </c>
      <c r="F105" s="49">
        <f t="shared" si="49"/>
        <v>4333.7217229999997</v>
      </c>
      <c r="G105" s="49">
        <f t="shared" si="49"/>
        <v>0</v>
      </c>
      <c r="H105" s="49">
        <f t="shared" si="49"/>
        <v>0</v>
      </c>
      <c r="I105" s="49">
        <f t="shared" si="49"/>
        <v>0</v>
      </c>
      <c r="J105" s="49">
        <f t="shared" si="49"/>
        <v>4333.7217229999997</v>
      </c>
      <c r="K105" s="49"/>
      <c r="L105" s="49">
        <f t="shared" si="49"/>
        <v>2471.6201010000004</v>
      </c>
      <c r="M105" s="53"/>
      <c r="N105" s="49">
        <f t="shared" si="49"/>
        <v>6805.3418239999992</v>
      </c>
      <c r="O105" s="49">
        <f t="shared" si="49"/>
        <v>25.426624000000182</v>
      </c>
      <c r="P105" s="54"/>
    </row>
    <row r="106" spans="1:16" ht="16.5" customHeight="1" outlineLevel="1">
      <c r="A106" s="454">
        <v>4.0999999999999996</v>
      </c>
      <c r="B106" s="455" t="s">
        <v>213</v>
      </c>
      <c r="C106" s="51">
        <f t="shared" ref="C106:F106" si="50">SUM(C107:C113)</f>
        <v>167.33098252138421</v>
      </c>
      <c r="D106" s="51">
        <f t="shared" si="50"/>
        <v>1602.2636</v>
      </c>
      <c r="E106" s="51">
        <v>1602.2636107999999</v>
      </c>
      <c r="F106" s="51">
        <f t="shared" si="50"/>
        <v>700.67900000000009</v>
      </c>
      <c r="G106" s="51">
        <f t="shared" ref="G106:O106" si="51">SUM(G107:G113)</f>
        <v>0</v>
      </c>
      <c r="H106" s="51">
        <f t="shared" si="51"/>
        <v>0</v>
      </c>
      <c r="I106" s="51">
        <f t="shared" si="51"/>
        <v>0</v>
      </c>
      <c r="J106" s="51">
        <f t="shared" si="51"/>
        <v>700.67900000000009</v>
      </c>
      <c r="K106" s="51"/>
      <c r="L106" s="51">
        <f t="shared" si="51"/>
        <v>901.58459999999991</v>
      </c>
      <c r="M106" s="57"/>
      <c r="N106" s="51">
        <f t="shared" si="51"/>
        <v>1602.2636</v>
      </c>
      <c r="O106" s="51">
        <f t="shared" si="51"/>
        <v>0</v>
      </c>
      <c r="P106" s="58"/>
    </row>
    <row r="107" spans="1:16" ht="16.5" customHeight="1" outlineLevel="2">
      <c r="A107" s="449" t="s">
        <v>471</v>
      </c>
      <c r="B107" s="450" t="s">
        <v>214</v>
      </c>
      <c r="C107" s="50">
        <f t="shared" ref="C107:C163" si="52">D107/$D$4*10000</f>
        <v>129.56915183310593</v>
      </c>
      <c r="D107" s="50">
        <f>成本明细!E351</f>
        <v>1240.6784</v>
      </c>
      <c r="E107" s="50">
        <v>1240.6784078000001</v>
      </c>
      <c r="F107" s="50">
        <f>成本明细!F351/10000</f>
        <v>666.09900000000005</v>
      </c>
      <c r="G107" s="50"/>
      <c r="H107" s="50"/>
      <c r="I107" s="50"/>
      <c r="J107" s="50">
        <f t="shared" ref="J107:J163" si="53">F107+G107+H107+I107</f>
        <v>666.09900000000005</v>
      </c>
      <c r="K107" s="50"/>
      <c r="L107" s="50">
        <f>D107-J107</f>
        <v>574.57939999999996</v>
      </c>
      <c r="M107" s="55" t="s">
        <v>574</v>
      </c>
      <c r="N107" s="50">
        <f>J107+L107</f>
        <v>1240.6784</v>
      </c>
      <c r="O107" s="50">
        <f>N107-D107</f>
        <v>0</v>
      </c>
      <c r="P107" s="56"/>
    </row>
    <row r="108" spans="1:16" ht="16.5" customHeight="1" outlineLevel="2">
      <c r="A108" s="449" t="s">
        <v>472</v>
      </c>
      <c r="B108" s="450" t="s">
        <v>473</v>
      </c>
      <c r="C108" s="50">
        <f t="shared" si="52"/>
        <v>0</v>
      </c>
      <c r="D108" s="50">
        <f>成本明细!E354</f>
        <v>0</v>
      </c>
      <c r="E108" s="50">
        <v>0</v>
      </c>
      <c r="F108" s="50">
        <f>成本明细!F354/10000</f>
        <v>0</v>
      </c>
      <c r="G108" s="50"/>
      <c r="H108" s="50"/>
      <c r="I108" s="50"/>
      <c r="J108" s="50">
        <f t="shared" si="53"/>
        <v>0</v>
      </c>
      <c r="K108" s="50"/>
      <c r="L108" s="50">
        <f t="shared" ref="L108:L131" si="54">D108-J108</f>
        <v>0</v>
      </c>
      <c r="M108" s="55"/>
      <c r="N108" s="50">
        <f t="shared" ref="N108:N154" si="55">J108+L108</f>
        <v>0</v>
      </c>
      <c r="O108" s="50">
        <f t="shared" ref="O108:O154" si="56">N108-D108</f>
        <v>0</v>
      </c>
      <c r="P108" s="56"/>
    </row>
    <row r="109" spans="1:16" ht="16.5" customHeight="1" outlineLevel="2">
      <c r="A109" s="449" t="s">
        <v>474</v>
      </c>
      <c r="B109" s="450" t="s">
        <v>475</v>
      </c>
      <c r="C109" s="50">
        <f t="shared" si="52"/>
        <v>1.0853628798334067</v>
      </c>
      <c r="D109" s="50">
        <f>成本明细!E357</f>
        <v>10.392799999999999</v>
      </c>
      <c r="E109" s="50">
        <v>10.392825</v>
      </c>
      <c r="F109" s="50">
        <f>成本明细!F357/10000</f>
        <v>0</v>
      </c>
      <c r="G109" s="50"/>
      <c r="H109" s="50"/>
      <c r="I109" s="50"/>
      <c r="J109" s="50">
        <f t="shared" si="53"/>
        <v>0</v>
      </c>
      <c r="K109" s="50"/>
      <c r="L109" s="50">
        <f t="shared" si="54"/>
        <v>10.392799999999999</v>
      </c>
      <c r="M109" s="55" t="s">
        <v>574</v>
      </c>
      <c r="N109" s="50">
        <f t="shared" si="55"/>
        <v>10.392799999999999</v>
      </c>
      <c r="O109" s="50">
        <f t="shared" si="56"/>
        <v>0</v>
      </c>
      <c r="P109" s="56"/>
    </row>
    <row r="110" spans="1:16" ht="16.5" customHeight="1" outlineLevel="2">
      <c r="A110" s="449" t="s">
        <v>476</v>
      </c>
      <c r="B110" s="450" t="s">
        <v>477</v>
      </c>
      <c r="C110" s="50">
        <f t="shared" si="52"/>
        <v>1.4317290686617761</v>
      </c>
      <c r="D110" s="50">
        <f>成本明细!E360</f>
        <v>13.7094</v>
      </c>
      <c r="E110" s="50">
        <v>13.709441999999999</v>
      </c>
      <c r="F110" s="50">
        <f>成本明细!F360/10000</f>
        <v>0</v>
      </c>
      <c r="G110" s="50"/>
      <c r="H110" s="50"/>
      <c r="I110" s="50"/>
      <c r="J110" s="50">
        <f t="shared" si="53"/>
        <v>0</v>
      </c>
      <c r="K110" s="50"/>
      <c r="L110" s="50">
        <f t="shared" si="54"/>
        <v>13.7094</v>
      </c>
      <c r="M110" s="55" t="s">
        <v>574</v>
      </c>
      <c r="N110" s="50">
        <f t="shared" si="55"/>
        <v>13.7094</v>
      </c>
      <c r="O110" s="50">
        <f t="shared" si="56"/>
        <v>0</v>
      </c>
      <c r="P110" s="56"/>
    </row>
    <row r="111" spans="1:16" ht="16.5" customHeight="1" outlineLevel="2">
      <c r="A111" s="449" t="s">
        <v>478</v>
      </c>
      <c r="B111" s="450" t="s">
        <v>215</v>
      </c>
      <c r="C111" s="50">
        <f t="shared" si="52"/>
        <v>9.7218345105669055</v>
      </c>
      <c r="D111" s="50">
        <f>成本明细!E363</f>
        <v>93.090599999999995</v>
      </c>
      <c r="E111" s="50">
        <v>93.090575999999999</v>
      </c>
      <c r="F111" s="50">
        <f>成本明细!F363/10000</f>
        <v>0</v>
      </c>
      <c r="G111" s="50"/>
      <c r="H111" s="50"/>
      <c r="I111" s="50"/>
      <c r="J111" s="50">
        <f t="shared" si="53"/>
        <v>0</v>
      </c>
      <c r="K111" s="50"/>
      <c r="L111" s="50">
        <f t="shared" si="54"/>
        <v>93.090599999999995</v>
      </c>
      <c r="M111" s="55" t="s">
        <v>574</v>
      </c>
      <c r="N111" s="50">
        <f t="shared" si="55"/>
        <v>93.090599999999995</v>
      </c>
      <c r="O111" s="50">
        <f t="shared" si="56"/>
        <v>0</v>
      </c>
      <c r="P111" s="56"/>
    </row>
    <row r="112" spans="1:16" ht="45" customHeight="1" outlineLevel="2">
      <c r="A112" s="449" t="s">
        <v>479</v>
      </c>
      <c r="B112" s="450" t="s">
        <v>480</v>
      </c>
      <c r="C112" s="50">
        <f t="shared" si="52"/>
        <v>4.8609172552834528</v>
      </c>
      <c r="D112" s="50">
        <f>成本明细!E366</f>
        <v>46.545299999999997</v>
      </c>
      <c r="E112" s="50">
        <v>46.545287999999999</v>
      </c>
      <c r="F112" s="50">
        <f>成本明细!F366/10000</f>
        <v>34.58</v>
      </c>
      <c r="G112" s="50"/>
      <c r="H112" s="50"/>
      <c r="I112" s="50"/>
      <c r="J112" s="50">
        <f t="shared" si="53"/>
        <v>34.58</v>
      </c>
      <c r="K112" s="50"/>
      <c r="L112" s="50">
        <f t="shared" si="54"/>
        <v>11.965299999999999</v>
      </c>
      <c r="M112" s="55" t="s">
        <v>582</v>
      </c>
      <c r="N112" s="50">
        <f t="shared" si="55"/>
        <v>46.545299999999997</v>
      </c>
      <c r="O112" s="50">
        <f t="shared" si="56"/>
        <v>0</v>
      </c>
      <c r="P112" s="56"/>
    </row>
    <row r="113" spans="1:16" ht="16.5" customHeight="1" outlineLevel="2">
      <c r="A113" s="449" t="s">
        <v>481</v>
      </c>
      <c r="B113" s="450" t="s">
        <v>216</v>
      </c>
      <c r="C113" s="50">
        <f t="shared" si="52"/>
        <v>20.661986973932724</v>
      </c>
      <c r="D113" s="50">
        <f>成本明细!E370</f>
        <v>197.84710000000001</v>
      </c>
      <c r="E113" s="50">
        <v>197.847072</v>
      </c>
      <c r="F113" s="50">
        <f>成本明细!F370/10000</f>
        <v>0</v>
      </c>
      <c r="G113" s="50"/>
      <c r="H113" s="50"/>
      <c r="I113" s="50"/>
      <c r="J113" s="50">
        <f t="shared" si="53"/>
        <v>0</v>
      </c>
      <c r="K113" s="50"/>
      <c r="L113" s="50">
        <f t="shared" si="54"/>
        <v>197.84710000000001</v>
      </c>
      <c r="M113" s="55" t="s">
        <v>574</v>
      </c>
      <c r="N113" s="50">
        <f t="shared" si="55"/>
        <v>197.84710000000001</v>
      </c>
      <c r="O113" s="50">
        <f t="shared" si="56"/>
        <v>0</v>
      </c>
      <c r="P113" s="56"/>
    </row>
    <row r="114" spans="1:16" ht="16.5" customHeight="1" outlineLevel="1">
      <c r="A114" s="454">
        <v>4.2</v>
      </c>
      <c r="B114" s="455" t="s">
        <v>482</v>
      </c>
      <c r="C114" s="51">
        <f t="shared" ref="C114:O114" si="57">SUM(C115:C123)</f>
        <v>110.32040908931886</v>
      </c>
      <c r="D114" s="51">
        <f t="shared" si="57"/>
        <v>1056.3637000000001</v>
      </c>
      <c r="E114" s="51">
        <v>1056.3636383264</v>
      </c>
      <c r="F114" s="51">
        <f t="shared" si="57"/>
        <v>758.12034599999993</v>
      </c>
      <c r="G114" s="51">
        <f t="shared" si="57"/>
        <v>0</v>
      </c>
      <c r="H114" s="51">
        <f t="shared" si="57"/>
        <v>0</v>
      </c>
      <c r="I114" s="51">
        <f t="shared" si="57"/>
        <v>0</v>
      </c>
      <c r="J114" s="51">
        <f t="shared" si="57"/>
        <v>758.12034599999993</v>
      </c>
      <c r="K114" s="51"/>
      <c r="L114" s="51">
        <f t="shared" si="57"/>
        <v>298.24335400000007</v>
      </c>
      <c r="M114" s="57"/>
      <c r="N114" s="51">
        <f t="shared" si="57"/>
        <v>1056.3637000000001</v>
      </c>
      <c r="O114" s="51">
        <f t="shared" si="57"/>
        <v>0</v>
      </c>
      <c r="P114" s="58"/>
    </row>
    <row r="115" spans="1:16" ht="16.5" customHeight="1" outlineLevel="2">
      <c r="A115" s="449" t="s">
        <v>483</v>
      </c>
      <c r="B115" s="450" t="s">
        <v>217</v>
      </c>
      <c r="C115" s="50">
        <f t="shared" si="52"/>
        <v>38.816907674497664</v>
      </c>
      <c r="D115" s="50">
        <f>成本明细!E374</f>
        <v>371.68799999999999</v>
      </c>
      <c r="E115" s="50">
        <v>371.68800570000002</v>
      </c>
      <c r="F115" s="50">
        <f>成本明细!F374/10000</f>
        <v>188.894046</v>
      </c>
      <c r="G115" s="50"/>
      <c r="H115" s="50"/>
      <c r="I115" s="50"/>
      <c r="J115" s="50">
        <f t="shared" si="53"/>
        <v>188.894046</v>
      </c>
      <c r="K115" s="50"/>
      <c r="L115" s="50">
        <f t="shared" si="54"/>
        <v>182.79395399999999</v>
      </c>
      <c r="M115" s="55" t="s">
        <v>574</v>
      </c>
      <c r="N115" s="50">
        <f t="shared" si="55"/>
        <v>371.68799999999999</v>
      </c>
      <c r="O115" s="50">
        <f t="shared" si="56"/>
        <v>0</v>
      </c>
      <c r="P115" s="56"/>
    </row>
    <row r="116" spans="1:16" ht="16.5" customHeight="1" outlineLevel="2">
      <c r="A116" s="449" t="s">
        <v>484</v>
      </c>
      <c r="B116" s="450" t="s">
        <v>485</v>
      </c>
      <c r="C116" s="50">
        <f t="shared" si="52"/>
        <v>32.560969942294932</v>
      </c>
      <c r="D116" s="50">
        <f>成本明细!E377</f>
        <v>311.78480000000002</v>
      </c>
      <c r="E116" s="50">
        <v>311.78474999999997</v>
      </c>
      <c r="F116" s="50">
        <f>成本明细!F377/10000-F117-F118-F125-F126-F127</f>
        <v>185.74999999999994</v>
      </c>
      <c r="G116" s="50"/>
      <c r="H116" s="50"/>
      <c r="I116" s="50"/>
      <c r="J116" s="50">
        <f t="shared" si="53"/>
        <v>185.74999999999994</v>
      </c>
      <c r="K116" s="50"/>
      <c r="L116" s="50">
        <f t="shared" si="54"/>
        <v>126.03480000000008</v>
      </c>
      <c r="M116" s="55" t="s">
        <v>574</v>
      </c>
      <c r="N116" s="50">
        <f t="shared" si="55"/>
        <v>311.78480000000002</v>
      </c>
      <c r="O116" s="50">
        <f t="shared" si="56"/>
        <v>0</v>
      </c>
      <c r="P116" s="56"/>
    </row>
    <row r="117" spans="1:16" ht="16.5" customHeight="1" outlineLevel="2">
      <c r="A117" s="449" t="s">
        <v>486</v>
      </c>
      <c r="B117" s="450" t="s">
        <v>487</v>
      </c>
      <c r="C117" s="50">
        <f t="shared" si="52"/>
        <v>9.9228075232248418</v>
      </c>
      <c r="D117" s="50">
        <f>成本明细!E380</f>
        <v>95.015000000000001</v>
      </c>
      <c r="E117" s="50">
        <v>95.015000000000001</v>
      </c>
      <c r="F117" s="50">
        <v>56.575000000000003</v>
      </c>
      <c r="G117" s="50"/>
      <c r="H117" s="50"/>
      <c r="I117" s="50"/>
      <c r="J117" s="50">
        <f t="shared" si="53"/>
        <v>56.575000000000003</v>
      </c>
      <c r="K117" s="50"/>
      <c r="L117" s="50">
        <f t="shared" si="54"/>
        <v>38.44</v>
      </c>
      <c r="M117" s="55" t="s">
        <v>574</v>
      </c>
      <c r="N117" s="50">
        <f t="shared" si="55"/>
        <v>95.015000000000001</v>
      </c>
      <c r="O117" s="50">
        <f t="shared" si="56"/>
        <v>0</v>
      </c>
      <c r="P117" s="56"/>
    </row>
    <row r="118" spans="1:16" ht="16.5" customHeight="1" outlineLevel="2">
      <c r="A118" s="449" t="s">
        <v>488</v>
      </c>
      <c r="B118" s="450" t="s">
        <v>489</v>
      </c>
      <c r="C118" s="50">
        <f t="shared" si="52"/>
        <v>5.4268248425786245</v>
      </c>
      <c r="D118" s="50">
        <f>成本明细!E383</f>
        <v>51.964100000000002</v>
      </c>
      <c r="E118" s="50">
        <v>51.964125000000003</v>
      </c>
      <c r="F118" s="50">
        <v>25</v>
      </c>
      <c r="G118" s="50"/>
      <c r="H118" s="50"/>
      <c r="I118" s="50"/>
      <c r="J118" s="50">
        <f t="shared" si="53"/>
        <v>25</v>
      </c>
      <c r="K118" s="50"/>
      <c r="L118" s="50">
        <f t="shared" si="54"/>
        <v>26.964100000000002</v>
      </c>
      <c r="M118" s="55" t="s">
        <v>574</v>
      </c>
      <c r="N118" s="50">
        <f t="shared" si="55"/>
        <v>51.964100000000002</v>
      </c>
      <c r="O118" s="50">
        <f t="shared" si="56"/>
        <v>0</v>
      </c>
      <c r="P118" s="56"/>
    </row>
    <row r="119" spans="1:16" ht="16.5" customHeight="1" outlineLevel="2">
      <c r="A119" s="449" t="s">
        <v>490</v>
      </c>
      <c r="B119" s="450" t="s">
        <v>126</v>
      </c>
      <c r="C119" s="50">
        <f t="shared" si="52"/>
        <v>2.8325769692488527</v>
      </c>
      <c r="D119" s="50">
        <f>成本明细!E386</f>
        <v>27.123100000000001</v>
      </c>
      <c r="E119" s="50">
        <v>27.1231029498</v>
      </c>
      <c r="F119" s="50">
        <f>成本明细!F386/10000</f>
        <v>27.123000000000001</v>
      </c>
      <c r="G119" s="50"/>
      <c r="H119" s="50"/>
      <c r="I119" s="50"/>
      <c r="J119" s="50">
        <f t="shared" si="53"/>
        <v>27.123000000000001</v>
      </c>
      <c r="K119" s="50"/>
      <c r="L119" s="50">
        <f t="shared" si="54"/>
        <v>9.9999999999766942E-5</v>
      </c>
      <c r="M119" s="55"/>
      <c r="N119" s="50">
        <f t="shared" si="55"/>
        <v>27.123100000000001</v>
      </c>
      <c r="O119" s="50">
        <f t="shared" si="56"/>
        <v>0</v>
      </c>
      <c r="P119" s="56"/>
    </row>
    <row r="120" spans="1:16" ht="16.5" customHeight="1" outlineLevel="2">
      <c r="A120" s="449" t="s">
        <v>491</v>
      </c>
      <c r="B120" s="450" t="s">
        <v>125</v>
      </c>
      <c r="C120" s="50">
        <f t="shared" si="52"/>
        <v>5.5326897058769777</v>
      </c>
      <c r="D120" s="50">
        <f>成本明细!E390</f>
        <v>52.977800000000002</v>
      </c>
      <c r="E120" s="50">
        <v>52.977846801600002</v>
      </c>
      <c r="F120" s="50">
        <f>成本明细!F390/10000</f>
        <v>52.978299999999997</v>
      </c>
      <c r="G120" s="50"/>
      <c r="H120" s="50"/>
      <c r="I120" s="50"/>
      <c r="J120" s="50">
        <f t="shared" si="53"/>
        <v>52.978299999999997</v>
      </c>
      <c r="K120" s="50"/>
      <c r="L120" s="50">
        <f t="shared" si="54"/>
        <v>-4.99999999995282E-4</v>
      </c>
      <c r="M120" s="55"/>
      <c r="N120" s="50">
        <f t="shared" si="55"/>
        <v>52.977800000000002</v>
      </c>
      <c r="O120" s="50">
        <f t="shared" si="56"/>
        <v>0</v>
      </c>
      <c r="P120" s="56"/>
    </row>
    <row r="121" spans="1:16" ht="16.5" customHeight="1" outlineLevel="2">
      <c r="A121" s="449" t="s">
        <v>492</v>
      </c>
      <c r="B121" s="450" t="s">
        <v>493</v>
      </c>
      <c r="C121" s="50">
        <f t="shared" si="52"/>
        <v>6.8926620934967318</v>
      </c>
      <c r="D121" s="50">
        <f>成本明细!E393</f>
        <v>66.000100000000003</v>
      </c>
      <c r="E121" s="50">
        <v>66.000054751799993</v>
      </c>
      <c r="F121" s="50">
        <f>成本明细!F393/10000</f>
        <v>66</v>
      </c>
      <c r="G121" s="50"/>
      <c r="H121" s="50"/>
      <c r="I121" s="50"/>
      <c r="J121" s="50">
        <f t="shared" si="53"/>
        <v>66</v>
      </c>
      <c r="K121" s="50"/>
      <c r="L121" s="50">
        <f t="shared" si="54"/>
        <v>1.0000000000331966E-4</v>
      </c>
      <c r="M121" s="55"/>
      <c r="N121" s="50">
        <f t="shared" si="55"/>
        <v>66.000100000000003</v>
      </c>
      <c r="O121" s="50">
        <f t="shared" si="56"/>
        <v>0</v>
      </c>
      <c r="P121" s="56"/>
    </row>
    <row r="122" spans="1:16" ht="16.5" customHeight="1" outlineLevel="2">
      <c r="A122" s="449" t="s">
        <v>494</v>
      </c>
      <c r="B122" s="450" t="s">
        <v>495</v>
      </c>
      <c r="C122" s="50">
        <f t="shared" si="52"/>
        <v>3.968454630948111</v>
      </c>
      <c r="D122" s="50">
        <f>成本明细!E396</f>
        <v>37.999600000000001</v>
      </c>
      <c r="E122" s="50">
        <v>37.999573123200001</v>
      </c>
      <c r="F122" s="50">
        <f>成本明细!F396/10000</f>
        <v>38</v>
      </c>
      <c r="G122" s="50"/>
      <c r="H122" s="50"/>
      <c r="I122" s="50"/>
      <c r="J122" s="50">
        <f t="shared" si="53"/>
        <v>38</v>
      </c>
      <c r="K122" s="50"/>
      <c r="L122" s="50">
        <f t="shared" si="54"/>
        <v>-3.9999999999906777E-4</v>
      </c>
      <c r="M122" s="55"/>
      <c r="N122" s="50">
        <f t="shared" si="55"/>
        <v>37.999600000000001</v>
      </c>
      <c r="O122" s="50">
        <f t="shared" si="56"/>
        <v>0</v>
      </c>
      <c r="P122" s="56"/>
    </row>
    <row r="123" spans="1:16" ht="16.5" customHeight="1" outlineLevel="2">
      <c r="A123" s="449" t="s">
        <v>496</v>
      </c>
      <c r="B123" s="450" t="s">
        <v>497</v>
      </c>
      <c r="C123" s="50">
        <f t="shared" si="52"/>
        <v>4.3665157071521179</v>
      </c>
      <c r="D123" s="50">
        <f>成本明细!E399</f>
        <v>41.811199999999999</v>
      </c>
      <c r="E123" s="50">
        <v>41.81118</v>
      </c>
      <c r="F123" s="50">
        <f>成本明细!F399/10000</f>
        <v>117.8</v>
      </c>
      <c r="G123" s="50"/>
      <c r="H123" s="50"/>
      <c r="I123" s="50"/>
      <c r="J123" s="50">
        <f t="shared" si="53"/>
        <v>117.8</v>
      </c>
      <c r="K123" s="50"/>
      <c r="L123" s="50">
        <f t="shared" si="54"/>
        <v>-75.988799999999998</v>
      </c>
      <c r="M123" s="55" t="s">
        <v>583</v>
      </c>
      <c r="N123" s="50">
        <f t="shared" si="55"/>
        <v>41.811199999999999</v>
      </c>
      <c r="O123" s="50">
        <f t="shared" si="56"/>
        <v>0</v>
      </c>
      <c r="P123" s="56"/>
    </row>
    <row r="124" spans="1:16" ht="16.5" customHeight="1" outlineLevel="1">
      <c r="A124" s="454">
        <v>4.3</v>
      </c>
      <c r="B124" s="455" t="s">
        <v>498</v>
      </c>
      <c r="C124" s="51">
        <f t="shared" ref="C124:O124" si="58">SUM(C125:C128)</f>
        <v>63.050844271501553</v>
      </c>
      <c r="D124" s="51">
        <f t="shared" si="58"/>
        <v>603.73799999999994</v>
      </c>
      <c r="E124" s="51">
        <v>603.73795670000004</v>
      </c>
      <c r="F124" s="51">
        <f t="shared" si="58"/>
        <v>302.67500000000001</v>
      </c>
      <c r="G124" s="51">
        <f t="shared" si="58"/>
        <v>0</v>
      </c>
      <c r="H124" s="51">
        <f t="shared" si="58"/>
        <v>0</v>
      </c>
      <c r="I124" s="51">
        <f t="shared" si="58"/>
        <v>0</v>
      </c>
      <c r="J124" s="51">
        <f t="shared" si="58"/>
        <v>302.67500000000001</v>
      </c>
      <c r="K124" s="51"/>
      <c r="L124" s="51">
        <f t="shared" si="58"/>
        <v>301.06299999999999</v>
      </c>
      <c r="M124" s="57"/>
      <c r="N124" s="51">
        <f t="shared" si="58"/>
        <v>603.73799999999994</v>
      </c>
      <c r="O124" s="51">
        <f t="shared" si="58"/>
        <v>0</v>
      </c>
      <c r="P124" s="58"/>
    </row>
    <row r="125" spans="1:16" ht="16.5" customHeight="1" outlineLevel="2">
      <c r="A125" s="449" t="s">
        <v>499</v>
      </c>
      <c r="B125" s="450" t="s">
        <v>500</v>
      </c>
      <c r="C125" s="50">
        <f t="shared" si="52"/>
        <v>27.0542112273985</v>
      </c>
      <c r="D125" s="50">
        <f>成本明细!E404</f>
        <v>259.05529999999999</v>
      </c>
      <c r="E125" s="50">
        <v>259.05527669999998</v>
      </c>
      <c r="F125" s="50">
        <v>131.6</v>
      </c>
      <c r="G125" s="50"/>
      <c r="H125" s="50"/>
      <c r="I125" s="50"/>
      <c r="J125" s="50">
        <f t="shared" si="53"/>
        <v>131.6</v>
      </c>
      <c r="K125" s="50"/>
      <c r="L125" s="50">
        <f t="shared" si="54"/>
        <v>127.45529999999999</v>
      </c>
      <c r="M125" s="55" t="s">
        <v>574</v>
      </c>
      <c r="N125" s="50">
        <f t="shared" si="55"/>
        <v>259.05529999999999</v>
      </c>
      <c r="O125" s="50">
        <f t="shared" si="56"/>
        <v>0</v>
      </c>
      <c r="P125" s="56"/>
    </row>
    <row r="126" spans="1:16" ht="16.5" customHeight="1" outlineLevel="2">
      <c r="A126" s="449" t="s">
        <v>501</v>
      </c>
      <c r="B126" s="450" t="s">
        <v>502</v>
      </c>
      <c r="C126" s="50">
        <f t="shared" si="52"/>
        <v>21.707309813726091</v>
      </c>
      <c r="D126" s="50">
        <f>成本明细!E407</f>
        <v>207.85650000000001</v>
      </c>
      <c r="E126" s="50">
        <v>207.85650000000001</v>
      </c>
      <c r="F126" s="50">
        <v>114.5</v>
      </c>
      <c r="G126" s="50"/>
      <c r="H126" s="50"/>
      <c r="I126" s="50"/>
      <c r="J126" s="50">
        <f t="shared" si="53"/>
        <v>114.5</v>
      </c>
      <c r="K126" s="50"/>
      <c r="L126" s="50">
        <f t="shared" si="54"/>
        <v>93.356500000000011</v>
      </c>
      <c r="M126" s="55" t="s">
        <v>574</v>
      </c>
      <c r="N126" s="50">
        <f t="shared" si="55"/>
        <v>207.85650000000001</v>
      </c>
      <c r="O126" s="50">
        <f t="shared" si="56"/>
        <v>0</v>
      </c>
      <c r="P126" s="56"/>
    </row>
    <row r="127" spans="1:16" ht="16.5" customHeight="1" outlineLevel="2">
      <c r="A127" s="449" t="s">
        <v>503</v>
      </c>
      <c r="B127" s="450" t="s">
        <v>487</v>
      </c>
      <c r="C127" s="50">
        <f t="shared" si="52"/>
        <v>9.9228075232248418</v>
      </c>
      <c r="D127" s="50">
        <f>成本明细!E410</f>
        <v>95.015000000000001</v>
      </c>
      <c r="E127" s="50">
        <v>95.015000000000001</v>
      </c>
      <c r="F127" s="50">
        <v>56.575000000000003</v>
      </c>
      <c r="G127" s="50"/>
      <c r="H127" s="50"/>
      <c r="I127" s="50"/>
      <c r="J127" s="50">
        <f t="shared" si="53"/>
        <v>56.575000000000003</v>
      </c>
      <c r="K127" s="50"/>
      <c r="L127" s="50">
        <f t="shared" si="54"/>
        <v>38.44</v>
      </c>
      <c r="M127" s="55" t="s">
        <v>574</v>
      </c>
      <c r="N127" s="50">
        <f t="shared" si="55"/>
        <v>95.015000000000001</v>
      </c>
      <c r="O127" s="50">
        <f t="shared" si="56"/>
        <v>0</v>
      </c>
      <c r="P127" s="56"/>
    </row>
    <row r="128" spans="1:16" ht="16.5" customHeight="1" outlineLevel="2">
      <c r="A128" s="449" t="s">
        <v>504</v>
      </c>
      <c r="B128" s="450" t="s">
        <v>497</v>
      </c>
      <c r="C128" s="50">
        <f t="shared" si="52"/>
        <v>4.3665157071521179</v>
      </c>
      <c r="D128" s="50">
        <f>成本明细!E413</f>
        <v>41.811199999999999</v>
      </c>
      <c r="E128" s="50">
        <v>41.81118</v>
      </c>
      <c r="F128" s="50">
        <f>成本明细!F413/10000</f>
        <v>0</v>
      </c>
      <c r="G128" s="50"/>
      <c r="H128" s="50"/>
      <c r="I128" s="50"/>
      <c r="J128" s="50">
        <f t="shared" si="53"/>
        <v>0</v>
      </c>
      <c r="K128" s="50"/>
      <c r="L128" s="50">
        <f t="shared" si="54"/>
        <v>41.811199999999999</v>
      </c>
      <c r="M128" s="55" t="s">
        <v>583</v>
      </c>
      <c r="N128" s="50">
        <f t="shared" si="55"/>
        <v>41.811199999999999</v>
      </c>
      <c r="O128" s="50">
        <f t="shared" si="56"/>
        <v>0</v>
      </c>
      <c r="P128" s="56"/>
    </row>
    <row r="129" spans="1:16" ht="16.5" customHeight="1" outlineLevel="1">
      <c r="A129" s="454">
        <v>4.4000000000000004</v>
      </c>
      <c r="B129" s="455" t="s">
        <v>224</v>
      </c>
      <c r="C129" s="51">
        <f t="shared" ref="C129:O129" si="59">SUM(C130:C131)</f>
        <v>65.121929441178267</v>
      </c>
      <c r="D129" s="51">
        <f t="shared" si="59"/>
        <v>623.56949999999995</v>
      </c>
      <c r="E129" s="51">
        <v>623.56949999999995</v>
      </c>
      <c r="F129" s="51">
        <f t="shared" si="59"/>
        <v>335.88299999999998</v>
      </c>
      <c r="G129" s="51">
        <f t="shared" si="59"/>
        <v>0</v>
      </c>
      <c r="H129" s="51">
        <f t="shared" si="59"/>
        <v>0</v>
      </c>
      <c r="I129" s="51">
        <f t="shared" si="59"/>
        <v>0</v>
      </c>
      <c r="J129" s="51">
        <f t="shared" si="59"/>
        <v>335.88299999999998</v>
      </c>
      <c r="K129" s="51"/>
      <c r="L129" s="51">
        <f t="shared" si="59"/>
        <v>287.68649999999997</v>
      </c>
      <c r="M129" s="57"/>
      <c r="N129" s="51">
        <f t="shared" si="59"/>
        <v>623.56949999999995</v>
      </c>
      <c r="O129" s="51">
        <f t="shared" si="59"/>
        <v>0</v>
      </c>
      <c r="P129" s="58"/>
    </row>
    <row r="130" spans="1:16" ht="16.5" customHeight="1" outlineLevel="2">
      <c r="A130" s="449" t="s">
        <v>505</v>
      </c>
      <c r="B130" s="450" t="s">
        <v>225</v>
      </c>
      <c r="C130" s="50">
        <f t="shared" si="52"/>
        <v>65.121929441178267</v>
      </c>
      <c r="D130" s="50">
        <f>成本明细!E417</f>
        <v>623.56949999999995</v>
      </c>
      <c r="E130" s="50">
        <v>623.56949999999995</v>
      </c>
      <c r="F130" s="50">
        <f>成本明细!F417/10000</f>
        <v>335.88299999999998</v>
      </c>
      <c r="G130" s="50"/>
      <c r="H130" s="50"/>
      <c r="I130" s="50"/>
      <c r="J130" s="50">
        <f t="shared" si="53"/>
        <v>335.88299999999998</v>
      </c>
      <c r="K130" s="50"/>
      <c r="L130" s="50">
        <f t="shared" si="54"/>
        <v>287.68649999999997</v>
      </c>
      <c r="M130" s="55" t="s">
        <v>574</v>
      </c>
      <c r="N130" s="50">
        <f t="shared" si="55"/>
        <v>623.56949999999995</v>
      </c>
      <c r="O130" s="50">
        <f t="shared" si="56"/>
        <v>0</v>
      </c>
      <c r="P130" s="56"/>
    </row>
    <row r="131" spans="1:16" ht="16.5" customHeight="1" outlineLevel="2">
      <c r="A131" s="449" t="s">
        <v>506</v>
      </c>
      <c r="B131" s="450" t="s">
        <v>226</v>
      </c>
      <c r="C131" s="50">
        <f t="shared" si="52"/>
        <v>0</v>
      </c>
      <c r="D131" s="50">
        <f>成本明细!E422</f>
        <v>0</v>
      </c>
      <c r="E131" s="50">
        <v>0</v>
      </c>
      <c r="F131" s="50">
        <f>成本明细!F422/10000</f>
        <v>0</v>
      </c>
      <c r="G131" s="50"/>
      <c r="H131" s="50"/>
      <c r="I131" s="50"/>
      <c r="J131" s="50">
        <f t="shared" si="53"/>
        <v>0</v>
      </c>
      <c r="K131" s="50"/>
      <c r="L131" s="50">
        <f t="shared" si="54"/>
        <v>0</v>
      </c>
      <c r="M131" s="55"/>
      <c r="N131" s="50">
        <f t="shared" si="55"/>
        <v>0</v>
      </c>
      <c r="O131" s="50">
        <f t="shared" si="56"/>
        <v>0</v>
      </c>
      <c r="P131" s="56"/>
    </row>
    <row r="132" spans="1:16" ht="16.5" customHeight="1" outlineLevel="1">
      <c r="A132" s="454">
        <v>4.5</v>
      </c>
      <c r="B132" s="455" t="s">
        <v>221</v>
      </c>
      <c r="C132" s="51">
        <f t="shared" ref="C132:O132" si="60">SUM(C133:C135)</f>
        <v>183.89048412000943</v>
      </c>
      <c r="D132" s="51">
        <f t="shared" si="60"/>
        <v>1760.8277</v>
      </c>
      <c r="E132" s="51">
        <v>1760.827648</v>
      </c>
      <c r="F132" s="51">
        <f t="shared" si="60"/>
        <v>1727.5215970000002</v>
      </c>
      <c r="G132" s="51">
        <f t="shared" si="60"/>
        <v>0</v>
      </c>
      <c r="H132" s="51">
        <f t="shared" si="60"/>
        <v>0</v>
      </c>
      <c r="I132" s="51">
        <f t="shared" si="60"/>
        <v>0</v>
      </c>
      <c r="J132" s="51">
        <f t="shared" si="60"/>
        <v>1727.5215970000002</v>
      </c>
      <c r="K132" s="51"/>
      <c r="L132" s="51">
        <f t="shared" si="60"/>
        <v>32.087827000000004</v>
      </c>
      <c r="M132" s="57"/>
      <c r="N132" s="51">
        <f t="shared" si="60"/>
        <v>1759.6094240000002</v>
      </c>
      <c r="O132" s="51">
        <f t="shared" si="60"/>
        <v>-1.2182759999998325</v>
      </c>
      <c r="P132" s="58"/>
    </row>
    <row r="133" spans="1:16" ht="16.5" customHeight="1" outlineLevel="2">
      <c r="A133" s="449" t="s">
        <v>507</v>
      </c>
      <c r="B133" s="450" t="s">
        <v>508</v>
      </c>
      <c r="C133" s="50">
        <f t="shared" si="52"/>
        <v>138.5311132728973</v>
      </c>
      <c r="D133" s="50">
        <f>成本明细!E426</f>
        <v>1326.4929</v>
      </c>
      <c r="E133" s="50">
        <v>1326.492898</v>
      </c>
      <c r="F133" s="50">
        <f>成本明细!F426/10000</f>
        <v>1325.2746240000001</v>
      </c>
      <c r="G133" s="50"/>
      <c r="H133" s="50"/>
      <c r="I133" s="50"/>
      <c r="J133" s="50">
        <f t="shared" si="53"/>
        <v>1325.2746240000001</v>
      </c>
      <c r="K133" s="50"/>
      <c r="L133" s="50">
        <v>0</v>
      </c>
      <c r="M133" s="55"/>
      <c r="N133" s="50">
        <f t="shared" si="55"/>
        <v>1325.2746240000001</v>
      </c>
      <c r="O133" s="50">
        <f t="shared" si="56"/>
        <v>-1.2182759999998325</v>
      </c>
      <c r="P133" s="56"/>
    </row>
    <row r="134" spans="1:16" ht="16.5" customHeight="1" outlineLevel="2">
      <c r="A134" s="449" t="s">
        <v>509</v>
      </c>
      <c r="B134" s="450" t="s">
        <v>222</v>
      </c>
      <c r="C134" s="50">
        <f t="shared" si="52"/>
        <v>33.355713564372927</v>
      </c>
      <c r="D134" s="50">
        <f>成本明细!E429</f>
        <v>319.39479999999998</v>
      </c>
      <c r="E134" s="50">
        <v>319.39474999999999</v>
      </c>
      <c r="F134" s="50">
        <f>成本明细!F429/10000</f>
        <v>287.30697299999997</v>
      </c>
      <c r="G134" s="50"/>
      <c r="H134" s="50"/>
      <c r="I134" s="50"/>
      <c r="J134" s="50">
        <f t="shared" si="53"/>
        <v>287.30697299999997</v>
      </c>
      <c r="K134" s="50"/>
      <c r="L134" s="50">
        <f t="shared" ref="L134:L142" si="61">D134-J134</f>
        <v>32.087827000000004</v>
      </c>
      <c r="M134" s="55" t="s">
        <v>584</v>
      </c>
      <c r="N134" s="50">
        <f t="shared" si="55"/>
        <v>319.39479999999998</v>
      </c>
      <c r="O134" s="50">
        <f t="shared" si="56"/>
        <v>0</v>
      </c>
      <c r="P134" s="56"/>
    </row>
    <row r="135" spans="1:16" ht="16.5" customHeight="1" outlineLevel="2">
      <c r="A135" s="449" t="s">
        <v>510</v>
      </c>
      <c r="B135" s="450" t="s">
        <v>223</v>
      </c>
      <c r="C135" s="50">
        <f t="shared" si="52"/>
        <v>12.003657282739184</v>
      </c>
      <c r="D135" s="50">
        <f>成本明细!E432</f>
        <v>114.94</v>
      </c>
      <c r="E135" s="50">
        <v>114.94</v>
      </c>
      <c r="F135" s="50">
        <f>成本明细!F432/10000</f>
        <v>114.94</v>
      </c>
      <c r="G135" s="50"/>
      <c r="H135" s="50"/>
      <c r="I135" s="50"/>
      <c r="J135" s="50">
        <f t="shared" si="53"/>
        <v>114.94</v>
      </c>
      <c r="K135" s="50"/>
      <c r="L135" s="50">
        <f t="shared" si="61"/>
        <v>0</v>
      </c>
      <c r="M135" s="55"/>
      <c r="N135" s="50">
        <f t="shared" si="55"/>
        <v>114.94</v>
      </c>
      <c r="O135" s="50">
        <f t="shared" si="56"/>
        <v>0</v>
      </c>
      <c r="P135" s="56"/>
    </row>
    <row r="136" spans="1:16" ht="16.5" customHeight="1" outlineLevel="1">
      <c r="A136" s="454">
        <v>4.5999999999999996</v>
      </c>
      <c r="B136" s="455" t="s">
        <v>218</v>
      </c>
      <c r="C136" s="51">
        <f t="shared" ref="C136:O136" si="62">SUM(C137:C142)</f>
        <v>82.537916111207721</v>
      </c>
      <c r="D136" s="51">
        <f t="shared" si="62"/>
        <v>790.33480000000009</v>
      </c>
      <c r="E136" s="51">
        <v>771.89919269999996</v>
      </c>
      <c r="F136" s="51">
        <f t="shared" si="62"/>
        <v>448.35277999999994</v>
      </c>
      <c r="G136" s="51">
        <f t="shared" si="62"/>
        <v>0</v>
      </c>
      <c r="H136" s="51">
        <f t="shared" si="62"/>
        <v>0</v>
      </c>
      <c r="I136" s="51">
        <f t="shared" si="62"/>
        <v>0</v>
      </c>
      <c r="J136" s="51">
        <f t="shared" si="62"/>
        <v>448.35277999999994</v>
      </c>
      <c r="K136" s="51"/>
      <c r="L136" s="51">
        <f t="shared" si="62"/>
        <v>323.54642000000007</v>
      </c>
      <c r="M136" s="57"/>
      <c r="N136" s="51">
        <f t="shared" si="62"/>
        <v>771.89920000000006</v>
      </c>
      <c r="O136" s="51">
        <f t="shared" si="62"/>
        <v>-18.435600000000001</v>
      </c>
      <c r="P136" s="58"/>
    </row>
    <row r="137" spans="1:16" ht="16.5" customHeight="1" outlineLevel="2">
      <c r="A137" s="449" t="s">
        <v>511</v>
      </c>
      <c r="B137" s="450" t="s">
        <v>512</v>
      </c>
      <c r="C137" s="50">
        <f t="shared" si="52"/>
        <v>23.840794367659264</v>
      </c>
      <c r="D137" s="50">
        <f>成本明细!E436</f>
        <v>228.28550000000001</v>
      </c>
      <c r="E137" s="50">
        <v>228.28545800000001</v>
      </c>
      <c r="F137" s="50">
        <f>成本明细!F436/10000</f>
        <v>187.06357999999997</v>
      </c>
      <c r="G137" s="50"/>
      <c r="H137" s="50"/>
      <c r="I137" s="50"/>
      <c r="J137" s="50">
        <f t="shared" si="53"/>
        <v>187.06357999999997</v>
      </c>
      <c r="K137" s="50"/>
      <c r="L137" s="50">
        <f t="shared" si="61"/>
        <v>41.22192000000004</v>
      </c>
      <c r="M137" s="55" t="s">
        <v>574</v>
      </c>
      <c r="N137" s="50">
        <f t="shared" si="55"/>
        <v>228.28550000000001</v>
      </c>
      <c r="O137" s="50">
        <f t="shared" si="56"/>
        <v>0</v>
      </c>
      <c r="P137" s="56"/>
    </row>
    <row r="138" spans="1:16" ht="16.5" customHeight="1" outlineLevel="2">
      <c r="A138" s="449" t="s">
        <v>513</v>
      </c>
      <c r="B138" s="450" t="s">
        <v>219</v>
      </c>
      <c r="C138" s="50">
        <f t="shared" si="52"/>
        <v>50.35695058647589</v>
      </c>
      <c r="D138" s="50">
        <f>成本明细!E440</f>
        <v>482.18869999999998</v>
      </c>
      <c r="E138" s="50">
        <v>482.1887347</v>
      </c>
      <c r="F138" s="50">
        <f>成本明细!F440/10000</f>
        <v>243.03919999999999</v>
      </c>
      <c r="G138" s="50"/>
      <c r="H138" s="50"/>
      <c r="I138" s="50"/>
      <c r="J138" s="50">
        <f t="shared" si="53"/>
        <v>243.03919999999999</v>
      </c>
      <c r="K138" s="50"/>
      <c r="L138" s="50">
        <f t="shared" si="61"/>
        <v>239.14949999999999</v>
      </c>
      <c r="M138" s="55" t="s">
        <v>574</v>
      </c>
      <c r="N138" s="50">
        <f t="shared" si="55"/>
        <v>482.18869999999998</v>
      </c>
      <c r="O138" s="50">
        <f t="shared" si="56"/>
        <v>0</v>
      </c>
      <c r="P138" s="56"/>
    </row>
    <row r="139" spans="1:16" ht="16.5" customHeight="1" outlineLevel="2">
      <c r="A139" s="449" t="s">
        <v>514</v>
      </c>
      <c r="B139" s="450" t="s">
        <v>515</v>
      </c>
      <c r="C139" s="50">
        <f t="shared" si="52"/>
        <v>1.9253055872774183</v>
      </c>
      <c r="D139" s="50">
        <f>成本明细!E443</f>
        <v>18.435600000000001</v>
      </c>
      <c r="E139" s="50">
        <v>0</v>
      </c>
      <c r="F139" s="50">
        <f>成本明细!F443/10000</f>
        <v>0</v>
      </c>
      <c r="G139" s="50"/>
      <c r="H139" s="50"/>
      <c r="I139" s="50"/>
      <c r="J139" s="50">
        <f t="shared" si="53"/>
        <v>0</v>
      </c>
      <c r="K139" s="50"/>
      <c r="L139" s="50">
        <v>0</v>
      </c>
      <c r="M139" s="55" t="s">
        <v>585</v>
      </c>
      <c r="N139" s="50">
        <f t="shared" si="55"/>
        <v>0</v>
      </c>
      <c r="O139" s="50">
        <f t="shared" si="56"/>
        <v>-18.435600000000001</v>
      </c>
      <c r="P139" s="56"/>
    </row>
    <row r="140" spans="1:16" ht="16.5" customHeight="1" outlineLevel="2">
      <c r="A140" s="449" t="s">
        <v>516</v>
      </c>
      <c r="B140" s="450" t="s">
        <v>517</v>
      </c>
      <c r="C140" s="50">
        <f t="shared" si="52"/>
        <v>3.0546978903786419</v>
      </c>
      <c r="D140" s="50">
        <f>成本明细!E446</f>
        <v>29.25</v>
      </c>
      <c r="E140" s="50">
        <v>29.25</v>
      </c>
      <c r="F140" s="50">
        <f>成本明细!F446/10000</f>
        <v>18.25</v>
      </c>
      <c r="G140" s="50"/>
      <c r="H140" s="50"/>
      <c r="I140" s="50"/>
      <c r="J140" s="50">
        <f t="shared" si="53"/>
        <v>18.25</v>
      </c>
      <c r="K140" s="50"/>
      <c r="L140" s="50">
        <f t="shared" si="61"/>
        <v>11</v>
      </c>
      <c r="M140" s="55" t="s">
        <v>582</v>
      </c>
      <c r="N140" s="50">
        <f t="shared" si="55"/>
        <v>29.25</v>
      </c>
      <c r="O140" s="50">
        <f t="shared" si="56"/>
        <v>0</v>
      </c>
      <c r="P140" s="56"/>
    </row>
    <row r="141" spans="1:16" ht="16.5" customHeight="1" outlineLevel="2">
      <c r="A141" s="449" t="s">
        <v>518</v>
      </c>
      <c r="B141" s="450" t="s">
        <v>519</v>
      </c>
      <c r="C141" s="50">
        <f t="shared" si="52"/>
        <v>2.7492281013407776</v>
      </c>
      <c r="D141" s="50">
        <f>成本明细!E449</f>
        <v>26.324999999999999</v>
      </c>
      <c r="E141" s="50">
        <v>26.324999999999999</v>
      </c>
      <c r="F141" s="50">
        <f>成本明细!F449/10000</f>
        <v>0</v>
      </c>
      <c r="G141" s="50"/>
      <c r="H141" s="50"/>
      <c r="I141" s="50"/>
      <c r="J141" s="50">
        <f t="shared" si="53"/>
        <v>0</v>
      </c>
      <c r="K141" s="50"/>
      <c r="L141" s="50">
        <f t="shared" si="61"/>
        <v>26.324999999999999</v>
      </c>
      <c r="M141" s="55" t="s">
        <v>582</v>
      </c>
      <c r="N141" s="50">
        <f t="shared" si="55"/>
        <v>26.324999999999999</v>
      </c>
      <c r="O141" s="50">
        <f t="shared" si="56"/>
        <v>0</v>
      </c>
      <c r="P141" s="56"/>
    </row>
    <row r="142" spans="1:16" ht="16.5" customHeight="1" outlineLevel="2">
      <c r="A142" s="449" t="s">
        <v>520</v>
      </c>
      <c r="B142" s="450" t="s">
        <v>220</v>
      </c>
      <c r="C142" s="50">
        <f t="shared" si="52"/>
        <v>0.6109395780757283</v>
      </c>
      <c r="D142" s="50">
        <f>成本明细!E452</f>
        <v>5.85</v>
      </c>
      <c r="E142" s="50">
        <v>5.85</v>
      </c>
      <c r="F142" s="50">
        <f>成本明细!F452/10000</f>
        <v>0</v>
      </c>
      <c r="G142" s="50"/>
      <c r="H142" s="50"/>
      <c r="I142" s="50"/>
      <c r="J142" s="50">
        <f t="shared" si="53"/>
        <v>0</v>
      </c>
      <c r="K142" s="50"/>
      <c r="L142" s="50">
        <f t="shared" si="61"/>
        <v>5.85</v>
      </c>
      <c r="M142" s="55" t="s">
        <v>586</v>
      </c>
      <c r="N142" s="50">
        <f t="shared" si="55"/>
        <v>5.85</v>
      </c>
      <c r="O142" s="50">
        <f t="shared" si="56"/>
        <v>0</v>
      </c>
      <c r="P142" s="56"/>
    </row>
    <row r="143" spans="1:16" ht="16.5" customHeight="1" outlineLevel="1">
      <c r="A143" s="454">
        <v>4.7</v>
      </c>
      <c r="B143" s="455" t="s">
        <v>227</v>
      </c>
      <c r="C143" s="51">
        <f t="shared" ref="C143:O143" si="63">SUM(C144:C146)</f>
        <v>6.8309833046400605</v>
      </c>
      <c r="D143" s="51">
        <f t="shared" si="63"/>
        <v>65.409499999999994</v>
      </c>
      <c r="E143" s="51">
        <v>174.54482999999999</v>
      </c>
      <c r="F143" s="51">
        <f t="shared" si="63"/>
        <v>60.49</v>
      </c>
      <c r="G143" s="51">
        <f t="shared" si="63"/>
        <v>0</v>
      </c>
      <c r="H143" s="51">
        <f t="shared" si="63"/>
        <v>0</v>
      </c>
      <c r="I143" s="51">
        <f t="shared" si="63"/>
        <v>0</v>
      </c>
      <c r="J143" s="51">
        <f t="shared" si="63"/>
        <v>60.49</v>
      </c>
      <c r="K143" s="51"/>
      <c r="L143" s="51">
        <f t="shared" si="63"/>
        <v>50</v>
      </c>
      <c r="M143" s="57"/>
      <c r="N143" s="51">
        <f t="shared" si="63"/>
        <v>110.49000000000001</v>
      </c>
      <c r="O143" s="51">
        <f t="shared" si="63"/>
        <v>45.080500000000015</v>
      </c>
      <c r="P143" s="58"/>
    </row>
    <row r="144" spans="1:16" ht="16.5" customHeight="1" outlineLevel="2">
      <c r="A144" s="449" t="s">
        <v>521</v>
      </c>
      <c r="B144" s="450" t="s">
        <v>228</v>
      </c>
      <c r="C144" s="50">
        <f t="shared" si="52"/>
        <v>3.6450639476200251</v>
      </c>
      <c r="D144" s="50">
        <f>成本明细!E456</f>
        <v>34.902999999999999</v>
      </c>
      <c r="E144" s="50">
        <v>0</v>
      </c>
      <c r="F144" s="50">
        <f>成本明细!F456/10000</f>
        <v>0</v>
      </c>
      <c r="G144" s="50"/>
      <c r="H144" s="50"/>
      <c r="I144" s="50"/>
      <c r="J144" s="50">
        <f t="shared" si="53"/>
        <v>0</v>
      </c>
      <c r="K144" s="50"/>
      <c r="L144" s="50">
        <v>0</v>
      </c>
      <c r="M144" s="55"/>
      <c r="N144" s="50">
        <f t="shared" si="55"/>
        <v>0</v>
      </c>
      <c r="O144" s="50">
        <f t="shared" si="56"/>
        <v>-34.902999999999999</v>
      </c>
      <c r="P144" s="56"/>
    </row>
    <row r="145" spans="1:16" ht="16.5" customHeight="1" outlineLevel="2">
      <c r="A145" s="449" t="s">
        <v>522</v>
      </c>
      <c r="B145" s="450" t="s">
        <v>229</v>
      </c>
      <c r="C145" s="50">
        <f t="shared" si="52"/>
        <v>3.185919357020035</v>
      </c>
      <c r="D145" s="50">
        <f>成本明细!E459</f>
        <v>30.506499999999999</v>
      </c>
      <c r="E145" s="50">
        <v>0</v>
      </c>
      <c r="F145" s="50">
        <f>成本明细!F459/10000</f>
        <v>0</v>
      </c>
      <c r="G145" s="50"/>
      <c r="H145" s="50"/>
      <c r="I145" s="50"/>
      <c r="J145" s="50">
        <f t="shared" si="53"/>
        <v>0</v>
      </c>
      <c r="K145" s="50"/>
      <c r="L145" s="50">
        <v>0</v>
      </c>
      <c r="M145" s="55"/>
      <c r="N145" s="50">
        <f t="shared" si="55"/>
        <v>0</v>
      </c>
      <c r="O145" s="50">
        <f t="shared" si="56"/>
        <v>-30.506499999999999</v>
      </c>
      <c r="P145" s="56"/>
    </row>
    <row r="146" spans="1:16" ht="16.5" customHeight="1" outlineLevel="2">
      <c r="A146" s="449" t="s">
        <v>523</v>
      </c>
      <c r="B146" s="450" t="s">
        <v>230</v>
      </c>
      <c r="C146" s="50">
        <f t="shared" si="52"/>
        <v>0</v>
      </c>
      <c r="D146" s="50">
        <f>成本明细!E462</f>
        <v>0</v>
      </c>
      <c r="E146" s="50">
        <v>174.54482999999999</v>
      </c>
      <c r="F146" s="50">
        <f>成本明细!F462/10000</f>
        <v>60.49</v>
      </c>
      <c r="G146" s="50"/>
      <c r="H146" s="50"/>
      <c r="I146" s="50"/>
      <c r="J146" s="50">
        <f t="shared" si="53"/>
        <v>60.49</v>
      </c>
      <c r="K146" s="50"/>
      <c r="L146" s="50">
        <v>50</v>
      </c>
      <c r="M146" s="55" t="s">
        <v>587</v>
      </c>
      <c r="N146" s="50">
        <f t="shared" si="55"/>
        <v>110.49000000000001</v>
      </c>
      <c r="O146" s="50">
        <f t="shared" si="56"/>
        <v>110.49000000000001</v>
      </c>
      <c r="P146" s="56"/>
    </row>
    <row r="147" spans="1:16" ht="16.5" customHeight="1" outlineLevel="1">
      <c r="A147" s="454">
        <v>4.8</v>
      </c>
      <c r="B147" s="455" t="s">
        <v>524</v>
      </c>
      <c r="C147" s="51">
        <f t="shared" ref="C147:O147" si="64">SUM(C148:C150)</f>
        <v>25.519802535973639</v>
      </c>
      <c r="D147" s="51">
        <f t="shared" si="64"/>
        <v>244.36270000000002</v>
      </c>
      <c r="E147" s="51">
        <v>244.362762</v>
      </c>
      <c r="F147" s="51">
        <f t="shared" si="64"/>
        <v>0</v>
      </c>
      <c r="G147" s="51">
        <f t="shared" si="64"/>
        <v>0</v>
      </c>
      <c r="H147" s="51">
        <f t="shared" si="64"/>
        <v>0</v>
      </c>
      <c r="I147" s="51">
        <f t="shared" si="64"/>
        <v>0</v>
      </c>
      <c r="J147" s="51">
        <f t="shared" si="64"/>
        <v>0</v>
      </c>
      <c r="K147" s="51"/>
      <c r="L147" s="51">
        <f t="shared" si="64"/>
        <v>244.36270000000002</v>
      </c>
      <c r="M147" s="57"/>
      <c r="N147" s="51">
        <f t="shared" si="64"/>
        <v>244.36270000000002</v>
      </c>
      <c r="O147" s="51">
        <f t="shared" si="64"/>
        <v>0</v>
      </c>
      <c r="P147" s="58"/>
    </row>
    <row r="148" spans="1:16" ht="16.5" customHeight="1" outlineLevel="2">
      <c r="A148" s="449" t="s">
        <v>525</v>
      </c>
      <c r="B148" s="450" t="s">
        <v>526</v>
      </c>
      <c r="C148" s="50">
        <f t="shared" si="52"/>
        <v>6.0761439582514187</v>
      </c>
      <c r="D148" s="50">
        <f>成本明细!E467</f>
        <v>58.181600000000003</v>
      </c>
      <c r="E148" s="50">
        <v>58.181609999999999</v>
      </c>
      <c r="F148" s="50">
        <f>成本明细!F467/10000</f>
        <v>0</v>
      </c>
      <c r="G148" s="50"/>
      <c r="H148" s="50"/>
      <c r="I148" s="50"/>
      <c r="J148" s="50">
        <f t="shared" si="53"/>
        <v>0</v>
      </c>
      <c r="K148" s="50"/>
      <c r="L148" s="50">
        <f>D148-J148</f>
        <v>58.181600000000003</v>
      </c>
      <c r="M148" s="55"/>
      <c r="N148" s="50">
        <f t="shared" si="55"/>
        <v>58.181600000000003</v>
      </c>
      <c r="O148" s="50">
        <f t="shared" si="56"/>
        <v>0</v>
      </c>
      <c r="P148" s="56"/>
    </row>
    <row r="149" spans="1:16" ht="16.5" customHeight="1" outlineLevel="2">
      <c r="A149" s="449" t="s">
        <v>527</v>
      </c>
      <c r="B149" s="450" t="s">
        <v>528</v>
      </c>
      <c r="C149" s="50">
        <f t="shared" si="52"/>
        <v>18.228431874754257</v>
      </c>
      <c r="D149" s="50">
        <f>成本明细!E470</f>
        <v>174.54480000000001</v>
      </c>
      <c r="E149" s="50">
        <v>174.54482999999999</v>
      </c>
      <c r="F149" s="50">
        <f>成本明细!F470/10000</f>
        <v>0</v>
      </c>
      <c r="G149" s="50"/>
      <c r="H149" s="50"/>
      <c r="I149" s="50"/>
      <c r="J149" s="50">
        <f t="shared" si="53"/>
        <v>0</v>
      </c>
      <c r="K149" s="50"/>
      <c r="L149" s="50">
        <f t="shared" ref="L149:L150" si="65">D149-J149</f>
        <v>174.54480000000001</v>
      </c>
      <c r="M149" s="55"/>
      <c r="N149" s="50">
        <f t="shared" si="55"/>
        <v>174.54480000000001</v>
      </c>
      <c r="O149" s="50">
        <f t="shared" si="56"/>
        <v>0</v>
      </c>
      <c r="P149" s="56"/>
    </row>
    <row r="150" spans="1:16" ht="16.5" customHeight="1" outlineLevel="2">
      <c r="A150" s="449" t="s">
        <v>529</v>
      </c>
      <c r="B150" s="450" t="s">
        <v>530</v>
      </c>
      <c r="C150" s="50">
        <f t="shared" si="52"/>
        <v>1.2152267029679655</v>
      </c>
      <c r="D150" s="50">
        <f>成本明细!E473</f>
        <v>11.6363</v>
      </c>
      <c r="E150" s="50">
        <v>11.636322</v>
      </c>
      <c r="F150" s="50">
        <f>成本明细!F473/10000</f>
        <v>0</v>
      </c>
      <c r="G150" s="50"/>
      <c r="H150" s="50"/>
      <c r="I150" s="50"/>
      <c r="J150" s="50">
        <f t="shared" si="53"/>
        <v>0</v>
      </c>
      <c r="K150" s="50"/>
      <c r="L150" s="50">
        <f t="shared" si="65"/>
        <v>11.6363</v>
      </c>
      <c r="M150" s="55"/>
      <c r="N150" s="50">
        <f t="shared" si="55"/>
        <v>11.6363</v>
      </c>
      <c r="O150" s="50">
        <f t="shared" si="56"/>
        <v>0</v>
      </c>
      <c r="P150" s="56"/>
    </row>
    <row r="151" spans="1:16" ht="16.5" customHeight="1" outlineLevel="1">
      <c r="A151" s="454">
        <v>4.9000000000000004</v>
      </c>
      <c r="B151" s="455" t="s">
        <v>231</v>
      </c>
      <c r="C151" s="51">
        <f t="shared" ref="C151:O151" si="66">SUM(C152:C154)</f>
        <v>3.4510984641396742</v>
      </c>
      <c r="D151" s="51">
        <f t="shared" si="66"/>
        <v>33.045699999999997</v>
      </c>
      <c r="E151" s="51">
        <v>67.954616000000001</v>
      </c>
      <c r="F151" s="51">
        <f t="shared" si="66"/>
        <v>0</v>
      </c>
      <c r="G151" s="51">
        <f t="shared" si="66"/>
        <v>0</v>
      </c>
      <c r="H151" s="51">
        <f t="shared" si="66"/>
        <v>0</v>
      </c>
      <c r="I151" s="51">
        <f t="shared" si="66"/>
        <v>0</v>
      </c>
      <c r="J151" s="51">
        <f t="shared" si="66"/>
        <v>0</v>
      </c>
      <c r="K151" s="51"/>
      <c r="L151" s="51">
        <f t="shared" si="66"/>
        <v>33.045699999999997</v>
      </c>
      <c r="M151" s="57"/>
      <c r="N151" s="51">
        <f t="shared" si="66"/>
        <v>33.045699999999997</v>
      </c>
      <c r="O151" s="51">
        <f t="shared" si="66"/>
        <v>0</v>
      </c>
      <c r="P151" s="58"/>
    </row>
    <row r="152" spans="1:16" ht="16.5" customHeight="1" outlineLevel="2">
      <c r="A152" s="449" t="s">
        <v>531</v>
      </c>
      <c r="B152" s="450" t="s">
        <v>232</v>
      </c>
      <c r="C152" s="50">
        <f t="shared" si="52"/>
        <v>1.2803622610612699</v>
      </c>
      <c r="D152" s="50">
        <f>成本明细!E477</f>
        <v>12.26</v>
      </c>
      <c r="E152" s="50">
        <v>12.26</v>
      </c>
      <c r="F152" s="50">
        <f>成本明细!F477/10000</f>
        <v>0</v>
      </c>
      <c r="G152" s="50"/>
      <c r="H152" s="50"/>
      <c r="I152" s="50"/>
      <c r="J152" s="50">
        <f t="shared" si="53"/>
        <v>0</v>
      </c>
      <c r="K152" s="50"/>
      <c r="L152" s="50">
        <f>D152-J152</f>
        <v>12.26</v>
      </c>
      <c r="M152" s="55"/>
      <c r="N152" s="50">
        <f t="shared" si="55"/>
        <v>12.26</v>
      </c>
      <c r="O152" s="50">
        <f t="shared" si="56"/>
        <v>0</v>
      </c>
      <c r="P152" s="56"/>
    </row>
    <row r="153" spans="1:16" ht="16.5" customHeight="1" outlineLevel="2">
      <c r="A153" s="449" t="s">
        <v>532</v>
      </c>
      <c r="B153" s="450" t="s">
        <v>533</v>
      </c>
      <c r="C153" s="50">
        <f t="shared" si="52"/>
        <v>2.1707362030784045</v>
      </c>
      <c r="D153" s="50">
        <f>成本明细!E480</f>
        <v>20.785699999999999</v>
      </c>
      <c r="E153" s="50">
        <v>20.78565</v>
      </c>
      <c r="F153" s="50">
        <f>成本明细!F480/10000</f>
        <v>0</v>
      </c>
      <c r="G153" s="50"/>
      <c r="H153" s="50"/>
      <c r="I153" s="50"/>
      <c r="J153" s="50">
        <f t="shared" si="53"/>
        <v>0</v>
      </c>
      <c r="K153" s="50"/>
      <c r="L153" s="50">
        <f t="shared" ref="L153:L154" si="67">D153-J153</f>
        <v>20.785699999999999</v>
      </c>
      <c r="M153" s="55"/>
      <c r="N153" s="50">
        <f t="shared" si="55"/>
        <v>20.785699999999999</v>
      </c>
      <c r="O153" s="50">
        <f t="shared" si="56"/>
        <v>0</v>
      </c>
      <c r="P153" s="56"/>
    </row>
    <row r="154" spans="1:16" ht="16.5" customHeight="1" outlineLevel="2">
      <c r="A154" s="449" t="s">
        <v>534</v>
      </c>
      <c r="B154" s="450" t="s">
        <v>535</v>
      </c>
      <c r="C154" s="50">
        <f t="shared" si="52"/>
        <v>0</v>
      </c>
      <c r="D154" s="50">
        <f>成本明细!E483</f>
        <v>0</v>
      </c>
      <c r="E154" s="50">
        <v>34.908965999999999</v>
      </c>
      <c r="F154" s="50">
        <f>成本明细!F483/10000</f>
        <v>0</v>
      </c>
      <c r="G154" s="50"/>
      <c r="H154" s="50"/>
      <c r="I154" s="50"/>
      <c r="J154" s="50">
        <f t="shared" si="53"/>
        <v>0</v>
      </c>
      <c r="K154" s="50"/>
      <c r="L154" s="50">
        <f t="shared" si="67"/>
        <v>0</v>
      </c>
      <c r="M154" s="55"/>
      <c r="N154" s="50">
        <f t="shared" si="55"/>
        <v>0</v>
      </c>
      <c r="O154" s="50">
        <f t="shared" si="56"/>
        <v>0</v>
      </c>
      <c r="P154" s="56"/>
    </row>
    <row r="155" spans="1:16" ht="16.5" customHeight="1">
      <c r="A155" s="452" t="s">
        <v>233</v>
      </c>
      <c r="B155" s="453" t="s">
        <v>234</v>
      </c>
      <c r="C155" s="49">
        <f>C156+C157+C162</f>
        <v>82.873974652795738</v>
      </c>
      <c r="D155" s="49">
        <f>D156+D157+D162</f>
        <v>793.55269999999996</v>
      </c>
      <c r="E155" s="49">
        <v>859.55211492900003</v>
      </c>
      <c r="F155" s="49">
        <f t="shared" ref="F155:O155" si="68">F156+F157+F162</f>
        <v>648.17530500000009</v>
      </c>
      <c r="G155" s="49">
        <f t="shared" si="68"/>
        <v>0</v>
      </c>
      <c r="H155" s="49">
        <f t="shared" si="68"/>
        <v>0</v>
      </c>
      <c r="I155" s="49">
        <f t="shared" si="68"/>
        <v>0</v>
      </c>
      <c r="J155" s="49">
        <f t="shared" si="68"/>
        <v>648.17530500000009</v>
      </c>
      <c r="K155" s="49"/>
      <c r="L155" s="49">
        <f t="shared" si="68"/>
        <v>145.37739499999986</v>
      </c>
      <c r="M155" s="49"/>
      <c r="N155" s="49">
        <f t="shared" si="68"/>
        <v>793.55269999999996</v>
      </c>
      <c r="O155" s="49">
        <f t="shared" si="68"/>
        <v>0</v>
      </c>
      <c r="P155" s="54"/>
    </row>
    <row r="156" spans="1:16" ht="16.5" customHeight="1" outlineLevel="1">
      <c r="A156" s="454">
        <v>5.0999999999999996</v>
      </c>
      <c r="B156" s="455" t="s">
        <v>536</v>
      </c>
      <c r="C156" s="51">
        <f t="shared" si="52"/>
        <v>67.678852561481676</v>
      </c>
      <c r="D156" s="51">
        <f>成本明细!E486</f>
        <v>648.05309999999997</v>
      </c>
      <c r="E156" s="51">
        <v>648.05305950000002</v>
      </c>
      <c r="F156" s="51">
        <f>成本明细!F486/10000</f>
        <v>648.17530500000009</v>
      </c>
      <c r="G156" s="51"/>
      <c r="H156" s="51"/>
      <c r="I156" s="51"/>
      <c r="J156" s="51">
        <f t="shared" si="53"/>
        <v>648.17530500000009</v>
      </c>
      <c r="K156" s="51"/>
      <c r="L156" s="51">
        <f>D156-J156</f>
        <v>-0.1222050000001218</v>
      </c>
      <c r="M156" s="57"/>
      <c r="N156" s="51">
        <f>J156+L156</f>
        <v>648.05309999999997</v>
      </c>
      <c r="O156" s="51">
        <f>N156-D156</f>
        <v>0</v>
      </c>
      <c r="P156" s="58"/>
    </row>
    <row r="157" spans="1:16" ht="16.5" customHeight="1" outlineLevel="1">
      <c r="A157" s="454">
        <v>5.2</v>
      </c>
      <c r="B157" s="455" t="s">
        <v>235</v>
      </c>
      <c r="C157" s="51">
        <f t="shared" ref="C157:F157" si="69">SUM(C158:C161)</f>
        <v>15.195122091314056</v>
      </c>
      <c r="D157" s="51">
        <f t="shared" si="69"/>
        <v>145.49959999999999</v>
      </c>
      <c r="E157" s="51">
        <v>145.49955</v>
      </c>
      <c r="F157" s="51">
        <f t="shared" si="69"/>
        <v>0</v>
      </c>
      <c r="G157" s="51">
        <f t="shared" ref="G157:O157" si="70">SUM(G158:G161)</f>
        <v>0</v>
      </c>
      <c r="H157" s="51">
        <f t="shared" si="70"/>
        <v>0</v>
      </c>
      <c r="I157" s="51">
        <f t="shared" si="70"/>
        <v>0</v>
      </c>
      <c r="J157" s="51">
        <f t="shared" si="70"/>
        <v>0</v>
      </c>
      <c r="K157" s="51"/>
      <c r="L157" s="51">
        <f t="shared" si="70"/>
        <v>145.49959999999999</v>
      </c>
      <c r="M157" s="57"/>
      <c r="N157" s="51">
        <f t="shared" si="70"/>
        <v>145.49959999999999</v>
      </c>
      <c r="O157" s="51">
        <f t="shared" si="70"/>
        <v>0</v>
      </c>
      <c r="P157" s="58"/>
    </row>
    <row r="158" spans="1:16" ht="16.5" customHeight="1" outlineLevel="2">
      <c r="A158" s="449" t="s">
        <v>537</v>
      </c>
      <c r="B158" s="450" t="s">
        <v>236</v>
      </c>
      <c r="C158" s="50">
        <f t="shared" si="52"/>
        <v>6.5121981658236221</v>
      </c>
      <c r="D158" s="50">
        <f>成本明细!E491</f>
        <v>62.356999999999999</v>
      </c>
      <c r="E158" s="50">
        <v>62.356949999999998</v>
      </c>
      <c r="F158" s="50">
        <f>成本明细!F491/10000</f>
        <v>0</v>
      </c>
      <c r="G158" s="50"/>
      <c r="H158" s="50"/>
      <c r="I158" s="50"/>
      <c r="J158" s="50">
        <f t="shared" si="53"/>
        <v>0</v>
      </c>
      <c r="K158" s="50"/>
      <c r="L158" s="50">
        <f t="shared" ref="L158:L161" si="71">D158-J158</f>
        <v>62.356999999999999</v>
      </c>
      <c r="M158" s="55"/>
      <c r="N158" s="50">
        <f t="shared" ref="N158:N161" si="72">J158+L158</f>
        <v>62.356999999999999</v>
      </c>
      <c r="O158" s="50">
        <f t="shared" ref="O158:O163" si="73">N158-D158</f>
        <v>0</v>
      </c>
      <c r="P158" s="56"/>
    </row>
    <row r="159" spans="1:16" ht="16.5" customHeight="1" outlineLevel="2">
      <c r="A159" s="449" t="s">
        <v>538</v>
      </c>
      <c r="B159" s="450" t="s">
        <v>239</v>
      </c>
      <c r="C159" s="50">
        <f t="shared" si="52"/>
        <v>6.5121981658236221</v>
      </c>
      <c r="D159" s="50">
        <f>成本明细!E494</f>
        <v>62.356999999999999</v>
      </c>
      <c r="E159" s="50">
        <v>62.356949999999998</v>
      </c>
      <c r="F159" s="50">
        <f>成本明细!F494/10000</f>
        <v>0</v>
      </c>
      <c r="G159" s="50"/>
      <c r="H159" s="50"/>
      <c r="I159" s="50"/>
      <c r="J159" s="50">
        <f t="shared" si="53"/>
        <v>0</v>
      </c>
      <c r="K159" s="50"/>
      <c r="L159" s="50">
        <f t="shared" si="71"/>
        <v>62.356999999999999</v>
      </c>
      <c r="M159" s="55"/>
      <c r="N159" s="50">
        <f t="shared" si="72"/>
        <v>62.356999999999999</v>
      </c>
      <c r="O159" s="50">
        <f t="shared" si="73"/>
        <v>0</v>
      </c>
      <c r="P159" s="56"/>
    </row>
    <row r="160" spans="1:16" ht="16.5" customHeight="1" outlineLevel="2">
      <c r="A160" s="449" t="s">
        <v>539</v>
      </c>
      <c r="B160" s="450" t="s">
        <v>237</v>
      </c>
      <c r="C160" s="50">
        <f t="shared" si="52"/>
        <v>1.0853628798334067</v>
      </c>
      <c r="D160" s="50">
        <f>成本明细!E497</f>
        <v>10.392799999999999</v>
      </c>
      <c r="E160" s="50">
        <v>10.392825</v>
      </c>
      <c r="F160" s="50">
        <f>成本明细!F497/10000</f>
        <v>0</v>
      </c>
      <c r="G160" s="50"/>
      <c r="H160" s="50"/>
      <c r="I160" s="50"/>
      <c r="J160" s="50">
        <f t="shared" si="53"/>
        <v>0</v>
      </c>
      <c r="K160" s="50"/>
      <c r="L160" s="50">
        <f t="shared" si="71"/>
        <v>10.392799999999999</v>
      </c>
      <c r="M160" s="55"/>
      <c r="N160" s="50">
        <f t="shared" si="72"/>
        <v>10.392799999999999</v>
      </c>
      <c r="O160" s="50">
        <f t="shared" si="73"/>
        <v>0</v>
      </c>
      <c r="P160" s="56"/>
    </row>
    <row r="161" spans="1:17" ht="16.5" customHeight="1" outlineLevel="2">
      <c r="A161" s="449" t="s">
        <v>540</v>
      </c>
      <c r="B161" s="450" t="s">
        <v>238</v>
      </c>
      <c r="C161" s="50">
        <f t="shared" si="52"/>
        <v>1.0853628798334067</v>
      </c>
      <c r="D161" s="50">
        <f>成本明细!E500</f>
        <v>10.392799999999999</v>
      </c>
      <c r="E161" s="50">
        <v>10.392825</v>
      </c>
      <c r="F161" s="50">
        <f>成本明细!F500/10000</f>
        <v>0</v>
      </c>
      <c r="G161" s="50"/>
      <c r="H161" s="50"/>
      <c r="I161" s="50"/>
      <c r="J161" s="50">
        <f t="shared" si="53"/>
        <v>0</v>
      </c>
      <c r="K161" s="50"/>
      <c r="L161" s="50">
        <f t="shared" si="71"/>
        <v>10.392799999999999</v>
      </c>
      <c r="M161" s="55"/>
      <c r="N161" s="50">
        <f t="shared" si="72"/>
        <v>10.392799999999999</v>
      </c>
      <c r="O161" s="50">
        <f t="shared" si="73"/>
        <v>0</v>
      </c>
      <c r="P161" s="56"/>
    </row>
    <row r="162" spans="1:17" ht="16.5" customHeight="1" outlineLevel="1">
      <c r="A162" s="454">
        <v>5.3</v>
      </c>
      <c r="B162" s="455" t="s">
        <v>240</v>
      </c>
      <c r="C162" s="51">
        <f t="shared" si="52"/>
        <v>0</v>
      </c>
      <c r="D162" s="51">
        <f>成本明细!E503</f>
        <v>0</v>
      </c>
      <c r="E162" s="51">
        <v>65.999505428999996</v>
      </c>
      <c r="F162" s="51">
        <v>0</v>
      </c>
      <c r="G162" s="51"/>
      <c r="H162" s="51"/>
      <c r="I162" s="51"/>
      <c r="J162" s="51">
        <f t="shared" si="53"/>
        <v>0</v>
      </c>
      <c r="K162" s="51"/>
      <c r="L162" s="51">
        <v>0</v>
      </c>
      <c r="M162" s="57"/>
      <c r="N162" s="51">
        <v>0</v>
      </c>
      <c r="O162" s="51">
        <f t="shared" si="73"/>
        <v>0</v>
      </c>
      <c r="P162" s="58"/>
    </row>
    <row r="163" spans="1:17" ht="16.5" customHeight="1">
      <c r="A163" s="446" t="s">
        <v>241</v>
      </c>
      <c r="B163" s="447" t="s">
        <v>541</v>
      </c>
      <c r="C163" s="49">
        <f t="shared" si="52"/>
        <v>20.345405394961993</v>
      </c>
      <c r="D163" s="49">
        <f>成本明细!E510</f>
        <v>194.81569999999999</v>
      </c>
      <c r="E163" s="49">
        <v>209.40155430100401</v>
      </c>
      <c r="F163" s="49">
        <f>成本明细!F510/10000</f>
        <v>31.764900000000001</v>
      </c>
      <c r="G163" s="49"/>
      <c r="H163" s="49"/>
      <c r="I163" s="49"/>
      <c r="J163" s="49">
        <f t="shared" si="53"/>
        <v>31.764900000000001</v>
      </c>
      <c r="K163" s="49"/>
      <c r="L163" s="49">
        <f>D163-J163</f>
        <v>163.05079999999998</v>
      </c>
      <c r="M163" s="53"/>
      <c r="N163" s="49">
        <f>J163+L163</f>
        <v>194.81569999999999</v>
      </c>
      <c r="O163" s="49">
        <f t="shared" si="73"/>
        <v>0</v>
      </c>
      <c r="P163" s="54"/>
    </row>
    <row r="164" spans="1:17" ht="16.5" customHeight="1">
      <c r="A164" s="457" t="s">
        <v>242</v>
      </c>
      <c r="B164" s="458" t="s">
        <v>243</v>
      </c>
      <c r="C164" s="60">
        <f t="shared" ref="C164:J164" si="74">C8+C16+C70+C105+C155+C163</f>
        <v>9535.0778634659709</v>
      </c>
      <c r="D164" s="60">
        <f t="shared" si="74"/>
        <v>91302.327600000004</v>
      </c>
      <c r="E164" s="60">
        <v>94716.237669510199</v>
      </c>
      <c r="F164" s="60">
        <f t="shared" si="74"/>
        <v>82797.318612999981</v>
      </c>
      <c r="G164" s="60">
        <f t="shared" si="74"/>
        <v>6.3845000000000001</v>
      </c>
      <c r="H164" s="60">
        <f t="shared" si="74"/>
        <v>0</v>
      </c>
      <c r="I164" s="60">
        <f t="shared" si="74"/>
        <v>0</v>
      </c>
      <c r="J164" s="60">
        <f t="shared" si="74"/>
        <v>82185.683912999986</v>
      </c>
      <c r="K164" s="60"/>
      <c r="L164" s="60">
        <f t="shared" ref="L164:O164" si="75">L8+L16+L70+L105+L155+L163</f>
        <v>37360.855388000004</v>
      </c>
      <c r="M164" s="60">
        <f t="shared" si="75"/>
        <v>0</v>
      </c>
      <c r="N164" s="60">
        <f t="shared" si="75"/>
        <v>119546.53930100001</v>
      </c>
      <c r="O164" s="60">
        <f t="shared" si="75"/>
        <v>28244.211701</v>
      </c>
      <c r="P164" s="79"/>
    </row>
    <row r="165" spans="1:17">
      <c r="A165" s="61" t="s">
        <v>244</v>
      </c>
      <c r="B165" s="62" t="s">
        <v>247</v>
      </c>
      <c r="C165" s="63"/>
      <c r="D165" s="63"/>
      <c r="E165" s="63"/>
      <c r="F165" s="63"/>
      <c r="G165" s="63"/>
      <c r="H165" s="63"/>
      <c r="I165" s="63"/>
      <c r="J165" s="80">
        <v>26159.107599999999</v>
      </c>
      <c r="K165" s="81"/>
      <c r="L165" s="80">
        <f>N165-J165</f>
        <v>97576.067400000014</v>
      </c>
      <c r="M165" s="81"/>
      <c r="N165" s="80">
        <f>销售价格测算!BP55</f>
        <v>123735.17500000002</v>
      </c>
      <c r="O165" s="81"/>
      <c r="P165" s="81"/>
      <c r="Q165" s="459"/>
    </row>
    <row r="166" spans="1:17">
      <c r="A166" s="64" t="s">
        <v>246</v>
      </c>
      <c r="B166" s="65" t="s">
        <v>542</v>
      </c>
      <c r="C166" s="66"/>
      <c r="D166" s="66"/>
      <c r="E166" s="66"/>
      <c r="F166" s="66"/>
      <c r="G166" s="66"/>
      <c r="H166" s="66"/>
      <c r="I166" s="66"/>
      <c r="J166" s="82"/>
      <c r="K166" s="82"/>
      <c r="L166" s="82"/>
      <c r="M166" s="82"/>
      <c r="N166" s="82"/>
      <c r="O166" s="82"/>
      <c r="P166" s="82"/>
      <c r="Q166" s="459"/>
    </row>
    <row r="167" spans="1:17">
      <c r="A167" s="67" t="s">
        <v>248</v>
      </c>
      <c r="B167" s="68" t="s">
        <v>165</v>
      </c>
      <c r="C167" s="69"/>
      <c r="D167" s="69"/>
      <c r="E167" s="69"/>
      <c r="F167" s="69"/>
      <c r="G167" s="69"/>
      <c r="H167" s="69"/>
      <c r="I167" s="69"/>
      <c r="J167" s="83">
        <v>1020</v>
      </c>
      <c r="K167" s="84"/>
      <c r="L167" s="83">
        <v>1950</v>
      </c>
      <c r="M167" s="84"/>
      <c r="N167" s="83">
        <f t="shared" ref="N167:N172" si="76">J167+L167</f>
        <v>2970</v>
      </c>
      <c r="O167" s="85">
        <f>N167/N165</f>
        <v>2.400287549599376E-2</v>
      </c>
      <c r="P167" s="84"/>
      <c r="Q167" s="459"/>
    </row>
    <row r="168" spans="1:17">
      <c r="A168" s="67" t="s">
        <v>249</v>
      </c>
      <c r="B168" s="68" t="s">
        <v>250</v>
      </c>
      <c r="C168" s="69"/>
      <c r="D168" s="69"/>
      <c r="E168" s="69"/>
      <c r="F168" s="69"/>
      <c r="G168" s="69"/>
      <c r="H168" s="69"/>
      <c r="I168" s="69"/>
      <c r="J168" s="83">
        <v>1434.0075999999999</v>
      </c>
      <c r="K168" s="84"/>
      <c r="L168" s="86">
        <f>J168/29*25</f>
        <v>1236.213448275862</v>
      </c>
      <c r="M168" s="84"/>
      <c r="N168" s="83">
        <f t="shared" si="76"/>
        <v>2670.2210482758619</v>
      </c>
      <c r="O168" s="85">
        <f>N168/N165</f>
        <v>2.1580129080319008E-2</v>
      </c>
      <c r="P168" s="84"/>
      <c r="Q168" s="459"/>
    </row>
    <row r="169" spans="1:17">
      <c r="A169" s="67" t="s">
        <v>251</v>
      </c>
      <c r="B169" s="70" t="s">
        <v>245</v>
      </c>
      <c r="C169" s="69"/>
      <c r="D169" s="69"/>
      <c r="E169" s="69"/>
      <c r="F169" s="69"/>
      <c r="G169" s="69"/>
      <c r="H169" s="69"/>
      <c r="I169" s="69"/>
      <c r="J169" s="83">
        <f>J165*0.01</f>
        <v>261.59107599999999</v>
      </c>
      <c r="K169" s="84"/>
      <c r="L169" s="86">
        <f>100700*0.01+5600*0.015</f>
        <v>1091</v>
      </c>
      <c r="M169" s="84"/>
      <c r="N169" s="83">
        <f t="shared" si="76"/>
        <v>1352.5910759999999</v>
      </c>
      <c r="O169" s="84"/>
      <c r="P169" s="84"/>
      <c r="Q169" s="459"/>
    </row>
    <row r="170" spans="1:17" ht="14.25" customHeight="1">
      <c r="A170" s="67" t="s">
        <v>252</v>
      </c>
      <c r="B170" s="68" t="s">
        <v>543</v>
      </c>
      <c r="C170" s="69"/>
      <c r="D170" s="69"/>
      <c r="E170" s="69"/>
      <c r="F170" s="69"/>
      <c r="G170" s="69"/>
      <c r="H170" s="69"/>
      <c r="I170" s="69"/>
      <c r="J170" s="83">
        <f>1745.2338+2000</f>
        <v>3745.2338</v>
      </c>
      <c r="K170" s="84" t="s">
        <v>588</v>
      </c>
      <c r="L170" s="86">
        <f>5400-J170</f>
        <v>1654.7662</v>
      </c>
      <c r="M170" s="84"/>
      <c r="N170" s="83">
        <f t="shared" si="76"/>
        <v>5400</v>
      </c>
      <c r="O170" s="84"/>
      <c r="P170" s="84"/>
      <c r="Q170" s="459"/>
    </row>
    <row r="171" spans="1:17">
      <c r="A171" s="67" t="s">
        <v>253</v>
      </c>
      <c r="B171" s="68" t="s">
        <v>544</v>
      </c>
      <c r="C171" s="69"/>
      <c r="D171" s="69"/>
      <c r="E171" s="69"/>
      <c r="F171" s="69"/>
      <c r="G171" s="69"/>
      <c r="H171" s="69"/>
      <c r="I171" s="69"/>
      <c r="J171" s="84">
        <v>10800</v>
      </c>
      <c r="K171" s="84"/>
      <c r="L171" s="86">
        <v>0</v>
      </c>
      <c r="M171" s="84"/>
      <c r="N171" s="83">
        <f t="shared" si="76"/>
        <v>10800</v>
      </c>
      <c r="O171" s="84"/>
      <c r="P171" s="84"/>
      <c r="Q171" s="459"/>
    </row>
    <row r="172" spans="1:17">
      <c r="A172" s="67" t="s">
        <v>255</v>
      </c>
      <c r="B172" s="68" t="s">
        <v>254</v>
      </c>
      <c r="C172" s="71"/>
      <c r="D172" s="71"/>
      <c r="E172" s="71"/>
      <c r="F172" s="71"/>
      <c r="G172" s="71"/>
      <c r="H172" s="71"/>
      <c r="I172" s="71"/>
      <c r="J172" s="87">
        <f>J165*0.0565</f>
        <v>1477.9895793999999</v>
      </c>
      <c r="K172" s="85"/>
      <c r="L172" s="88">
        <f>L165*0.0565</f>
        <v>5513.047808100001</v>
      </c>
      <c r="M172" s="85"/>
      <c r="N172" s="88">
        <f t="shared" si="76"/>
        <v>6991.0373875000005</v>
      </c>
      <c r="O172" s="85"/>
      <c r="P172" s="85"/>
      <c r="Q172" s="459"/>
    </row>
    <row r="173" spans="1:17">
      <c r="A173" s="67" t="s">
        <v>257</v>
      </c>
      <c r="B173" s="68" t="s">
        <v>256</v>
      </c>
      <c r="C173" s="71"/>
      <c r="D173" s="71"/>
      <c r="E173" s="71"/>
      <c r="F173" s="71"/>
      <c r="G173" s="71"/>
      <c r="H173" s="71"/>
      <c r="I173" s="71"/>
      <c r="J173" s="85"/>
      <c r="K173" s="85"/>
      <c r="L173" s="85"/>
      <c r="M173" s="85"/>
      <c r="N173" s="88">
        <f>N165*0.02</f>
        <v>2474.7035000000005</v>
      </c>
      <c r="O173" s="85"/>
      <c r="P173" s="85"/>
      <c r="Q173" s="459"/>
    </row>
    <row r="174" spans="1:17">
      <c r="A174" s="72" t="s">
        <v>258</v>
      </c>
      <c r="B174" s="73" t="s">
        <v>261</v>
      </c>
      <c r="C174" s="74"/>
      <c r="D174" s="74"/>
      <c r="E174" s="74"/>
      <c r="F174" s="74"/>
      <c r="G174" s="74"/>
      <c r="H174" s="74"/>
      <c r="I174" s="74"/>
      <c r="J174" s="89"/>
      <c r="K174" s="89"/>
      <c r="L174" s="89"/>
      <c r="M174" s="89"/>
      <c r="N174" s="89">
        <f>N164+N167+N168+N169+N170+N171+N172+N173</f>
        <v>152205.09231277587</v>
      </c>
      <c r="O174" s="89"/>
      <c r="P174" s="89"/>
      <c r="Q174" s="459"/>
    </row>
    <row r="175" spans="1:17">
      <c r="A175" s="67" t="s">
        <v>260</v>
      </c>
      <c r="B175" s="68" t="s">
        <v>545</v>
      </c>
      <c r="C175" s="75"/>
      <c r="D175" s="75"/>
      <c r="E175" s="75"/>
      <c r="F175" s="75"/>
      <c r="G175" s="75"/>
      <c r="H175" s="75"/>
      <c r="I175" s="75"/>
      <c r="J175" s="90"/>
      <c r="K175" s="90"/>
      <c r="L175" s="90"/>
      <c r="M175" s="90"/>
      <c r="N175" s="90">
        <f>N165-N174</f>
        <v>-28469.917312775855</v>
      </c>
      <c r="O175" s="90"/>
      <c r="P175" s="90"/>
      <c r="Q175" s="459"/>
    </row>
    <row r="176" spans="1:17">
      <c r="A176" s="64" t="s">
        <v>262</v>
      </c>
      <c r="B176" s="65" t="s">
        <v>546</v>
      </c>
      <c r="C176" s="76"/>
      <c r="D176" s="76"/>
      <c r="E176" s="76"/>
      <c r="F176" s="76"/>
      <c r="G176" s="76"/>
      <c r="H176" s="76"/>
      <c r="I176" s="76"/>
      <c r="J176" s="91"/>
      <c r="K176" s="91"/>
      <c r="L176" s="91"/>
      <c r="M176" s="91"/>
      <c r="N176" s="92">
        <f>N175/N165</f>
        <v>-0.23008750189892124</v>
      </c>
      <c r="O176" s="91"/>
      <c r="P176" s="91"/>
      <c r="Q176" s="459"/>
    </row>
    <row r="177" spans="1:17">
      <c r="A177" s="67" t="s">
        <v>264</v>
      </c>
      <c r="B177" s="68" t="s">
        <v>259</v>
      </c>
      <c r="C177" s="71"/>
      <c r="D177" s="71"/>
      <c r="E177" s="71"/>
      <c r="F177" s="71"/>
      <c r="G177" s="71"/>
      <c r="H177" s="71"/>
      <c r="I177" s="71"/>
      <c r="J177" s="85"/>
      <c r="K177" s="85"/>
      <c r="L177" s="85"/>
      <c r="M177" s="85"/>
      <c r="N177" s="88">
        <f>N175*0.25</f>
        <v>-7117.4793281939637</v>
      </c>
      <c r="O177" s="85"/>
      <c r="P177" s="85"/>
      <c r="Q177" s="459"/>
    </row>
    <row r="178" spans="1:17">
      <c r="A178" s="72" t="s">
        <v>547</v>
      </c>
      <c r="B178" s="73" t="s">
        <v>548</v>
      </c>
      <c r="C178" s="74"/>
      <c r="D178" s="74"/>
      <c r="E178" s="74"/>
      <c r="F178" s="74"/>
      <c r="G178" s="74"/>
      <c r="H178" s="74"/>
      <c r="I178" s="74"/>
      <c r="J178" s="89"/>
      <c r="K178" s="89"/>
      <c r="L178" s="89"/>
      <c r="M178" s="89"/>
      <c r="N178" s="89">
        <f>N174+N177</f>
        <v>145087.61298458191</v>
      </c>
      <c r="O178" s="89"/>
      <c r="P178" s="89"/>
      <c r="Q178" s="459"/>
    </row>
    <row r="179" spans="1:17">
      <c r="A179" s="67" t="s">
        <v>549</v>
      </c>
      <c r="B179" s="68" t="s">
        <v>263</v>
      </c>
      <c r="C179" s="77"/>
      <c r="D179" s="77"/>
      <c r="E179" s="77"/>
      <c r="F179" s="77"/>
      <c r="G179" s="77"/>
      <c r="H179" s="77"/>
      <c r="I179" s="77"/>
      <c r="J179" s="90"/>
      <c r="K179" s="90"/>
      <c r="L179" s="90"/>
      <c r="M179" s="90"/>
      <c r="N179" s="90">
        <f>N165-N178</f>
        <v>-21352.437984581891</v>
      </c>
      <c r="O179" s="90"/>
      <c r="P179" s="90"/>
      <c r="Q179" s="459"/>
    </row>
    <row r="180" spans="1:17">
      <c r="A180" s="64" t="s">
        <v>550</v>
      </c>
      <c r="B180" s="65" t="s">
        <v>265</v>
      </c>
      <c r="C180" s="78"/>
      <c r="D180" s="78"/>
      <c r="E180" s="78"/>
      <c r="F180" s="78"/>
      <c r="G180" s="78"/>
      <c r="H180" s="78"/>
      <c r="I180" s="78"/>
      <c r="J180" s="91"/>
      <c r="K180" s="91"/>
      <c r="L180" s="91"/>
      <c r="M180" s="91"/>
      <c r="N180" s="93">
        <f>N179/N165</f>
        <v>-0.17256562642419093</v>
      </c>
      <c r="O180" s="91"/>
      <c r="P180" s="91"/>
      <c r="Q180" s="459"/>
    </row>
    <row r="181" spans="1:17">
      <c r="N181" s="94"/>
    </row>
  </sheetData>
  <mergeCells count="14">
    <mergeCell ref="J4:J5"/>
    <mergeCell ref="K4:K5"/>
    <mergeCell ref="L4:L5"/>
    <mergeCell ref="M4:M5"/>
    <mergeCell ref="A1:Q1"/>
    <mergeCell ref="A3:B5"/>
    <mergeCell ref="C3:D3"/>
    <mergeCell ref="F3:K3"/>
    <mergeCell ref="L3:M3"/>
    <mergeCell ref="N3:N5"/>
    <mergeCell ref="O3:O5"/>
    <mergeCell ref="P3:P5"/>
    <mergeCell ref="F4:G4"/>
    <mergeCell ref="H4:I4"/>
  </mergeCells>
  <phoneticPr fontId="4" type="noConversion"/>
  <pageMargins left="0.51180555555555596" right="0.51180555555555596" top="0.74791666666666701" bottom="0.74791666666666701" header="0.31458333333333299" footer="0.31458333333333299"/>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70"/>
  <sheetViews>
    <sheetView zoomScaleSheetLayoutView="100" workbookViewId="0">
      <selection sqref="A1:Q1"/>
    </sheetView>
  </sheetViews>
  <sheetFormatPr defaultColWidth="9" defaultRowHeight="14.25"/>
  <cols>
    <col min="1" max="1" width="11.125" style="207" customWidth="1"/>
    <col min="2" max="2" width="19.375" style="207" customWidth="1"/>
    <col min="3" max="10" width="25.625" style="207" customWidth="1"/>
    <col min="11" max="11" width="10.125" style="207" customWidth="1"/>
    <col min="12" max="12" width="25.625" style="207" customWidth="1"/>
    <col min="13" max="13" width="12.75" style="207" customWidth="1"/>
    <col min="14" max="15" width="25.625" style="207" customWidth="1"/>
    <col min="16" max="16" width="10.75" style="207" customWidth="1"/>
    <col min="17" max="16384" width="9" style="207"/>
  </cols>
  <sheetData>
    <row r="1" spans="1:17" ht="22.5">
      <c r="A1" s="770" t="s">
        <v>869</v>
      </c>
      <c r="B1" s="770"/>
      <c r="C1" s="770"/>
      <c r="D1" s="770"/>
      <c r="E1" s="770"/>
      <c r="F1" s="770"/>
      <c r="G1" s="770"/>
      <c r="H1" s="770"/>
      <c r="I1" s="770"/>
      <c r="J1" s="770"/>
      <c r="K1" s="770"/>
      <c r="L1" s="770"/>
      <c r="M1" s="770"/>
      <c r="N1" s="770"/>
      <c r="O1" s="770"/>
      <c r="P1" s="770"/>
      <c r="Q1" s="770"/>
    </row>
    <row r="2" spans="1:17" ht="15" thickBot="1">
      <c r="A2" s="208"/>
      <c r="B2" s="208"/>
      <c r="C2" s="208"/>
      <c r="D2" s="208"/>
      <c r="E2" s="208"/>
      <c r="F2" s="208"/>
      <c r="G2" s="208"/>
      <c r="H2" s="208"/>
      <c r="I2" s="208"/>
      <c r="J2" s="208"/>
      <c r="K2" s="208"/>
      <c r="L2" s="208"/>
      <c r="M2" s="209"/>
      <c r="N2" s="208"/>
      <c r="O2" s="208"/>
      <c r="P2" s="210"/>
      <c r="Q2" s="208"/>
    </row>
    <row r="3" spans="1:17">
      <c r="A3" s="771" t="s">
        <v>870</v>
      </c>
      <c r="B3" s="772"/>
      <c r="C3" s="777" t="s">
        <v>871</v>
      </c>
      <c r="D3" s="772"/>
      <c r="E3" s="211" t="s">
        <v>872</v>
      </c>
      <c r="F3" s="778" t="s">
        <v>168</v>
      </c>
      <c r="G3" s="779"/>
      <c r="H3" s="779"/>
      <c r="I3" s="779"/>
      <c r="J3" s="779"/>
      <c r="K3" s="780"/>
      <c r="L3" s="778" t="s">
        <v>169</v>
      </c>
      <c r="M3" s="780"/>
      <c r="N3" s="781" t="s">
        <v>1749</v>
      </c>
      <c r="O3" s="781" t="s">
        <v>171</v>
      </c>
      <c r="P3" s="783" t="s">
        <v>172</v>
      </c>
      <c r="Q3" s="212"/>
    </row>
    <row r="4" spans="1:17">
      <c r="A4" s="773"/>
      <c r="B4" s="774"/>
      <c r="C4" s="213" t="s">
        <v>552</v>
      </c>
      <c r="D4" s="214" t="s">
        <v>873</v>
      </c>
      <c r="E4" s="215"/>
      <c r="F4" s="786" t="s">
        <v>874</v>
      </c>
      <c r="G4" s="787"/>
      <c r="H4" s="788" t="s">
        <v>875</v>
      </c>
      <c r="I4" s="789"/>
      <c r="J4" s="767" t="s">
        <v>876</v>
      </c>
      <c r="K4" s="768" t="s">
        <v>174</v>
      </c>
      <c r="L4" s="768" t="s">
        <v>877</v>
      </c>
      <c r="M4" s="768" t="s">
        <v>174</v>
      </c>
      <c r="N4" s="782"/>
      <c r="O4" s="782"/>
      <c r="P4" s="784"/>
      <c r="Q4" s="212"/>
    </row>
    <row r="5" spans="1:17">
      <c r="A5" s="775"/>
      <c r="B5" s="776"/>
      <c r="C5" s="216" t="s">
        <v>878</v>
      </c>
      <c r="D5" s="216" t="s">
        <v>879</v>
      </c>
      <c r="E5" s="216"/>
      <c r="F5" s="217" t="s">
        <v>880</v>
      </c>
      <c r="G5" s="218" t="s">
        <v>881</v>
      </c>
      <c r="H5" s="217" t="s">
        <v>880</v>
      </c>
      <c r="I5" s="218" t="s">
        <v>881</v>
      </c>
      <c r="J5" s="767"/>
      <c r="K5" s="769"/>
      <c r="L5" s="769"/>
      <c r="M5" s="769"/>
      <c r="N5" s="769"/>
      <c r="O5" s="769"/>
      <c r="P5" s="785"/>
      <c r="Q5" s="212"/>
    </row>
    <row r="6" spans="1:17">
      <c r="A6" s="219"/>
      <c r="B6" s="220"/>
      <c r="C6" s="216"/>
      <c r="D6" s="217" t="s">
        <v>553</v>
      </c>
      <c r="E6" s="218"/>
      <c r="F6" s="218" t="s">
        <v>554</v>
      </c>
      <c r="G6" s="217" t="s">
        <v>555</v>
      </c>
      <c r="H6" s="218" t="s">
        <v>556</v>
      </c>
      <c r="I6" s="218" t="s">
        <v>557</v>
      </c>
      <c r="J6" s="221" t="s">
        <v>882</v>
      </c>
      <c r="K6" s="217"/>
      <c r="L6" s="217" t="s">
        <v>559</v>
      </c>
      <c r="M6" s="222"/>
      <c r="N6" s="217" t="s">
        <v>560</v>
      </c>
      <c r="O6" s="217" t="s">
        <v>561</v>
      </c>
      <c r="P6" s="223"/>
      <c r="Q6" s="212"/>
    </row>
    <row r="7" spans="1:17">
      <c r="A7" s="219"/>
      <c r="B7" s="220"/>
      <c r="C7" s="216"/>
      <c r="D7" s="217"/>
      <c r="E7" s="218"/>
      <c r="F7" s="218"/>
      <c r="G7" s="217"/>
      <c r="H7" s="218"/>
      <c r="I7" s="218"/>
      <c r="J7" s="221"/>
      <c r="K7" s="217"/>
      <c r="L7" s="217"/>
      <c r="M7" s="222"/>
      <c r="N7" s="217"/>
      <c r="O7" s="217"/>
      <c r="P7" s="223"/>
      <c r="Q7" s="212"/>
    </row>
    <row r="8" spans="1:17" s="227" customFormat="1" ht="24">
      <c r="A8" s="224" t="s">
        <v>180</v>
      </c>
      <c r="B8" s="225" t="s">
        <v>883</v>
      </c>
      <c r="C8" s="226" t="s">
        <v>884</v>
      </c>
      <c r="D8" s="226" t="s">
        <v>885</v>
      </c>
      <c r="E8" s="226" t="s">
        <v>886</v>
      </c>
      <c r="F8" s="226" t="s">
        <v>887</v>
      </c>
      <c r="G8" s="226" t="s">
        <v>888</v>
      </c>
      <c r="H8" s="226" t="s">
        <v>887</v>
      </c>
      <c r="I8" s="226" t="s">
        <v>888</v>
      </c>
      <c r="J8" s="226" t="s">
        <v>889</v>
      </c>
      <c r="K8" s="226" t="s">
        <v>890</v>
      </c>
      <c r="L8" s="226" t="s">
        <v>891</v>
      </c>
      <c r="M8" s="226" t="s">
        <v>890</v>
      </c>
      <c r="N8" s="226" t="s">
        <v>892</v>
      </c>
      <c r="O8" s="226" t="s">
        <v>2382</v>
      </c>
      <c r="P8" s="226" t="s">
        <v>890</v>
      </c>
    </row>
    <row r="9" spans="1:17" s="227" customFormat="1">
      <c r="A9" s="228">
        <v>1.1000000000000001</v>
      </c>
      <c r="B9" s="229" t="s">
        <v>2367</v>
      </c>
      <c r="C9" s="230" t="s">
        <v>894</v>
      </c>
      <c r="D9" s="230" t="s">
        <v>2390</v>
      </c>
      <c r="E9" s="230" t="s">
        <v>895</v>
      </c>
      <c r="F9" s="230" t="s">
        <v>896</v>
      </c>
      <c r="G9" s="230" t="s">
        <v>897</v>
      </c>
      <c r="H9" s="230" t="s">
        <v>896</v>
      </c>
      <c r="I9" s="230" t="s">
        <v>897</v>
      </c>
      <c r="J9" s="230" t="s">
        <v>2379</v>
      </c>
      <c r="K9" s="230" t="s">
        <v>890</v>
      </c>
      <c r="L9" s="230" t="s">
        <v>2380</v>
      </c>
      <c r="M9" s="230" t="s">
        <v>890</v>
      </c>
      <c r="N9" s="230" t="s">
        <v>2381</v>
      </c>
      <c r="O9" s="230" t="s">
        <v>2389</v>
      </c>
      <c r="P9" s="230" t="s">
        <v>890</v>
      </c>
    </row>
    <row r="10" spans="1:17" s="227" customFormat="1" ht="36">
      <c r="A10" s="231" t="s">
        <v>899</v>
      </c>
      <c r="B10" s="232" t="s">
        <v>900</v>
      </c>
      <c r="C10" s="233" t="s">
        <v>2370</v>
      </c>
      <c r="D10" s="233" t="s">
        <v>2371</v>
      </c>
      <c r="E10" s="233" t="s">
        <v>901</v>
      </c>
      <c r="F10" s="233" t="s">
        <v>2369</v>
      </c>
      <c r="G10" s="233" t="s">
        <v>901</v>
      </c>
      <c r="H10" s="233" t="s">
        <v>901</v>
      </c>
      <c r="I10" s="233" t="s">
        <v>901</v>
      </c>
      <c r="J10" s="233" t="s">
        <v>882</v>
      </c>
      <c r="K10" s="233" t="s">
        <v>890</v>
      </c>
      <c r="L10" s="233" t="s">
        <v>2372</v>
      </c>
      <c r="M10" s="233" t="s">
        <v>890</v>
      </c>
      <c r="N10" s="233" t="s">
        <v>2373</v>
      </c>
      <c r="O10" s="233" t="s">
        <v>2384</v>
      </c>
      <c r="P10" s="233" t="s">
        <v>890</v>
      </c>
    </row>
    <row r="11" spans="1:17" s="227" customFormat="1" ht="24">
      <c r="A11" s="234" t="s">
        <v>184</v>
      </c>
      <c r="B11" s="235" t="s">
        <v>902</v>
      </c>
      <c r="C11" s="226" t="s">
        <v>903</v>
      </c>
      <c r="D11" s="226" t="s">
        <v>904</v>
      </c>
      <c r="E11" s="226" t="s">
        <v>905</v>
      </c>
      <c r="F11" s="226" t="s">
        <v>906</v>
      </c>
      <c r="G11" s="226" t="s">
        <v>907</v>
      </c>
      <c r="H11" s="226" t="s">
        <v>906</v>
      </c>
      <c r="I11" s="226" t="s">
        <v>907</v>
      </c>
      <c r="J11" s="226" t="s">
        <v>908</v>
      </c>
      <c r="K11" s="226" t="s">
        <v>890</v>
      </c>
      <c r="L11" s="226" t="s">
        <v>909</v>
      </c>
      <c r="M11" s="226" t="s">
        <v>890</v>
      </c>
      <c r="N11" s="226" t="s">
        <v>910</v>
      </c>
      <c r="O11" s="226" t="s">
        <v>2383</v>
      </c>
      <c r="P11" s="226" t="s">
        <v>890</v>
      </c>
    </row>
    <row r="12" spans="1:17" s="227" customFormat="1">
      <c r="A12" s="228">
        <v>2.1</v>
      </c>
      <c r="B12" s="229" t="s">
        <v>893</v>
      </c>
      <c r="C12" s="230" t="s">
        <v>894</v>
      </c>
      <c r="D12" s="230" t="s">
        <v>2390</v>
      </c>
      <c r="E12" s="230" t="s">
        <v>895</v>
      </c>
      <c r="F12" s="230" t="s">
        <v>896</v>
      </c>
      <c r="G12" s="230" t="s">
        <v>897</v>
      </c>
      <c r="H12" s="230" t="s">
        <v>896</v>
      </c>
      <c r="I12" s="230" t="s">
        <v>897</v>
      </c>
      <c r="J12" s="230" t="s">
        <v>2379</v>
      </c>
      <c r="K12" s="230" t="s">
        <v>890</v>
      </c>
      <c r="L12" s="230" t="s">
        <v>2380</v>
      </c>
      <c r="M12" s="230" t="s">
        <v>890</v>
      </c>
      <c r="N12" s="230" t="s">
        <v>2381</v>
      </c>
      <c r="O12" s="230" t="s">
        <v>2389</v>
      </c>
      <c r="P12" s="230" t="s">
        <v>890</v>
      </c>
    </row>
    <row r="13" spans="1:17" s="227" customFormat="1" ht="36">
      <c r="A13" s="231" t="s">
        <v>912</v>
      </c>
      <c r="B13" s="232" t="s">
        <v>900</v>
      </c>
      <c r="C13" s="233" t="s">
        <v>2370</v>
      </c>
      <c r="D13" s="233" t="s">
        <v>2371</v>
      </c>
      <c r="E13" s="233" t="s">
        <v>901</v>
      </c>
      <c r="F13" s="233" t="s">
        <v>2369</v>
      </c>
      <c r="G13" s="233" t="s">
        <v>901</v>
      </c>
      <c r="H13" s="233" t="s">
        <v>901</v>
      </c>
      <c r="I13" s="233" t="s">
        <v>901</v>
      </c>
      <c r="J13" s="233" t="s">
        <v>882</v>
      </c>
      <c r="K13" s="233" t="s">
        <v>890</v>
      </c>
      <c r="L13" s="233" t="s">
        <v>2372</v>
      </c>
      <c r="M13" s="233" t="s">
        <v>890</v>
      </c>
      <c r="N13" s="233" t="s">
        <v>2373</v>
      </c>
      <c r="O13" s="233" t="s">
        <v>2384</v>
      </c>
      <c r="P13" s="233" t="s">
        <v>890</v>
      </c>
    </row>
    <row r="14" spans="1:17" s="227" customFormat="1" ht="24">
      <c r="A14" s="224" t="s">
        <v>205</v>
      </c>
      <c r="B14" s="225" t="s">
        <v>913</v>
      </c>
      <c r="C14" s="226" t="s">
        <v>914</v>
      </c>
      <c r="D14" s="226" t="s">
        <v>915</v>
      </c>
      <c r="E14" s="226" t="s">
        <v>916</v>
      </c>
      <c r="F14" s="226" t="s">
        <v>917</v>
      </c>
      <c r="G14" s="226" t="s">
        <v>918</v>
      </c>
      <c r="H14" s="226" t="s">
        <v>919</v>
      </c>
      <c r="I14" s="226" t="s">
        <v>918</v>
      </c>
      <c r="J14" s="226" t="s">
        <v>920</v>
      </c>
      <c r="K14" s="226" t="s">
        <v>890</v>
      </c>
      <c r="L14" s="226" t="s">
        <v>921</v>
      </c>
      <c r="M14" s="226" t="s">
        <v>890</v>
      </c>
      <c r="N14" s="226" t="s">
        <v>922</v>
      </c>
      <c r="O14" s="226" t="s">
        <v>2385</v>
      </c>
      <c r="P14" s="226" t="s">
        <v>890</v>
      </c>
    </row>
    <row r="15" spans="1:17" s="227" customFormat="1">
      <c r="A15" s="228">
        <v>3.1</v>
      </c>
      <c r="B15" s="229" t="s">
        <v>893</v>
      </c>
      <c r="C15" s="230" t="s">
        <v>894</v>
      </c>
      <c r="D15" s="230" t="s">
        <v>2390</v>
      </c>
      <c r="E15" s="230" t="s">
        <v>895</v>
      </c>
      <c r="F15" s="230" t="s">
        <v>896</v>
      </c>
      <c r="G15" s="230" t="s">
        <v>897</v>
      </c>
      <c r="H15" s="230" t="s">
        <v>896</v>
      </c>
      <c r="I15" s="230" t="s">
        <v>897</v>
      </c>
      <c r="J15" s="230" t="s">
        <v>2379</v>
      </c>
      <c r="K15" s="230" t="s">
        <v>890</v>
      </c>
      <c r="L15" s="230" t="s">
        <v>2380</v>
      </c>
      <c r="M15" s="230" t="s">
        <v>890</v>
      </c>
      <c r="N15" s="230" t="s">
        <v>2381</v>
      </c>
      <c r="O15" s="230" t="s">
        <v>2389</v>
      </c>
      <c r="P15" s="230" t="s">
        <v>890</v>
      </c>
    </row>
    <row r="16" spans="1:17" s="227" customFormat="1" ht="36">
      <c r="A16" s="231" t="s">
        <v>924</v>
      </c>
      <c r="B16" s="232" t="s">
        <v>900</v>
      </c>
      <c r="C16" s="233" t="s">
        <v>2370</v>
      </c>
      <c r="D16" s="233" t="s">
        <v>2371</v>
      </c>
      <c r="E16" s="233" t="s">
        <v>901</v>
      </c>
      <c r="F16" s="233" t="s">
        <v>2369</v>
      </c>
      <c r="G16" s="233" t="s">
        <v>901</v>
      </c>
      <c r="H16" s="233" t="s">
        <v>901</v>
      </c>
      <c r="I16" s="233" t="s">
        <v>901</v>
      </c>
      <c r="J16" s="233" t="s">
        <v>882</v>
      </c>
      <c r="K16" s="233" t="s">
        <v>890</v>
      </c>
      <c r="L16" s="233" t="s">
        <v>2372</v>
      </c>
      <c r="M16" s="233" t="s">
        <v>890</v>
      </c>
      <c r="N16" s="233" t="s">
        <v>2373</v>
      </c>
      <c r="O16" s="233" t="s">
        <v>2384</v>
      </c>
      <c r="P16" s="233" t="s">
        <v>890</v>
      </c>
    </row>
    <row r="17" spans="1:17" s="227" customFormat="1" ht="24">
      <c r="A17" s="224" t="s">
        <v>212</v>
      </c>
      <c r="B17" s="225" t="s">
        <v>925</v>
      </c>
      <c r="C17" s="226" t="s">
        <v>926</v>
      </c>
      <c r="D17" s="226" t="s">
        <v>927</v>
      </c>
      <c r="E17" s="226" t="s">
        <v>928</v>
      </c>
      <c r="F17" s="226" t="s">
        <v>929</v>
      </c>
      <c r="G17" s="226" t="s">
        <v>930</v>
      </c>
      <c r="H17" s="226" t="s">
        <v>929</v>
      </c>
      <c r="I17" s="226" t="s">
        <v>930</v>
      </c>
      <c r="J17" s="226" t="s">
        <v>931</v>
      </c>
      <c r="K17" s="226" t="s">
        <v>890</v>
      </c>
      <c r="L17" s="226" t="s">
        <v>932</v>
      </c>
      <c r="M17" s="226" t="s">
        <v>890</v>
      </c>
      <c r="N17" s="226" t="s">
        <v>933</v>
      </c>
      <c r="O17" s="226" t="s">
        <v>2386</v>
      </c>
      <c r="P17" s="226" t="s">
        <v>890</v>
      </c>
    </row>
    <row r="18" spans="1:17" s="227" customFormat="1">
      <c r="A18" s="228">
        <v>4.0999999999999996</v>
      </c>
      <c r="B18" s="229" t="s">
        <v>893</v>
      </c>
      <c r="C18" s="230" t="s">
        <v>894</v>
      </c>
      <c r="D18" s="230" t="s">
        <v>2390</v>
      </c>
      <c r="E18" s="230" t="s">
        <v>895</v>
      </c>
      <c r="F18" s="230" t="s">
        <v>896</v>
      </c>
      <c r="G18" s="230" t="s">
        <v>897</v>
      </c>
      <c r="H18" s="230" t="s">
        <v>896</v>
      </c>
      <c r="I18" s="230" t="s">
        <v>897</v>
      </c>
      <c r="J18" s="230" t="s">
        <v>2379</v>
      </c>
      <c r="K18" s="230" t="s">
        <v>890</v>
      </c>
      <c r="L18" s="230" t="s">
        <v>2380</v>
      </c>
      <c r="M18" s="230" t="s">
        <v>890</v>
      </c>
      <c r="N18" s="230" t="s">
        <v>2381</v>
      </c>
      <c r="O18" s="230" t="s">
        <v>2389</v>
      </c>
      <c r="P18" s="230" t="s">
        <v>890</v>
      </c>
    </row>
    <row r="19" spans="1:17" s="227" customFormat="1" ht="36">
      <c r="A19" s="231" t="s">
        <v>935</v>
      </c>
      <c r="B19" s="232" t="s">
        <v>900</v>
      </c>
      <c r="C19" s="233" t="s">
        <v>2370</v>
      </c>
      <c r="D19" s="233" t="s">
        <v>2371</v>
      </c>
      <c r="E19" s="233" t="s">
        <v>901</v>
      </c>
      <c r="F19" s="233" t="s">
        <v>2369</v>
      </c>
      <c r="G19" s="233" t="s">
        <v>901</v>
      </c>
      <c r="H19" s="233" t="s">
        <v>901</v>
      </c>
      <c r="I19" s="233" t="s">
        <v>901</v>
      </c>
      <c r="J19" s="233" t="s">
        <v>882</v>
      </c>
      <c r="K19" s="233" t="s">
        <v>890</v>
      </c>
      <c r="L19" s="233" t="s">
        <v>2372</v>
      </c>
      <c r="M19" s="233" t="s">
        <v>890</v>
      </c>
      <c r="N19" s="233" t="s">
        <v>2373</v>
      </c>
      <c r="O19" s="233" t="s">
        <v>2384</v>
      </c>
      <c r="P19" s="233" t="s">
        <v>890</v>
      </c>
    </row>
    <row r="20" spans="1:17" s="227" customFormat="1" ht="24">
      <c r="A20" s="234" t="s">
        <v>233</v>
      </c>
      <c r="B20" s="235" t="s">
        <v>936</v>
      </c>
      <c r="C20" s="226" t="s">
        <v>937</v>
      </c>
      <c r="D20" s="226" t="s">
        <v>938</v>
      </c>
      <c r="E20" s="226" t="s">
        <v>939</v>
      </c>
      <c r="F20" s="226" t="s">
        <v>940</v>
      </c>
      <c r="G20" s="226" t="s">
        <v>941</v>
      </c>
      <c r="H20" s="226" t="s">
        <v>940</v>
      </c>
      <c r="I20" s="226" t="s">
        <v>941</v>
      </c>
      <c r="J20" s="226" t="s">
        <v>942</v>
      </c>
      <c r="K20" s="226" t="s">
        <v>890</v>
      </c>
      <c r="L20" s="226" t="s">
        <v>943</v>
      </c>
      <c r="M20" s="226" t="s">
        <v>890</v>
      </c>
      <c r="N20" s="226" t="s">
        <v>944</v>
      </c>
      <c r="O20" s="226" t="s">
        <v>2387</v>
      </c>
      <c r="P20" s="226" t="s">
        <v>890</v>
      </c>
    </row>
    <row r="21" spans="1:17" s="227" customFormat="1">
      <c r="A21" s="228">
        <v>5.0999999999999996</v>
      </c>
      <c r="B21" s="229" t="s">
        <v>893</v>
      </c>
      <c r="C21" s="230" t="s">
        <v>894</v>
      </c>
      <c r="D21" s="230" t="s">
        <v>2390</v>
      </c>
      <c r="E21" s="230" t="s">
        <v>895</v>
      </c>
      <c r="F21" s="230" t="s">
        <v>896</v>
      </c>
      <c r="G21" s="230" t="s">
        <v>897</v>
      </c>
      <c r="H21" s="230" t="s">
        <v>896</v>
      </c>
      <c r="I21" s="230" t="s">
        <v>897</v>
      </c>
      <c r="J21" s="230" t="s">
        <v>2379</v>
      </c>
      <c r="K21" s="230" t="s">
        <v>890</v>
      </c>
      <c r="L21" s="230" t="s">
        <v>2380</v>
      </c>
      <c r="M21" s="230" t="s">
        <v>890</v>
      </c>
      <c r="N21" s="230" t="s">
        <v>2381</v>
      </c>
      <c r="O21" s="230" t="s">
        <v>2389</v>
      </c>
      <c r="P21" s="230" t="s">
        <v>890</v>
      </c>
    </row>
    <row r="22" spans="1:17" s="227" customFormat="1" ht="36">
      <c r="A22" s="231" t="s">
        <v>946</v>
      </c>
      <c r="B22" s="232" t="s">
        <v>900</v>
      </c>
      <c r="C22" s="233" t="s">
        <v>2370</v>
      </c>
      <c r="D22" s="233" t="s">
        <v>2371</v>
      </c>
      <c r="E22" s="233" t="s">
        <v>901</v>
      </c>
      <c r="F22" s="233" t="s">
        <v>2369</v>
      </c>
      <c r="G22" s="233" t="s">
        <v>901</v>
      </c>
      <c r="H22" s="233" t="s">
        <v>901</v>
      </c>
      <c r="I22" s="233" t="s">
        <v>901</v>
      </c>
      <c r="J22" s="233" t="s">
        <v>882</v>
      </c>
      <c r="K22" s="233" t="s">
        <v>890</v>
      </c>
      <c r="L22" s="233" t="s">
        <v>2372</v>
      </c>
      <c r="M22" s="233" t="s">
        <v>890</v>
      </c>
      <c r="N22" s="233" t="s">
        <v>2373</v>
      </c>
      <c r="O22" s="233" t="s">
        <v>2384</v>
      </c>
      <c r="P22" s="233" t="s">
        <v>890</v>
      </c>
    </row>
    <row r="23" spans="1:17" s="227" customFormat="1" ht="24">
      <c r="A23" s="224" t="s">
        <v>241</v>
      </c>
      <c r="B23" s="225" t="s">
        <v>947</v>
      </c>
      <c r="C23" s="226" t="s">
        <v>948</v>
      </c>
      <c r="D23" s="226" t="s">
        <v>949</v>
      </c>
      <c r="E23" s="226" t="s">
        <v>950</v>
      </c>
      <c r="F23" s="226" t="s">
        <v>951</v>
      </c>
      <c r="G23" s="226" t="s">
        <v>952</v>
      </c>
      <c r="H23" s="226" t="s">
        <v>951</v>
      </c>
      <c r="I23" s="226" t="s">
        <v>952</v>
      </c>
      <c r="J23" s="226" t="s">
        <v>953</v>
      </c>
      <c r="K23" s="226" t="s">
        <v>890</v>
      </c>
      <c r="L23" s="226" t="s">
        <v>954</v>
      </c>
      <c r="M23" s="226" t="s">
        <v>890</v>
      </c>
      <c r="N23" s="226" t="s">
        <v>955</v>
      </c>
      <c r="O23" s="226" t="s">
        <v>2388</v>
      </c>
      <c r="P23" s="226" t="s">
        <v>890</v>
      </c>
    </row>
    <row r="24" spans="1:17" s="227" customFormat="1">
      <c r="A24" s="228">
        <v>6.1</v>
      </c>
      <c r="B24" s="229" t="s">
        <v>893</v>
      </c>
      <c r="C24" s="230" t="s">
        <v>894</v>
      </c>
      <c r="D24" s="230" t="s">
        <v>2390</v>
      </c>
      <c r="E24" s="230" t="s">
        <v>895</v>
      </c>
      <c r="F24" s="230" t="s">
        <v>896</v>
      </c>
      <c r="G24" s="230" t="s">
        <v>897</v>
      </c>
      <c r="H24" s="230" t="s">
        <v>896</v>
      </c>
      <c r="I24" s="230" t="s">
        <v>897</v>
      </c>
      <c r="J24" s="230" t="s">
        <v>2379</v>
      </c>
      <c r="K24" s="230" t="s">
        <v>890</v>
      </c>
      <c r="L24" s="230" t="s">
        <v>2380</v>
      </c>
      <c r="M24" s="230" t="s">
        <v>890</v>
      </c>
      <c r="N24" s="230" t="s">
        <v>2381</v>
      </c>
      <c r="O24" s="230" t="s">
        <v>2389</v>
      </c>
      <c r="P24" s="230" t="s">
        <v>890</v>
      </c>
    </row>
    <row r="25" spans="1:17" s="227" customFormat="1" ht="36">
      <c r="A25" s="231" t="s">
        <v>957</v>
      </c>
      <c r="B25" s="232" t="s">
        <v>900</v>
      </c>
      <c r="C25" s="233" t="s">
        <v>2370</v>
      </c>
      <c r="D25" s="233" t="s">
        <v>2371</v>
      </c>
      <c r="E25" s="233" t="s">
        <v>901</v>
      </c>
      <c r="F25" s="233" t="s">
        <v>2369</v>
      </c>
      <c r="G25" s="233" t="s">
        <v>901</v>
      </c>
      <c r="H25" s="233" t="s">
        <v>901</v>
      </c>
      <c r="I25" s="233" t="s">
        <v>901</v>
      </c>
      <c r="J25" s="233" t="s">
        <v>882</v>
      </c>
      <c r="K25" s="233" t="s">
        <v>890</v>
      </c>
      <c r="L25" s="233" t="s">
        <v>2372</v>
      </c>
      <c r="M25" s="233" t="s">
        <v>890</v>
      </c>
      <c r="N25" s="233" t="s">
        <v>2373</v>
      </c>
      <c r="O25" s="233" t="s">
        <v>2384</v>
      </c>
      <c r="P25" s="233" t="s">
        <v>890</v>
      </c>
    </row>
    <row r="26" spans="1:17" s="227" customFormat="1">
      <c r="A26" s="236" t="s">
        <v>242</v>
      </c>
      <c r="B26" s="237" t="s">
        <v>243</v>
      </c>
      <c r="C26" s="238" t="s">
        <v>958</v>
      </c>
      <c r="D26" s="238" t="s">
        <v>958</v>
      </c>
      <c r="E26" s="238" t="s">
        <v>901</v>
      </c>
      <c r="F26" s="238" t="s">
        <v>958</v>
      </c>
      <c r="G26" s="238" t="s">
        <v>958</v>
      </c>
      <c r="H26" s="238" t="s">
        <v>958</v>
      </c>
      <c r="I26" s="238" t="s">
        <v>958</v>
      </c>
      <c r="J26" s="238" t="s">
        <v>958</v>
      </c>
      <c r="K26" s="238" t="s">
        <v>890</v>
      </c>
      <c r="L26" s="238" t="s">
        <v>958</v>
      </c>
      <c r="M26" s="238" t="s">
        <v>958</v>
      </c>
      <c r="N26" s="238" t="s">
        <v>958</v>
      </c>
      <c r="O26" s="238" t="s">
        <v>958</v>
      </c>
      <c r="P26" s="238" t="s">
        <v>890</v>
      </c>
    </row>
    <row r="27" spans="1:17" s="227" customFormat="1" ht="24">
      <c r="A27" s="61" t="s">
        <v>244</v>
      </c>
      <c r="B27" s="239" t="s">
        <v>1765</v>
      </c>
      <c r="C27" s="240"/>
      <c r="D27" s="240"/>
      <c r="E27" s="240"/>
      <c r="F27" s="240"/>
      <c r="G27" s="240"/>
      <c r="H27" s="240"/>
      <c r="I27" s="240"/>
      <c r="J27" s="241" t="s">
        <v>901</v>
      </c>
      <c r="K27" s="242" t="s">
        <v>890</v>
      </c>
      <c r="L27" s="241" t="s">
        <v>959</v>
      </c>
      <c r="M27" s="242"/>
      <c r="N27" s="241" t="s">
        <v>1769</v>
      </c>
      <c r="O27" s="242"/>
      <c r="P27" s="242"/>
      <c r="Q27" s="243"/>
    </row>
    <row r="28" spans="1:17" s="227" customFormat="1">
      <c r="A28" s="64" t="s">
        <v>246</v>
      </c>
      <c r="B28" s="244" t="s">
        <v>542</v>
      </c>
      <c r="C28" s="245"/>
      <c r="D28" s="245"/>
      <c r="E28" s="245"/>
      <c r="F28" s="245"/>
      <c r="G28" s="245"/>
      <c r="H28" s="245"/>
      <c r="I28" s="245"/>
      <c r="J28" s="246"/>
      <c r="K28" s="247"/>
      <c r="L28" s="247"/>
      <c r="M28" s="247"/>
      <c r="N28" s="247"/>
      <c r="O28" s="247"/>
      <c r="P28" s="247"/>
      <c r="Q28" s="243"/>
    </row>
    <row r="29" spans="1:17" s="227" customFormat="1" ht="24">
      <c r="A29" s="67" t="s">
        <v>248</v>
      </c>
      <c r="B29" s="248" t="s">
        <v>1770</v>
      </c>
      <c r="C29" s="249"/>
      <c r="D29" s="249"/>
      <c r="E29" s="249"/>
      <c r="F29" s="249"/>
      <c r="G29" s="249"/>
      <c r="H29" s="249"/>
      <c r="I29" s="249"/>
      <c r="J29" s="238" t="s">
        <v>901</v>
      </c>
      <c r="K29" s="238" t="s">
        <v>901</v>
      </c>
      <c r="L29" s="238" t="s">
        <v>901</v>
      </c>
      <c r="M29" s="250"/>
      <c r="N29" s="251" t="s">
        <v>1772</v>
      </c>
      <c r="O29" s="252" t="s">
        <v>1757</v>
      </c>
      <c r="P29" s="250"/>
      <c r="Q29" s="243"/>
    </row>
    <row r="30" spans="1:17" s="227" customFormat="1" ht="24">
      <c r="A30" s="67" t="s">
        <v>249</v>
      </c>
      <c r="B30" s="248" t="s">
        <v>1773</v>
      </c>
      <c r="C30" s="249"/>
      <c r="D30" s="249"/>
      <c r="E30" s="249"/>
      <c r="F30" s="249"/>
      <c r="G30" s="249"/>
      <c r="H30" s="249"/>
      <c r="I30" s="249"/>
      <c r="J30" s="238" t="s">
        <v>901</v>
      </c>
      <c r="K30" s="238" t="s">
        <v>890</v>
      </c>
      <c r="L30" s="253" t="s">
        <v>1746</v>
      </c>
      <c r="M30" s="250"/>
      <c r="N30" s="251" t="s">
        <v>1774</v>
      </c>
      <c r="O30" s="252" t="s">
        <v>1758</v>
      </c>
      <c r="P30" s="250"/>
      <c r="Q30" s="243"/>
    </row>
    <row r="31" spans="1:17" s="227" customFormat="1" ht="24">
      <c r="A31" s="67" t="s">
        <v>251</v>
      </c>
      <c r="B31" s="254" t="s">
        <v>1775</v>
      </c>
      <c r="C31" s="249"/>
      <c r="D31" s="249"/>
      <c r="E31" s="249"/>
      <c r="F31" s="249"/>
      <c r="G31" s="249"/>
      <c r="H31" s="249"/>
      <c r="I31" s="249"/>
      <c r="J31" s="251" t="s">
        <v>1744</v>
      </c>
      <c r="K31" s="238" t="s">
        <v>890</v>
      </c>
      <c r="L31" s="238" t="s">
        <v>890</v>
      </c>
      <c r="M31" s="250"/>
      <c r="N31" s="251" t="s">
        <v>1776</v>
      </c>
      <c r="O31" s="250"/>
      <c r="P31" s="250"/>
      <c r="Q31" s="243"/>
    </row>
    <row r="32" spans="1:17" s="227" customFormat="1" ht="24">
      <c r="A32" s="67" t="s">
        <v>252</v>
      </c>
      <c r="B32" s="248" t="s">
        <v>1777</v>
      </c>
      <c r="C32" s="249"/>
      <c r="D32" s="249"/>
      <c r="E32" s="249"/>
      <c r="F32" s="249"/>
      <c r="G32" s="249"/>
      <c r="H32" s="249"/>
      <c r="I32" s="249"/>
      <c r="J32" s="238" t="s">
        <v>901</v>
      </c>
      <c r="K32" s="238" t="s">
        <v>890</v>
      </c>
      <c r="L32" s="253" t="s">
        <v>1747</v>
      </c>
      <c r="M32" s="250"/>
      <c r="N32" s="251" t="s">
        <v>1778</v>
      </c>
      <c r="O32" s="250"/>
      <c r="P32" s="250"/>
      <c r="Q32" s="243"/>
    </row>
    <row r="33" spans="1:17" s="227" customFormat="1" ht="24">
      <c r="A33" s="67" t="s">
        <v>253</v>
      </c>
      <c r="B33" s="248" t="s">
        <v>1779</v>
      </c>
      <c r="C33" s="249"/>
      <c r="D33" s="249"/>
      <c r="E33" s="249"/>
      <c r="F33" s="249"/>
      <c r="G33" s="249"/>
      <c r="H33" s="249"/>
      <c r="I33" s="249"/>
      <c r="J33" s="238" t="s">
        <v>901</v>
      </c>
      <c r="K33" s="238" t="s">
        <v>890</v>
      </c>
      <c r="L33" s="238" t="s">
        <v>890</v>
      </c>
      <c r="M33" s="250"/>
      <c r="N33" s="251" t="s">
        <v>1780</v>
      </c>
      <c r="O33" s="250"/>
      <c r="P33" s="250"/>
      <c r="Q33" s="243"/>
    </row>
    <row r="34" spans="1:17" s="227" customFormat="1" ht="24">
      <c r="A34" s="67" t="s">
        <v>255</v>
      </c>
      <c r="B34" s="248" t="s">
        <v>1781</v>
      </c>
      <c r="C34" s="255"/>
      <c r="D34" s="255"/>
      <c r="E34" s="255"/>
      <c r="F34" s="255"/>
      <c r="G34" s="255"/>
      <c r="H34" s="255"/>
      <c r="I34" s="255"/>
      <c r="J34" s="238" t="s">
        <v>1745</v>
      </c>
      <c r="K34" s="238" t="s">
        <v>890</v>
      </c>
      <c r="L34" s="256" t="s">
        <v>1748</v>
      </c>
      <c r="M34" s="252"/>
      <c r="N34" s="256" t="s">
        <v>1782</v>
      </c>
      <c r="O34" s="252"/>
      <c r="P34" s="252"/>
      <c r="Q34" s="243"/>
    </row>
    <row r="35" spans="1:17" s="227" customFormat="1">
      <c r="A35" s="67" t="s">
        <v>257</v>
      </c>
      <c r="B35" s="248" t="s">
        <v>256</v>
      </c>
      <c r="C35" s="255"/>
      <c r="D35" s="255"/>
      <c r="E35" s="255"/>
      <c r="F35" s="255"/>
      <c r="G35" s="255"/>
      <c r="H35" s="255"/>
      <c r="I35" s="255"/>
      <c r="J35" s="252"/>
      <c r="K35" s="238" t="s">
        <v>890</v>
      </c>
      <c r="L35" s="252"/>
      <c r="M35" s="252"/>
      <c r="N35" s="256" t="s">
        <v>960</v>
      </c>
      <c r="O35" s="252"/>
      <c r="P35" s="252"/>
      <c r="Q35" s="243"/>
    </row>
    <row r="36" spans="1:17" s="227" customFormat="1" ht="60">
      <c r="A36" s="72" t="s">
        <v>258</v>
      </c>
      <c r="B36" s="257" t="s">
        <v>261</v>
      </c>
      <c r="C36" s="258"/>
      <c r="D36" s="258"/>
      <c r="E36" s="258"/>
      <c r="F36" s="258"/>
      <c r="G36" s="258"/>
      <c r="H36" s="258"/>
      <c r="I36" s="258"/>
      <c r="J36" s="259"/>
      <c r="K36" s="259"/>
      <c r="L36" s="259"/>
      <c r="M36" s="259"/>
      <c r="N36" s="259" t="s">
        <v>1750</v>
      </c>
      <c r="O36" s="259"/>
      <c r="P36" s="259"/>
      <c r="Q36" s="243"/>
    </row>
    <row r="37" spans="1:17" s="227" customFormat="1" ht="24">
      <c r="A37" s="67" t="s">
        <v>260</v>
      </c>
      <c r="B37" s="248" t="s">
        <v>545</v>
      </c>
      <c r="C37" s="260"/>
      <c r="D37" s="260"/>
      <c r="E37" s="260"/>
      <c r="F37" s="260"/>
      <c r="G37" s="260"/>
      <c r="H37" s="260"/>
      <c r="I37" s="260"/>
      <c r="J37" s="261"/>
      <c r="K37" s="261"/>
      <c r="L37" s="261"/>
      <c r="M37" s="261"/>
      <c r="N37" s="261" t="s">
        <v>1751</v>
      </c>
      <c r="O37" s="261"/>
      <c r="P37" s="261"/>
      <c r="Q37" s="243"/>
    </row>
    <row r="38" spans="1:17" s="227" customFormat="1">
      <c r="A38" s="64" t="s">
        <v>262</v>
      </c>
      <c r="B38" s="244" t="s">
        <v>546</v>
      </c>
      <c r="C38" s="262"/>
      <c r="D38" s="262"/>
      <c r="E38" s="262"/>
      <c r="F38" s="262"/>
      <c r="G38" s="262"/>
      <c r="H38" s="262"/>
      <c r="I38" s="262"/>
      <c r="J38" s="263"/>
      <c r="K38" s="263"/>
      <c r="L38" s="263"/>
      <c r="M38" s="263"/>
      <c r="N38" s="264" t="s">
        <v>1753</v>
      </c>
      <c r="O38" s="263"/>
      <c r="P38" s="263"/>
      <c r="Q38" s="243"/>
    </row>
    <row r="39" spans="1:17" s="227" customFormat="1">
      <c r="A39" s="67" t="s">
        <v>264</v>
      </c>
      <c r="B39" s="248" t="s">
        <v>259</v>
      </c>
      <c r="C39" s="255"/>
      <c r="D39" s="255"/>
      <c r="E39" s="255"/>
      <c r="F39" s="255"/>
      <c r="G39" s="255"/>
      <c r="H39" s="255"/>
      <c r="I39" s="255"/>
      <c r="J39" s="252"/>
      <c r="K39" s="252"/>
      <c r="L39" s="252"/>
      <c r="M39" s="252"/>
      <c r="N39" s="256" t="s">
        <v>1752</v>
      </c>
      <c r="O39" s="252"/>
      <c r="P39" s="252"/>
      <c r="Q39" s="243"/>
    </row>
    <row r="40" spans="1:17" s="227" customFormat="1" ht="24">
      <c r="A40" s="72" t="s">
        <v>547</v>
      </c>
      <c r="B40" s="257" t="s">
        <v>548</v>
      </c>
      <c r="C40" s="258"/>
      <c r="D40" s="258"/>
      <c r="E40" s="258"/>
      <c r="F40" s="258"/>
      <c r="G40" s="258"/>
      <c r="H40" s="258"/>
      <c r="I40" s="258"/>
      <c r="J40" s="259"/>
      <c r="K40" s="259"/>
      <c r="L40" s="259"/>
      <c r="M40" s="259"/>
      <c r="N40" s="259" t="s">
        <v>1754</v>
      </c>
      <c r="O40" s="259"/>
      <c r="P40" s="259"/>
      <c r="Q40" s="243"/>
    </row>
    <row r="41" spans="1:17" s="227" customFormat="1" ht="24">
      <c r="A41" s="67" t="s">
        <v>549</v>
      </c>
      <c r="B41" s="248" t="s">
        <v>263</v>
      </c>
      <c r="C41" s="265"/>
      <c r="D41" s="265"/>
      <c r="E41" s="265"/>
      <c r="F41" s="265"/>
      <c r="G41" s="265"/>
      <c r="H41" s="265"/>
      <c r="I41" s="265"/>
      <c r="J41" s="261"/>
      <c r="K41" s="261"/>
      <c r="L41" s="261"/>
      <c r="M41" s="261"/>
      <c r="N41" s="261" t="s">
        <v>1755</v>
      </c>
      <c r="O41" s="261"/>
      <c r="P41" s="261"/>
      <c r="Q41" s="243"/>
    </row>
    <row r="42" spans="1:17" s="227" customFormat="1">
      <c r="A42" s="64" t="s">
        <v>550</v>
      </c>
      <c r="B42" s="244" t="s">
        <v>265</v>
      </c>
      <c r="C42" s="266"/>
      <c r="D42" s="266"/>
      <c r="E42" s="266"/>
      <c r="F42" s="266"/>
      <c r="G42" s="266"/>
      <c r="H42" s="266"/>
      <c r="I42" s="266"/>
      <c r="J42" s="263"/>
      <c r="K42" s="263"/>
      <c r="L42" s="263"/>
      <c r="M42" s="263"/>
      <c r="N42" s="267" t="s">
        <v>1756</v>
      </c>
      <c r="O42" s="263"/>
      <c r="P42" s="263"/>
      <c r="Q42" s="243"/>
    </row>
    <row r="44" spans="1:17">
      <c r="A44" s="268" t="s">
        <v>961</v>
      </c>
    </row>
    <row r="45" spans="1:17">
      <c r="A45" s="268" t="s">
        <v>962</v>
      </c>
    </row>
    <row r="46" spans="1:17">
      <c r="A46" s="268" t="s">
        <v>967</v>
      </c>
    </row>
    <row r="47" spans="1:17">
      <c r="A47" s="269" t="s">
        <v>963</v>
      </c>
    </row>
    <row r="48" spans="1:17">
      <c r="A48" s="269" t="s">
        <v>964</v>
      </c>
    </row>
    <row r="49" spans="1:1">
      <c r="A49" s="269" t="s">
        <v>965</v>
      </c>
    </row>
    <row r="50" spans="1:1">
      <c r="A50" s="269" t="s">
        <v>966</v>
      </c>
    </row>
    <row r="51" spans="1:1">
      <c r="A51" s="268" t="s">
        <v>968</v>
      </c>
    </row>
    <row r="52" spans="1:1">
      <c r="A52" s="207" t="s">
        <v>969</v>
      </c>
    </row>
    <row r="53" spans="1:1">
      <c r="A53" s="207" t="s">
        <v>970</v>
      </c>
    </row>
    <row r="54" spans="1:1">
      <c r="A54" s="207" t="s">
        <v>971</v>
      </c>
    </row>
    <row r="55" spans="1:1">
      <c r="A55" s="207" t="s">
        <v>972</v>
      </c>
    </row>
    <row r="56" spans="1:1">
      <c r="A56" s="207" t="s">
        <v>973</v>
      </c>
    </row>
    <row r="57" spans="1:1">
      <c r="A57" s="207" t="s">
        <v>974</v>
      </c>
    </row>
    <row r="58" spans="1:1">
      <c r="A58" s="207" t="s">
        <v>975</v>
      </c>
    </row>
    <row r="59" spans="1:1">
      <c r="A59" s="207" t="s">
        <v>976</v>
      </c>
    </row>
    <row r="60" spans="1:1">
      <c r="A60" s="207" t="s">
        <v>977</v>
      </c>
    </row>
    <row r="61" spans="1:1">
      <c r="A61" s="207" t="s">
        <v>978</v>
      </c>
    </row>
    <row r="62" spans="1:1">
      <c r="A62" s="207" t="s">
        <v>979</v>
      </c>
    </row>
    <row r="63" spans="1:1">
      <c r="A63" s="207" t="s">
        <v>980</v>
      </c>
    </row>
    <row r="64" spans="1:1">
      <c r="A64" s="268" t="s">
        <v>981</v>
      </c>
    </row>
    <row r="67" spans="1:3">
      <c r="A67" s="669" t="s">
        <v>1759</v>
      </c>
      <c r="B67" s="669" t="s">
        <v>1760</v>
      </c>
      <c r="C67" s="669" t="s">
        <v>1761</v>
      </c>
    </row>
    <row r="68" spans="1:3" ht="28.5">
      <c r="A68" s="670" t="s">
        <v>177</v>
      </c>
      <c r="B68" s="671" t="s">
        <v>1762</v>
      </c>
      <c r="C68" s="670"/>
    </row>
    <row r="69" spans="1:3" ht="42.75">
      <c r="A69" s="671" t="s">
        <v>1763</v>
      </c>
      <c r="B69" s="671" t="s">
        <v>1764</v>
      </c>
      <c r="C69" s="672" t="s">
        <v>1771</v>
      </c>
    </row>
    <row r="70" spans="1:3" ht="42.75">
      <c r="A70" s="671" t="s">
        <v>1766</v>
      </c>
      <c r="B70" s="671" t="s">
        <v>1768</v>
      </c>
      <c r="C70" s="672"/>
    </row>
  </sheetData>
  <mergeCells count="14">
    <mergeCell ref="J4:J5"/>
    <mergeCell ref="K4:K5"/>
    <mergeCell ref="L4:L5"/>
    <mergeCell ref="M4:M5"/>
    <mergeCell ref="A1:Q1"/>
    <mergeCell ref="A3:B5"/>
    <mergeCell ref="C3:D3"/>
    <mergeCell ref="F3:K3"/>
    <mergeCell ref="L3:M3"/>
    <mergeCell ref="N3:N5"/>
    <mergeCell ref="O3:O5"/>
    <mergeCell ref="P3:P5"/>
    <mergeCell ref="F4:G4"/>
    <mergeCell ref="H4:I4"/>
  </mergeCells>
  <phoneticPr fontId="4" type="noConversion"/>
  <pageMargins left="0.75" right="0.75" top="1" bottom="1" header="0.51180555555555551" footer="0.51180555555555551"/>
  <pageSetup paperSize="9" firstPageNumber="4294963191" orientation="portrait" horizontalDpi="0" verticalDpi="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outlinePr summaryBelow="0"/>
  </sheetPr>
  <dimension ref="A1:M658"/>
  <sheetViews>
    <sheetView zoomScale="85" zoomScaleNormal="85" workbookViewId="0">
      <pane xSplit="4" ySplit="3" topLeftCell="E4" activePane="bottomRight" state="frozen"/>
      <selection pane="topRight"/>
      <selection pane="bottomLeft"/>
      <selection pane="bottomRight" activeCell="B31" sqref="B31"/>
    </sheetView>
  </sheetViews>
  <sheetFormatPr defaultColWidth="9" defaultRowHeight="12" outlineLevelRow="4"/>
  <cols>
    <col min="1" max="1" width="12.625" style="462" customWidth="1"/>
    <col min="2" max="2" width="30.625" style="462" customWidth="1"/>
    <col min="3" max="3" width="12.625" style="463" customWidth="1"/>
    <col min="4" max="4" width="12" style="561" customWidth="1"/>
    <col min="5" max="5" width="16.625" style="561" customWidth="1"/>
    <col min="6" max="6" width="14.625" style="561" customWidth="1"/>
    <col min="7" max="7" width="16.125" style="561" customWidth="1"/>
    <col min="8" max="8" width="14.125" style="561" customWidth="1"/>
    <col min="9" max="9" width="16.5" style="561" customWidth="1"/>
    <col min="10" max="10" width="9.5" style="465" customWidth="1"/>
    <col min="11" max="11" width="18.375" style="463" customWidth="1"/>
    <col min="12" max="12" width="15.625" style="462" customWidth="1"/>
    <col min="13" max="16384" width="9" style="462"/>
  </cols>
  <sheetData>
    <row r="1" spans="1:11" s="461" customFormat="1" ht="25.5">
      <c r="A1" s="790" t="s">
        <v>589</v>
      </c>
      <c r="B1" s="790"/>
      <c r="C1" s="790"/>
      <c r="D1" s="790"/>
      <c r="E1" s="790"/>
      <c r="F1" s="790"/>
      <c r="G1" s="790"/>
      <c r="H1" s="790"/>
      <c r="I1" s="790"/>
      <c r="J1" s="790"/>
      <c r="K1" s="790"/>
    </row>
    <row r="2" spans="1:11">
      <c r="D2" s="791"/>
      <c r="E2" s="791"/>
      <c r="F2" s="791"/>
      <c r="G2" s="791"/>
      <c r="H2" s="464" t="s">
        <v>590</v>
      </c>
      <c r="I2" s="464"/>
      <c r="J2" s="465" t="s">
        <v>591</v>
      </c>
      <c r="K2" s="466">
        <v>116363.22</v>
      </c>
    </row>
    <row r="3" spans="1:11" ht="22.5">
      <c r="A3" s="467" t="s">
        <v>592</v>
      </c>
      <c r="B3" s="468" t="s">
        <v>593</v>
      </c>
      <c r="C3" s="469" t="s">
        <v>594</v>
      </c>
      <c r="D3" s="470" t="s">
        <v>595</v>
      </c>
      <c r="E3" s="471" t="s">
        <v>1740</v>
      </c>
      <c r="F3" s="472" t="s">
        <v>596</v>
      </c>
      <c r="G3" s="473" t="s">
        <v>597</v>
      </c>
      <c r="H3" s="474" t="s">
        <v>598</v>
      </c>
      <c r="I3" s="475" t="s">
        <v>599</v>
      </c>
      <c r="J3" s="473" t="s">
        <v>600</v>
      </c>
      <c r="K3" s="476" t="s">
        <v>601</v>
      </c>
    </row>
    <row r="4" spans="1:11" s="480" customFormat="1" ht="12.75">
      <c r="A4" s="2"/>
      <c r="B4" s="3" t="s">
        <v>602</v>
      </c>
      <c r="C4" s="4" t="s">
        <v>603</v>
      </c>
      <c r="D4" s="477">
        <f t="shared" ref="D4:H4" si="0">D5+D9+D13+D16+D19+D22+D25</f>
        <v>3604.2576253905663</v>
      </c>
      <c r="E4" s="477">
        <f t="shared" si="0"/>
        <v>41940.302300000003</v>
      </c>
      <c r="F4" s="477">
        <f t="shared" si="0"/>
        <v>419667097.56999999</v>
      </c>
      <c r="G4" s="477" t="e">
        <f t="shared" si="0"/>
        <v>#VALUE!</v>
      </c>
      <c r="H4" s="477">
        <f t="shared" ca="1" si="0"/>
        <v>421131497.56999999</v>
      </c>
      <c r="I4" s="478">
        <f>F4-E4*10000</f>
        <v>264074.56999993324</v>
      </c>
      <c r="J4" s="477" t="e">
        <f>G4-D4</f>
        <v>#VALUE!</v>
      </c>
      <c r="K4" s="479"/>
    </row>
    <row r="5" spans="1:11" s="484" customFormat="1" ht="12.75" outlineLevel="1">
      <c r="A5" s="5"/>
      <c r="B5" s="6" t="s">
        <v>604</v>
      </c>
      <c r="C5" s="7" t="s">
        <v>605</v>
      </c>
      <c r="D5" s="481">
        <f>E5/K2*10000</f>
        <v>3146.1831324365207</v>
      </c>
      <c r="E5" s="481">
        <v>36610</v>
      </c>
      <c r="F5" s="481">
        <f t="shared" ref="F5:H5" si="1">SUM(F6:F8)</f>
        <v>366100000</v>
      </c>
      <c r="G5" s="481">
        <f t="shared" si="1"/>
        <v>3146.1831324365207</v>
      </c>
      <c r="H5" s="481">
        <f t="shared" ca="1" si="1"/>
        <v>366100000</v>
      </c>
      <c r="I5" s="482">
        <f>F5-E5*10000</f>
        <v>0</v>
      </c>
      <c r="J5" s="483">
        <f>G5-D5</f>
        <v>0</v>
      </c>
      <c r="K5" s="479"/>
    </row>
    <row r="6" spans="1:11" s="491" customFormat="1" ht="12.75" outlineLevel="2">
      <c r="A6" s="485" t="s">
        <v>16</v>
      </c>
      <c r="B6" s="8" t="str">
        <f>IF(A6&lt;&gt;0,VLOOKUP(A6,合同台帐!$A$4:$D$893,4,1),"")</f>
        <v>天津市国有建设用地使用权出让合同</v>
      </c>
      <c r="C6" s="9"/>
      <c r="D6" s="10"/>
      <c r="E6" s="486"/>
      <c r="F6" s="487">
        <f>IF(A6&lt;&gt;0,VLOOKUP(A6,合同台帐!$A$4:$J$893,6,1),"")</f>
        <v>366100000</v>
      </c>
      <c r="G6" s="488">
        <f>F6/K2</f>
        <v>3146.1831324365207</v>
      </c>
      <c r="H6" s="486">
        <f ca="1">IF(A6&lt;&gt;0,IF($H$2="元",VLOOKUP(A6,合同台帐!$A$4:$K$1093,11,1),VLOOKUP(A6,合同台帐!$A$4:$K$1093,11,1)),0)</f>
        <v>366100000</v>
      </c>
      <c r="I6" s="487"/>
      <c r="J6" s="489"/>
      <c r="K6" s="490"/>
    </row>
    <row r="7" spans="1:11" s="484" customFormat="1" ht="12.75" outlineLevel="2">
      <c r="A7" s="405"/>
      <c r="B7" s="11"/>
      <c r="C7" s="12"/>
      <c r="D7" s="13"/>
      <c r="E7" s="492"/>
      <c r="F7" s="493"/>
      <c r="G7" s="494"/>
      <c r="H7" s="486">
        <f>IF(A7&lt;&gt;0,IF($H$2="元",VLOOKUP(A7,合同台帐!$A$4:$K$1093,11,1),VLOOKUP(A7,合同台帐!$A$4:$K$1093,11,1)),0)</f>
        <v>0</v>
      </c>
      <c r="I7" s="493"/>
      <c r="J7" s="495"/>
      <c r="K7" s="479"/>
    </row>
    <row r="8" spans="1:11" s="484" customFormat="1" ht="12.75" outlineLevel="2">
      <c r="A8" s="405"/>
      <c r="B8" s="11"/>
      <c r="C8" s="12"/>
      <c r="D8" s="13"/>
      <c r="E8" s="492"/>
      <c r="F8" s="493"/>
      <c r="G8" s="494"/>
      <c r="H8" s="486">
        <f>IF(A8&lt;&gt;0,IF($H$2="元",VLOOKUP(A8,合同台帐!$A$4:$K$1093,11,1),VLOOKUP(A8,合同台帐!$A$4:$K$1093,11,1)),0)</f>
        <v>0</v>
      </c>
      <c r="I8" s="493"/>
      <c r="J8" s="495"/>
      <c r="K8" s="479"/>
    </row>
    <row r="9" spans="1:11" s="484" customFormat="1" ht="12.75" outlineLevel="1">
      <c r="A9" s="5"/>
      <c r="B9" s="6" t="s">
        <v>606</v>
      </c>
      <c r="C9" s="7" t="s">
        <v>607</v>
      </c>
      <c r="D9" s="14">
        <f>E9/K$2*10000</f>
        <v>208.2450279392406</v>
      </c>
      <c r="E9" s="496">
        <v>2423.2062000000001</v>
      </c>
      <c r="F9" s="497">
        <f>SUM(F10:F12)</f>
        <v>24392833.399999999</v>
      </c>
      <c r="G9" s="497" t="e">
        <f t="shared" ref="G9:J9" si="2">SUM(G10:G12)</f>
        <v>#VALUE!</v>
      </c>
      <c r="H9" s="497">
        <f t="shared" ca="1" si="2"/>
        <v>24392833.399999999</v>
      </c>
      <c r="I9" s="497">
        <f t="shared" si="2"/>
        <v>0</v>
      </c>
      <c r="J9" s="497">
        <f t="shared" si="2"/>
        <v>0</v>
      </c>
      <c r="K9" s="479"/>
    </row>
    <row r="10" spans="1:11" s="491" customFormat="1" ht="12.75" outlineLevel="2">
      <c r="A10" s="498" t="s">
        <v>61</v>
      </c>
      <c r="B10" s="8" t="str">
        <f>IF(A10&lt;&gt;0,VLOOKUP(A10,合同台帐!$A$4:$D$893,4,1),"")</f>
        <v>大配套费（一期）</v>
      </c>
      <c r="C10" s="9"/>
      <c r="D10" s="487"/>
      <c r="E10" s="487"/>
      <c r="F10" s="487">
        <f>IF(A10&lt;&gt;0,VLOOKUP(A10,合同台帐!$A$4:$J$893,6,1),"")</f>
        <v>12515936.4</v>
      </c>
      <c r="G10" s="488">
        <f>F10/K2</f>
        <v>107.55921329781009</v>
      </c>
      <c r="H10" s="486">
        <f ca="1">IF(A10&lt;&gt;0,IF($H$2="元",VLOOKUP(A10,合同台帐!$A$4:$K$1093,11,1),VLOOKUP(A10,合同台帐!$A$4:$K$1093,11,1)),0)</f>
        <v>12515936.4</v>
      </c>
      <c r="I10" s="487" t="str">
        <f>IF(D10&lt;&gt;0,VLOOKUP(D10,合同台帐!$A$4:$J$893,6,1),"")</f>
        <v/>
      </c>
      <c r="J10" s="487" t="str">
        <f>IF(E10&lt;&gt;0,VLOOKUP(E10,合同台帐!$A$4:$J$893,6,1),"")</f>
        <v/>
      </c>
      <c r="K10" s="490"/>
    </row>
    <row r="11" spans="1:11" s="491" customFormat="1" ht="12.75" outlineLevel="2">
      <c r="A11" s="499" t="s">
        <v>156</v>
      </c>
      <c r="B11" s="8" t="str">
        <f>IF(A11&lt;&gt;0,VLOOKUP(A11,合同台帐!$A$4:$D$893,4,1),"")</f>
        <v>（二、三期）大配套费</v>
      </c>
      <c r="C11" s="9"/>
      <c r="D11" s="487"/>
      <c r="E11" s="487"/>
      <c r="F11" s="487">
        <f>IF(A11&lt;&gt;0,VLOOKUP(A11,合同台帐!$A$4:$J$893,6,1),"")</f>
        <v>11876897</v>
      </c>
      <c r="G11" s="488" t="e">
        <f>F11/K3</f>
        <v>#VALUE!</v>
      </c>
      <c r="H11" s="486">
        <f ca="1">IF(A11&lt;&gt;0,IF($H$2="元",VLOOKUP(A11,合同台帐!$A$4:$K$1093,11,1),VLOOKUP(A11,合同台帐!$A$4:$K$1093,11,1)),0)</f>
        <v>11876897</v>
      </c>
      <c r="I11" s="487" t="str">
        <f>IF(D11&lt;&gt;0,VLOOKUP(D11,合同台帐!$A$4:$J$893,6,1),"")</f>
        <v/>
      </c>
      <c r="J11" s="487" t="str">
        <f>IF(E11&lt;&gt;0,VLOOKUP(E11,合同台帐!$A$4:$J$893,6,1),"")</f>
        <v/>
      </c>
      <c r="K11" s="490"/>
    </row>
    <row r="12" spans="1:11" s="484" customFormat="1" ht="12.75" outlineLevel="2">
      <c r="A12" s="405"/>
      <c r="B12" s="11"/>
      <c r="C12" s="12"/>
      <c r="D12" s="13"/>
      <c r="E12" s="492"/>
      <c r="F12" s="493"/>
      <c r="G12" s="494"/>
      <c r="H12" s="486">
        <f>IF(A12&lt;&gt;0,IF($H$2="元",VLOOKUP(A12,合同台帐!$A$4:$K$1093,11,1),VLOOKUP(A12,合同台帐!$A$4:$K$1093,11,1)),0)</f>
        <v>0</v>
      </c>
      <c r="I12" s="500"/>
      <c r="J12" s="495"/>
      <c r="K12" s="479"/>
    </row>
    <row r="13" spans="1:11" s="484" customFormat="1" ht="12.75" outlineLevel="1">
      <c r="A13" s="5"/>
      <c r="B13" s="6" t="s">
        <v>608</v>
      </c>
      <c r="C13" s="7" t="s">
        <v>609</v>
      </c>
      <c r="D13" s="14">
        <f>E13/K$2*10000</f>
        <v>100.28019162756067</v>
      </c>
      <c r="E13" s="496">
        <v>1166.8925999999999</v>
      </c>
      <c r="F13" s="497">
        <f>SUM(F14:F15)</f>
        <v>11967564.17</v>
      </c>
      <c r="G13" s="497">
        <f t="shared" ref="G13:H13" si="3">SUM(G14:G15)</f>
        <v>102.84662258400893</v>
      </c>
      <c r="H13" s="497">
        <f t="shared" ca="1" si="3"/>
        <v>11967564.17</v>
      </c>
      <c r="I13" s="482">
        <f>F13-E13*10000</f>
        <v>298638.17000000179</v>
      </c>
      <c r="J13" s="483">
        <f>G13-D13</f>
        <v>2.5664309564482579</v>
      </c>
      <c r="K13" s="479"/>
    </row>
    <row r="14" spans="1:11" s="491" customFormat="1" ht="12.75" outlineLevel="2">
      <c r="A14" s="498" t="s">
        <v>27</v>
      </c>
      <c r="B14" s="8" t="str">
        <f>IF(A14&lt;&gt;0,VLOOKUP(A14,合同台帐!$A$4:$D$893,4,1),"")</f>
        <v>土地契税</v>
      </c>
      <c r="C14" s="9"/>
      <c r="D14" s="487"/>
      <c r="E14" s="487"/>
      <c r="F14" s="487">
        <f>IF(A14&lt;&gt;0,VLOOKUP(A14,合同台帐!$A$4:$J$893,6,1),"")</f>
        <v>11967564.17</v>
      </c>
      <c r="G14" s="488">
        <f>F14/K2</f>
        <v>102.84662258400893</v>
      </c>
      <c r="H14" s="486">
        <f ca="1">IF(A14&lt;&gt;0,IF($H$2="元",VLOOKUP(A14,合同台帐!$A$4:$K$1093,11,1),VLOOKUP(A14,合同台帐!$A$4:$K$1093,11,1)),0)</f>
        <v>11967564.17</v>
      </c>
      <c r="I14" s="487" t="str">
        <f>IF(D14&lt;&gt;0,VLOOKUP(D14,合同台帐!$A$4:$J$893,6,1),"")</f>
        <v/>
      </c>
      <c r="J14" s="487" t="str">
        <f>IF(E14&lt;&gt;0,VLOOKUP(E14,合同台帐!$A$4:$J$893,6,1),"")</f>
        <v/>
      </c>
      <c r="K14" s="490"/>
    </row>
    <row r="15" spans="1:11" s="484" customFormat="1" ht="12.75" outlineLevel="2">
      <c r="A15" s="15"/>
      <c r="B15" s="16"/>
      <c r="C15" s="17"/>
      <c r="D15" s="13"/>
      <c r="E15" s="492"/>
      <c r="F15" s="493"/>
      <c r="G15" s="494"/>
      <c r="H15" s="486">
        <f>IF(A15&lt;&gt;0,IF($H$2="元",VLOOKUP(A15,合同台帐!$A$4:$K$1093,11,1),VLOOKUP(A15,合同台帐!$A$4:$K$1093,11,1)),0)</f>
        <v>0</v>
      </c>
      <c r="I15" s="500"/>
      <c r="J15" s="495"/>
      <c r="K15" s="479"/>
    </row>
    <row r="16" spans="1:11" s="484" customFormat="1" ht="12.75" outlineLevel="1">
      <c r="A16" s="5"/>
      <c r="B16" s="6" t="s">
        <v>610</v>
      </c>
      <c r="C16" s="7" t="s">
        <v>611</v>
      </c>
      <c r="D16" s="14">
        <f>E16/K$2*10000</f>
        <v>15.732368011129291</v>
      </c>
      <c r="E16" s="496">
        <v>183.0669</v>
      </c>
      <c r="F16" s="497">
        <f>SUM(F17:F18)</f>
        <v>1830500</v>
      </c>
      <c r="G16" s="497">
        <f t="shared" ref="G16:J16" si="4">SUM(G17:G23)</f>
        <v>28.315648191928688</v>
      </c>
      <c r="H16" s="497">
        <f t="shared" ca="1" si="4"/>
        <v>3294900</v>
      </c>
      <c r="I16" s="497">
        <f t="shared" si="4"/>
        <v>0</v>
      </c>
      <c r="J16" s="497">
        <f t="shared" si="4"/>
        <v>0</v>
      </c>
      <c r="K16" s="479"/>
    </row>
    <row r="17" spans="1:12" s="491" customFormat="1" ht="15.75" customHeight="1" outlineLevel="2">
      <c r="A17" s="498" t="s">
        <v>17</v>
      </c>
      <c r="B17" s="8" t="str">
        <f>IF(A17&lt;&gt;0,VLOOKUP(A17,合同台帐!$A$4:$D$893,4,1),"")</f>
        <v>代理代办费（蓟县国土收取）</v>
      </c>
      <c r="C17" s="9"/>
      <c r="D17" s="10"/>
      <c r="E17" s="486"/>
      <c r="F17" s="487">
        <f>IF(A17&lt;&gt;0,VLOOKUP(A17,合同台帐!$A$4:$J$893,6,1),"")</f>
        <v>366100</v>
      </c>
      <c r="G17" s="488">
        <f>F17/K2</f>
        <v>3.1461831324365206</v>
      </c>
      <c r="H17" s="486">
        <f ca="1">IF(A17&lt;&gt;0,IF($H$2="元",VLOOKUP(A17,合同台帐!$A$4:$K$1093,11,1),VLOOKUP(A17,合同台帐!$A$4:$K$1093,11,1)),0)</f>
        <v>366100</v>
      </c>
      <c r="I17" s="487"/>
      <c r="J17" s="489"/>
      <c r="K17" s="490"/>
    </row>
    <row r="18" spans="1:12" s="491" customFormat="1" ht="12.75" outlineLevel="2">
      <c r="A18" s="498" t="s">
        <v>19</v>
      </c>
      <c r="B18" s="8" t="str">
        <f>IF(A18&lt;&gt;0,VLOOKUP(A18,合同台帐!$A$4:$D$893,4,1),"")</f>
        <v>土地交易代理代办费</v>
      </c>
      <c r="C18" s="9"/>
      <c r="D18" s="10"/>
      <c r="E18" s="486"/>
      <c r="F18" s="487">
        <f>IF(A18&lt;&gt;0,VLOOKUP(A18,合同台帐!$A$4:$J$893,6,1),"")</f>
        <v>1464400</v>
      </c>
      <c r="G18" s="488">
        <f>F18/K2</f>
        <v>12.584732529746082</v>
      </c>
      <c r="H18" s="486">
        <f ca="1">IF(A18&lt;&gt;0,IF($H$2="元",VLOOKUP(A18,合同台帐!$A$4:$K$1093,11,1),VLOOKUP(A18,合同台帐!$A$4:$K$1093,11,1)),0)</f>
        <v>1464400</v>
      </c>
      <c r="I18" s="487"/>
      <c r="J18" s="489"/>
      <c r="K18" s="490"/>
    </row>
    <row r="19" spans="1:12" s="484" customFormat="1" ht="12.75" outlineLevel="1">
      <c r="A19" s="5"/>
      <c r="B19" s="6" t="s">
        <v>612</v>
      </c>
      <c r="C19" s="7" t="s">
        <v>613</v>
      </c>
      <c r="D19" s="14">
        <f>E19/K$2*10000</f>
        <v>1.6772138137806774</v>
      </c>
      <c r="E19" s="496">
        <v>19.5166</v>
      </c>
      <c r="F19" s="497">
        <f>SUM(F20:F21)</f>
        <v>0</v>
      </c>
      <c r="G19" s="497">
        <f t="shared" ref="G19:J19" si="5">SUM(G20:G21)</f>
        <v>0</v>
      </c>
      <c r="H19" s="497">
        <f t="shared" si="5"/>
        <v>0</v>
      </c>
      <c r="I19" s="497">
        <f t="shared" si="5"/>
        <v>0</v>
      </c>
      <c r="J19" s="497">
        <f t="shared" si="5"/>
        <v>0</v>
      </c>
      <c r="K19" s="479"/>
    </row>
    <row r="20" spans="1:12" s="484" customFormat="1" ht="12.75" outlineLevel="2">
      <c r="A20" s="15"/>
      <c r="B20" s="16"/>
      <c r="C20" s="12"/>
      <c r="D20" s="13"/>
      <c r="E20" s="492"/>
      <c r="F20" s="493"/>
      <c r="G20" s="494"/>
      <c r="H20" s="486">
        <f>IF(A20&lt;&gt;0,IF($H$2="元",VLOOKUP(A20,合同台帐!$A$4:$K$1093,11,1),VLOOKUP(A20,合同台帐!$A$4:$K$1093,11,1)),0)</f>
        <v>0</v>
      </c>
      <c r="I20" s="501"/>
      <c r="J20" s="495"/>
      <c r="K20" s="479"/>
    </row>
    <row r="21" spans="1:12" s="484" customFormat="1" ht="12.75" outlineLevel="2">
      <c r="A21" s="15"/>
      <c r="B21" s="16"/>
      <c r="C21" s="12"/>
      <c r="D21" s="13"/>
      <c r="E21" s="492"/>
      <c r="F21" s="493"/>
      <c r="G21" s="494"/>
      <c r="H21" s="486">
        <f>IF(A21&lt;&gt;0,IF($H$2="元",VLOOKUP(A21,合同台帐!$A$4:$K$1093,11,1),VLOOKUP(A21,合同台帐!$A$4:$K$1093,11,1)),0)</f>
        <v>0</v>
      </c>
      <c r="I21" s="501"/>
      <c r="J21" s="495"/>
      <c r="K21" s="479"/>
    </row>
    <row r="22" spans="1:12" s="484" customFormat="1" ht="12.75" outlineLevel="1">
      <c r="A22" s="5"/>
      <c r="B22" s="6" t="s">
        <v>614</v>
      </c>
      <c r="C22" s="7" t="s">
        <v>613</v>
      </c>
      <c r="D22" s="14">
        <f>E22/K$2*10000</f>
        <v>6.2923662648730412</v>
      </c>
      <c r="E22" s="496">
        <v>73.22</v>
      </c>
      <c r="F22" s="497">
        <f>SUM(F23:F24)</f>
        <v>732200</v>
      </c>
      <c r="G22" s="497">
        <f t="shared" ref="G22:H22" si="6">SUM(G23:G24)</f>
        <v>6.2923662648730412</v>
      </c>
      <c r="H22" s="497">
        <f t="shared" ca="1" si="6"/>
        <v>732200</v>
      </c>
      <c r="I22" s="482">
        <f>F22-E22*10000</f>
        <v>0</v>
      </c>
      <c r="J22" s="483">
        <f>G22-D22</f>
        <v>0</v>
      </c>
      <c r="K22" s="479"/>
    </row>
    <row r="23" spans="1:12" s="491" customFormat="1" ht="12.75" outlineLevel="2">
      <c r="A23" s="498" t="s">
        <v>20</v>
      </c>
      <c r="B23" s="8" t="str">
        <f>IF(A23&lt;&gt;0,VLOOKUP(A23,合同台帐!$A$4:$D$893,4,1),"")</f>
        <v>土地交易手续费</v>
      </c>
      <c r="C23" s="9"/>
      <c r="D23" s="10"/>
      <c r="E23" s="486"/>
      <c r="F23" s="487">
        <f>IF(A23&lt;&gt;0,VLOOKUP(A23,合同台帐!$A$4:$J$893,6,1),"")</f>
        <v>732200</v>
      </c>
      <c r="G23" s="488">
        <f>F23/K2</f>
        <v>6.2923662648730412</v>
      </c>
      <c r="H23" s="486">
        <f ca="1">IF(A23&lt;&gt;0,IF($H$2="元",VLOOKUP(A23,合同台帐!$A$4:$K$1093,11,1),VLOOKUP(A23,合同台帐!$A$4:$K$1093,11,1)),0)</f>
        <v>732200</v>
      </c>
      <c r="I23" s="487"/>
      <c r="J23" s="489"/>
      <c r="K23" s="490"/>
    </row>
    <row r="24" spans="1:12" s="484" customFormat="1" ht="12.75" outlineLevel="2">
      <c r="A24" s="15"/>
      <c r="B24" s="16"/>
      <c r="C24" s="12"/>
      <c r="D24" s="13"/>
      <c r="E24" s="492"/>
      <c r="F24" s="493"/>
      <c r="G24" s="494"/>
      <c r="H24" s="486">
        <f>IF(A24&lt;&gt;0,IF($H$2="元",VLOOKUP(A24,合同台帐!$A$4:$K$1093,11,1),VLOOKUP(A24,合同台帐!$A$4:$K$1093,11,1)),0)</f>
        <v>0</v>
      </c>
      <c r="I24" s="501"/>
      <c r="J24" s="495"/>
      <c r="K24" s="479"/>
    </row>
    <row r="25" spans="1:12" s="484" customFormat="1" ht="12.75" outlineLevel="1">
      <c r="A25" s="5"/>
      <c r="B25" s="6" t="s">
        <v>615</v>
      </c>
      <c r="C25" s="7" t="s">
        <v>613</v>
      </c>
      <c r="D25" s="14">
        <f>E25/K$2*10000</f>
        <v>125.84732529746083</v>
      </c>
      <c r="E25" s="496">
        <v>1464.4</v>
      </c>
      <c r="F25" s="497">
        <f>SUM(F26:F27)</f>
        <v>14644000</v>
      </c>
      <c r="G25" s="497">
        <f t="shared" ref="G25:H25" si="7">SUM(G26:G27)</f>
        <v>125.84732529746083</v>
      </c>
      <c r="H25" s="497">
        <f t="shared" ca="1" si="7"/>
        <v>14644000</v>
      </c>
      <c r="I25" s="482">
        <f>F25-E25*10000</f>
        <v>0</v>
      </c>
      <c r="J25" s="483">
        <f>G25-D25</f>
        <v>0</v>
      </c>
      <c r="K25" s="479"/>
    </row>
    <row r="26" spans="1:12" s="491" customFormat="1" ht="12.75" outlineLevel="2">
      <c r="A26" s="498" t="s">
        <v>21</v>
      </c>
      <c r="B26" s="8" t="str">
        <f>IF(A26&lt;&gt;0,VLOOKUP(A26,合同台帐!$A$4:$D$893,4,1),"")</f>
        <v>土地拍卖佣金（蓟县063号）</v>
      </c>
      <c r="C26" s="9"/>
      <c r="D26" s="10"/>
      <c r="E26" s="486"/>
      <c r="F26" s="487">
        <f>IF(A26&lt;&gt;0,VLOOKUP(A26,合同台帐!$A$4:$J$893,6,1),"")</f>
        <v>14644000</v>
      </c>
      <c r="G26" s="488">
        <f>F26/K2</f>
        <v>125.84732529746083</v>
      </c>
      <c r="H26" s="486">
        <f ca="1">IF(A26&lt;&gt;0,IF($H$2="元",VLOOKUP(A26,合同台帐!$A$4:$K$1093,11,1),VLOOKUP(A26,合同台帐!$A$4:$K$1093,11,1)),0)</f>
        <v>14644000</v>
      </c>
      <c r="I26" s="487"/>
      <c r="J26" s="489"/>
      <c r="K26" s="490"/>
    </row>
    <row r="27" spans="1:12" s="484" customFormat="1" ht="13.5" customHeight="1" outlineLevel="2">
      <c r="A27" s="15"/>
      <c r="B27" s="16"/>
      <c r="C27" s="17"/>
      <c r="D27" s="13"/>
      <c r="E27" s="492"/>
      <c r="F27" s="493"/>
      <c r="G27" s="494"/>
      <c r="H27" s="486">
        <f>IF(A27&lt;&gt;0,IF($H$2="元",VLOOKUP(A27,合同台帐!$A$4:$K$1093,11,1),VLOOKUP(A27,合同台帐!$A$4:$K$1093,11,1)),0)</f>
        <v>0</v>
      </c>
      <c r="I27" s="500"/>
      <c r="J27" s="495"/>
      <c r="K27" s="479"/>
    </row>
    <row r="28" spans="1:12" s="480" customFormat="1" ht="12.75">
      <c r="A28" s="2"/>
      <c r="B28" s="3" t="s">
        <v>616</v>
      </c>
      <c r="C28" s="4" t="s">
        <v>617</v>
      </c>
      <c r="D28" s="502">
        <f t="shared" ref="D28:H28" si="8">D29+D45+D75+D108+D133+D147+D168+D187+D218</f>
        <v>226.0688729651861</v>
      </c>
      <c r="E28" s="502">
        <f t="shared" si="8"/>
        <v>2630.6102000000005</v>
      </c>
      <c r="F28" s="502">
        <f t="shared" si="8"/>
        <v>25082587.280000001</v>
      </c>
      <c r="G28" s="502" t="e">
        <f t="shared" si="8"/>
        <v>#VALUE!</v>
      </c>
      <c r="H28" s="502">
        <f t="shared" ca="1" si="8"/>
        <v>18901209.740000002</v>
      </c>
      <c r="I28" s="502" t="e">
        <f>I29+I45+I75+#REF!+#REF!+I108+I218</f>
        <v>#REF!</v>
      </c>
      <c r="J28" s="502" t="e">
        <f>J29+J45+J75+#REF!+#REF!+J108+J218</f>
        <v>#REF!</v>
      </c>
      <c r="K28" s="479"/>
    </row>
    <row r="29" spans="1:12" ht="12.75" outlineLevel="1">
      <c r="A29" s="5"/>
      <c r="B29" s="6" t="s">
        <v>618</v>
      </c>
      <c r="C29" s="7" t="s">
        <v>619</v>
      </c>
      <c r="D29" s="497">
        <f>D30+D34+D41</f>
        <v>11.849611930642689</v>
      </c>
      <c r="E29" s="497">
        <f>E30+E34+E41</f>
        <v>137.88589999999999</v>
      </c>
      <c r="F29" s="497">
        <f t="shared" ref="F29:H29" si="9">F30+F34+F41</f>
        <v>1306563</v>
      </c>
      <c r="G29" s="497">
        <f t="shared" si="9"/>
        <v>11.228315957568036</v>
      </c>
      <c r="H29" s="497">
        <f t="shared" ca="1" si="9"/>
        <v>991963</v>
      </c>
      <c r="I29" s="482">
        <f>F29-E29*10000</f>
        <v>-72296</v>
      </c>
      <c r="J29" s="483">
        <f>G29-D29</f>
        <v>-0.62129597307465367</v>
      </c>
      <c r="K29" s="479"/>
    </row>
    <row r="30" spans="1:12" ht="15" customHeight="1" outlineLevel="2">
      <c r="A30" s="18"/>
      <c r="B30" s="19" t="s">
        <v>620</v>
      </c>
      <c r="C30" s="20"/>
      <c r="D30" s="13">
        <f>E30/K$2*10000</f>
        <v>10.395037194742462</v>
      </c>
      <c r="E30" s="492">
        <v>120.96</v>
      </c>
      <c r="F30" s="493">
        <f>SUM(F31:F33)</f>
        <v>1132375</v>
      </c>
      <c r="G30" s="493">
        <f t="shared" ref="G30:H30" si="10">SUM(G31:G33)</f>
        <v>9.7313824763529233</v>
      </c>
      <c r="H30" s="493">
        <f t="shared" ca="1" si="10"/>
        <v>823375</v>
      </c>
      <c r="I30" s="503"/>
      <c r="J30" s="495"/>
      <c r="K30" s="479"/>
      <c r="L30" s="491"/>
    </row>
    <row r="31" spans="1:12" s="491" customFormat="1" ht="12.75" outlineLevel="3">
      <c r="A31" s="485" t="s">
        <v>14</v>
      </c>
      <c r="B31" s="8" t="str">
        <f>IF(A31&lt;&gt;0,VLOOKUP(A31,合同台帐!$A$4:$D$195,4,1),"")</f>
        <v>初勘合同</v>
      </c>
      <c r="C31" s="9"/>
      <c r="D31" s="10"/>
      <c r="E31" s="486"/>
      <c r="F31" s="487">
        <f>IF(A31&lt;&gt;0,IF(VLOOKUP(A31,合同台帐!$A$4:$G$195,7,1),IF($H$2="元",VLOOKUP(A31,合同台帐!$A$4:$G$195,7,1),VLOOKUP(A31,合同台帐!$A$4:$G$195,7,1)),IF($H$2="元",VLOOKUP(A31,合同台帐!$A$4:$F$195,6,1),VLOOKUP(A31,合同台帐!$A$4:$F$195,6,1))),0)</f>
        <v>102375</v>
      </c>
      <c r="G31" s="488">
        <f>F31/K$2</f>
        <v>0.87978830424252608</v>
      </c>
      <c r="H31" s="486">
        <f ca="1">IF(A31&lt;&gt;0,IF($H$2="元",VLOOKUP(A31,合同台帐!$A$4:$K$1093,11,1),VLOOKUP(A31,合同台帐!$A$4:$K$1093,11,1)),0)</f>
        <v>102375</v>
      </c>
      <c r="I31" s="503"/>
      <c r="J31" s="489"/>
      <c r="K31" s="504"/>
    </row>
    <row r="32" spans="1:12" s="484" customFormat="1" ht="12.75" outlineLevel="3">
      <c r="A32" s="485" t="s">
        <v>33</v>
      </c>
      <c r="B32" s="8" t="str">
        <f>IF(A32&lt;&gt;0,VLOOKUP(A32,合同台帐!$A$4:$D$195,4,1),"")</f>
        <v>建设工程勘察合同(详勘）</v>
      </c>
      <c r="C32" s="9"/>
      <c r="D32" s="10"/>
      <c r="E32" s="486"/>
      <c r="F32" s="487">
        <f>IF(A32&lt;&gt;0,IF(VLOOKUP(A32,合同台帐!$A$4:$G$195,7,1),IF($H$2="元",VLOOKUP(A32,合同台帐!$A$4:$G$195,7,1),VLOOKUP(A32,合同台帐!$A$4:$G$195,7,1)),IF($H$2="元",VLOOKUP(A32,合同台帐!$A$4:$F$195,6,1),VLOOKUP(A32,合同台帐!$A$4:$F$195,6,1))),0)</f>
        <v>1030000</v>
      </c>
      <c r="G32" s="488">
        <f t="shared" ref="G32:G33" si="11">F32/K$2</f>
        <v>8.8515941721103975</v>
      </c>
      <c r="H32" s="486">
        <f ca="1">IF(A32&lt;&gt;0,IF($H$2="元",VLOOKUP(A32,合同台帐!$A$4:$K$1093,11,1),VLOOKUP(A32,合同台帐!$A$4:$K$1093,11,1)),0)</f>
        <v>721000</v>
      </c>
      <c r="I32" s="500"/>
      <c r="J32" s="495"/>
      <c r="K32" s="505"/>
    </row>
    <row r="33" spans="1:11" s="484" customFormat="1" ht="12.75" outlineLevel="3">
      <c r="A33" s="506"/>
      <c r="B33" s="11" t="str">
        <f>IF(A33&lt;&gt;0,VLOOKUP(A33,合同台帐!$A$4:$D$195,4,1),"")</f>
        <v/>
      </c>
      <c r="C33" s="12"/>
      <c r="D33" s="13"/>
      <c r="E33" s="492"/>
      <c r="F33" s="493">
        <f>IF(A33&lt;&gt;0,IF(VLOOKUP(A33,合同台帐!$A$4:$G$195,7,1),IF($H$2="元",VLOOKUP(A33,合同台帐!$A$4:$G$195,7,1),VLOOKUP(A33,合同台帐!$A$4:$G$195,7,1)),IF($H$2="元",VLOOKUP(A33,合同台帐!$A$4:$F$195,6,1),VLOOKUP(A33,合同台帐!$A$4:$F$195,6,1))),0)</f>
        <v>0</v>
      </c>
      <c r="G33" s="494">
        <f t="shared" si="11"/>
        <v>0</v>
      </c>
      <c r="H33" s="486">
        <f>IF(A33&lt;&gt;0,IF($H$2="元",VLOOKUP(A33,合同台帐!$A$4:$K$1093,11,1),VLOOKUP(A33,合同台帐!$A$4:$K$1093,11,1)),0)</f>
        <v>0</v>
      </c>
      <c r="I33" s="500"/>
      <c r="J33" s="495"/>
      <c r="K33" s="479"/>
    </row>
    <row r="34" spans="1:11" s="484" customFormat="1" ht="12.75" outlineLevel="2">
      <c r="A34" s="18"/>
      <c r="B34" s="19" t="s">
        <v>621</v>
      </c>
      <c r="C34" s="20"/>
      <c r="D34" s="13">
        <f>E34/K$2*10000</f>
        <v>1.3683017709547742</v>
      </c>
      <c r="E34" s="492">
        <v>15.922000000000001</v>
      </c>
      <c r="F34" s="493">
        <f t="shared" ref="F34:H34" si="12">SUM(F35:F40)</f>
        <v>164188</v>
      </c>
      <c r="G34" s="493">
        <f t="shared" si="12"/>
        <v>1.4109956737188951</v>
      </c>
      <c r="H34" s="493">
        <f t="shared" ca="1" si="12"/>
        <v>158588</v>
      </c>
      <c r="I34" s="503"/>
      <c r="J34" s="495"/>
      <c r="K34" s="479"/>
    </row>
    <row r="35" spans="1:11" s="491" customFormat="1" ht="12.75" outlineLevel="3">
      <c r="A35" s="485" t="s">
        <v>13</v>
      </c>
      <c r="B35" s="8" t="str">
        <f>IF(A35&lt;&gt;0,VLOOKUP(A35,合同台帐!$A$4:$D$195,4,1),"")</f>
        <v>天津蓟县项目地形图测绘合同</v>
      </c>
      <c r="C35" s="9"/>
      <c r="D35" s="10"/>
      <c r="E35" s="486"/>
      <c r="F35" s="487">
        <f>IF(A35&lt;&gt;0,IF(VLOOKUP(A35,合同台帐!$A$4:$G$195,7,1),IF($H$2="元",VLOOKUP(A35,合同台帐!$A$4:$G$195,7,1),VLOOKUP(A35,合同台帐!$A$4:$G$195,7,1)),IF($H$2="元",VLOOKUP(A35,合同台帐!$A$4:$F$195,6,1),VLOOKUP(A35,合同台帐!$A$4:$F$195,6,1))),0)</f>
        <v>44110</v>
      </c>
      <c r="G35" s="488">
        <f>F35/K$2</f>
        <v>0.37907166886581517</v>
      </c>
      <c r="H35" s="486">
        <f ca="1">IF(A35&lt;&gt;0,IF($H$2="元",VLOOKUP(A35,合同台帐!$A$4:$K$1093,11,1),VLOOKUP(A35,合同台帐!$A$4:$K$1093,11,1)),0)</f>
        <v>44110</v>
      </c>
      <c r="I35" s="503"/>
      <c r="J35" s="489"/>
      <c r="K35" s="504"/>
    </row>
    <row r="36" spans="1:11" s="491" customFormat="1" ht="12" customHeight="1" outlineLevel="3">
      <c r="A36" s="507" t="s">
        <v>22</v>
      </c>
      <c r="B36" s="8" t="str">
        <f>IF(A36&lt;&gt;0,VLOOKUP(A36,合同台帐!$A$4:$D$195,4,1),"")</f>
        <v>管线实测费（买图）</v>
      </c>
      <c r="C36" s="9"/>
      <c r="D36" s="10"/>
      <c r="E36" s="486"/>
      <c r="F36" s="487">
        <f>IF(A36&lt;&gt;0,IF(VLOOKUP(A36,合同台帐!$A$4:$G$195,7,1),IF($H$2="元",VLOOKUP(A36,合同台帐!$A$4:$G$195,7,1),VLOOKUP(A36,合同台帐!$A$4:$G$195,7,1)),IF($H$2="元",VLOOKUP(A36,合同台帐!$A$4:$F$195,6,1),VLOOKUP(A36,合同台帐!$A$4:$F$195,6,1))),0)</f>
        <v>12600</v>
      </c>
      <c r="G36" s="488">
        <f t="shared" ref="G36:G39" si="13">F36/K$2</f>
        <v>0.10828163744523399</v>
      </c>
      <c r="H36" s="486">
        <f ca="1">IF(A36&lt;&gt;0,IF($H$2="元",VLOOKUP(A36,合同台帐!$A$4:$K$1093,11,1),VLOOKUP(A36,合同台帐!$A$4:$K$1093,11,1)),0)</f>
        <v>12600</v>
      </c>
      <c r="I36" s="503"/>
      <c r="J36" s="489"/>
      <c r="K36" s="504"/>
    </row>
    <row r="37" spans="1:11" s="491" customFormat="1" ht="12.75" outlineLevel="3">
      <c r="A37" s="507" t="s">
        <v>23</v>
      </c>
      <c r="B37" s="8" t="str">
        <f>IF(A37&lt;&gt;0,VLOOKUP(A37,合同台帐!$A$4:$D$195,4,1),"")</f>
        <v>管线实测费</v>
      </c>
      <c r="C37" s="9"/>
      <c r="D37" s="10"/>
      <c r="E37" s="486"/>
      <c r="F37" s="487">
        <f>IF(A37&lt;&gt;0,IF(VLOOKUP(A37,合同台帐!$A$4:$G$195,7,1),IF($H$2="元",VLOOKUP(A37,合同台帐!$A$4:$G$195,7,1),VLOOKUP(A37,合同台帐!$A$4:$G$195,7,1)),IF($H$2="元",VLOOKUP(A37,合同台帐!$A$4:$F$195,6,1),VLOOKUP(A37,合同台帐!$A$4:$F$195,6,1))),0)</f>
        <v>61713</v>
      </c>
      <c r="G37" s="488">
        <f t="shared" si="13"/>
        <v>0.53034799140140676</v>
      </c>
      <c r="H37" s="486">
        <f ca="1">IF(A37&lt;&gt;0,IF($H$2="元",VLOOKUP(A37,合同台帐!$A$4:$K$1093,11,1),VLOOKUP(A37,合同台帐!$A$4:$K$1093,11,1)),0)</f>
        <v>61713</v>
      </c>
      <c r="I37" s="503"/>
      <c r="J37" s="489"/>
      <c r="K37" s="504"/>
    </row>
    <row r="38" spans="1:11" s="484" customFormat="1" ht="12.75" outlineLevel="3">
      <c r="A38" s="507" t="s">
        <v>38</v>
      </c>
      <c r="B38" s="8" t="str">
        <f>IF(A38&lt;&gt;0,VLOOKUP(A38,合同台帐!$A$4:$D$195,4,1),"")</f>
        <v>拨地定桩（红线测绘）</v>
      </c>
      <c r="C38" s="9"/>
      <c r="D38" s="10"/>
      <c r="E38" s="486"/>
      <c r="F38" s="487">
        <f>IF(A38&lt;&gt;0,IF(VLOOKUP(A38,合同台帐!$A$4:$G$195,7,1),IF($H$2="元",VLOOKUP(A38,合同台帐!$A$4:$G$195,7,1),VLOOKUP(A38,合同台帐!$A$4:$G$195,7,1)),IF($H$2="元",VLOOKUP(A38,合同台帐!$A$4:$F$195,6,1),VLOOKUP(A38,合同台帐!$A$4:$F$195,6,1))),0)</f>
        <v>40165</v>
      </c>
      <c r="G38" s="488">
        <f t="shared" si="13"/>
        <v>0.34516920380855737</v>
      </c>
      <c r="H38" s="486">
        <f ca="1">IF(A38&lt;&gt;0,IF($H$2="元",VLOOKUP(A38,合同台帐!$A$4:$K$1093,11,1),VLOOKUP(A38,合同台帐!$A$4:$K$1093,11,1)),0)</f>
        <v>40165</v>
      </c>
      <c r="I38" s="503"/>
      <c r="J38" s="489"/>
      <c r="K38" s="504"/>
    </row>
    <row r="39" spans="1:11" s="484" customFormat="1" ht="12.75" outlineLevel="3">
      <c r="A39" s="508" t="s">
        <v>149</v>
      </c>
      <c r="B39" s="8" t="str">
        <f>IF(A39&lt;&gt;0,VLOOKUP(A39,合同台帐!$A$4:$D$195,4,1),"")</f>
        <v>三期桩基测绘费</v>
      </c>
      <c r="C39" s="9"/>
      <c r="D39" s="10"/>
      <c r="E39" s="486"/>
      <c r="F39" s="487">
        <f>IF(A39&lt;&gt;0,IF(VLOOKUP(A39,合同台帐!$A$4:$G$195,7,1),IF($H$2="元",VLOOKUP(A39,合同台帐!$A$4:$G$195,7,1),VLOOKUP(A39,合同台帐!$A$4:$G$195,7,1)),IF($H$2="元",VLOOKUP(A39,合同台帐!$A$4:$F$195,6,1),VLOOKUP(A39,合同台帐!$A$4:$F$195,6,1))),0)</f>
        <v>5600</v>
      </c>
      <c r="G39" s="488">
        <f t="shared" si="13"/>
        <v>4.8125172197881767E-2</v>
      </c>
      <c r="H39" s="486">
        <f ca="1">IF(A39&lt;&gt;0,IF($H$2="元",VLOOKUP(A39,合同台帐!$A$4:$K$1093,11,1),VLOOKUP(A39,合同台帐!$A$4:$K$1093,11,1)),0)</f>
        <v>0</v>
      </c>
      <c r="I39" s="503"/>
      <c r="J39" s="489"/>
      <c r="K39" s="504"/>
    </row>
    <row r="40" spans="1:11" s="484" customFormat="1" ht="12.75" outlineLevel="3">
      <c r="A40" s="509"/>
      <c r="B40" s="8"/>
      <c r="C40" s="9"/>
      <c r="D40" s="10"/>
      <c r="E40" s="510"/>
      <c r="F40" s="487"/>
      <c r="G40" s="503"/>
      <c r="H40" s="510"/>
      <c r="I40" s="503"/>
      <c r="J40" s="489"/>
      <c r="K40" s="504"/>
    </row>
    <row r="41" spans="1:11" s="484" customFormat="1" ht="12.75" outlineLevel="2">
      <c r="A41" s="18"/>
      <c r="B41" s="19" t="s">
        <v>622</v>
      </c>
      <c r="C41" s="20"/>
      <c r="D41" s="13">
        <f>E41/K$2*10000</f>
        <v>8.627296494545271E-2</v>
      </c>
      <c r="E41" s="492">
        <v>1.0039</v>
      </c>
      <c r="F41" s="493">
        <f>SUM(F42:F44)</f>
        <v>10000</v>
      </c>
      <c r="G41" s="493">
        <f t="shared" ref="G41:H41" si="14">SUM(G42:G44)</f>
        <v>8.5937807496217447E-2</v>
      </c>
      <c r="H41" s="493">
        <f t="shared" ca="1" si="14"/>
        <v>10000</v>
      </c>
      <c r="I41" s="503"/>
      <c r="J41" s="495"/>
      <c r="K41" s="479"/>
    </row>
    <row r="42" spans="1:11" s="491" customFormat="1" ht="13.5" customHeight="1" outlineLevel="2">
      <c r="A42" s="498" t="s">
        <v>18</v>
      </c>
      <c r="B42" s="8" t="str">
        <f>IF(A42&lt;&gt;0,VLOOKUP(A42,合同台帐!$A$4:$D$893,4,1),"")</f>
        <v>国有土地使用权登记费</v>
      </c>
      <c r="C42" s="9"/>
      <c r="D42" s="10"/>
      <c r="E42" s="486"/>
      <c r="F42" s="487">
        <f>IF(A42&lt;&gt;0,VLOOKUP(A42,合同台帐!$A$4:$J$893,6,1),"")</f>
        <v>10000</v>
      </c>
      <c r="G42" s="488">
        <f>F42/K2</f>
        <v>8.5937807496217447E-2</v>
      </c>
      <c r="H42" s="486">
        <f ca="1">IF(A42&lt;&gt;0,IF($H$2="元",VLOOKUP(A42,合同台帐!$A$4:$K$1093,11,1),VLOOKUP(A42,合同台帐!$A$4:$K$1093,11,1)),0)</f>
        <v>10000</v>
      </c>
      <c r="I42" s="487"/>
      <c r="J42" s="489"/>
      <c r="K42" s="490"/>
    </row>
    <row r="43" spans="1:11" s="491" customFormat="1" ht="12.75" outlineLevel="3">
      <c r="A43" s="511"/>
      <c r="B43" s="8" t="str">
        <f>IF(A43&lt;&gt;0,VLOOKUP(A43,合同台帐!$A$4:$D$195,4,1),"")</f>
        <v/>
      </c>
      <c r="C43" s="9"/>
      <c r="D43" s="10"/>
      <c r="E43" s="486"/>
      <c r="F43" s="487">
        <f>IF(A43&lt;&gt;0,IF(VLOOKUP(A43,合同台帐!$A$4:$G$195,7,1),IF($H$2="元",VLOOKUP(A43,合同台帐!$A$4:$G$195,7,1),VLOOKUP(A43,合同台帐!$A$4:$G$195,7,1)),IF($H$2="元",VLOOKUP(A43,合同台帐!$A$4:$F$195,6,1),VLOOKUP(A43,合同台帐!$A$4:$F$195,6,1))),0)</f>
        <v>0</v>
      </c>
      <c r="G43" s="488">
        <f>F43/K$2</f>
        <v>0</v>
      </c>
      <c r="H43" s="486">
        <f>IF(A43&lt;&gt;0,IF($H$2="元",VLOOKUP(A43,合同台帐!$A$4:$K$1093,11,1),VLOOKUP(A43,合同台帐!$A$4:$K$1093,11,1)),0)</f>
        <v>0</v>
      </c>
      <c r="I43" s="503"/>
      <c r="J43" s="489"/>
      <c r="K43" s="504"/>
    </row>
    <row r="44" spans="1:11" s="491" customFormat="1" ht="12" customHeight="1" outlineLevel="3">
      <c r="A44" s="509"/>
      <c r="B44" s="8" t="str">
        <f>IF(A44&lt;&gt;0,VLOOKUP(A44,合同台帐!$A$4:$D$195,4,1),"")</f>
        <v/>
      </c>
      <c r="C44" s="9"/>
      <c r="D44" s="10"/>
      <c r="E44" s="486"/>
      <c r="F44" s="487">
        <f>IF(A44&lt;&gt;0,IF(VLOOKUP(A44,合同台帐!$A$4:$G$195,7,1),IF($H$2="元",VLOOKUP(A44,合同台帐!$A$4:$G$195,7,1),VLOOKUP(A44,合同台帐!$A$4:$G$195,7,1)),IF($H$2="元",VLOOKUP(A44,合同台帐!$A$4:$F$195,6,1),VLOOKUP(A44,合同台帐!$A$4:$F$195,6,1))),0)</f>
        <v>0</v>
      </c>
      <c r="G44" s="488">
        <f t="shared" ref="G44" si="15">F44/K$2</f>
        <v>0</v>
      </c>
      <c r="H44" s="486">
        <f>IF(A44&lt;&gt;0,IF($H$2="元",VLOOKUP(A44,合同台帐!$A$4:$K$1093,11,1),VLOOKUP(A44,合同台帐!$A$4:$K$1093,11,1)),0)</f>
        <v>0</v>
      </c>
      <c r="I44" s="503"/>
      <c r="J44" s="489"/>
      <c r="K44" s="504"/>
    </row>
    <row r="45" spans="1:11" ht="12.75" outlineLevel="1">
      <c r="A45" s="5"/>
      <c r="B45" s="6" t="s">
        <v>623</v>
      </c>
      <c r="C45" s="7" t="s">
        <v>624</v>
      </c>
      <c r="D45" s="497">
        <f>D46+D49+D52+D55+D59+D64+D70</f>
        <v>107.75828479136278</v>
      </c>
      <c r="E45" s="497">
        <f t="shared" ref="E45:H45" si="16">E46+E49+E52+E55+E59+E64+E70</f>
        <v>1253.9101000000001</v>
      </c>
      <c r="F45" s="497">
        <f t="shared" si="16"/>
        <v>12828059</v>
      </c>
      <c r="G45" s="497">
        <f t="shared" si="16"/>
        <v>110.24152648921196</v>
      </c>
      <c r="H45" s="497">
        <f t="shared" ca="1" si="16"/>
        <v>9749906.75</v>
      </c>
      <c r="I45" s="482">
        <f>F45-E45*10000</f>
        <v>288958</v>
      </c>
      <c r="J45" s="483">
        <f>G45-D45</f>
        <v>2.4832416978491807</v>
      </c>
      <c r="K45" s="479"/>
    </row>
    <row r="46" spans="1:11" ht="24" outlineLevel="2">
      <c r="A46" s="18"/>
      <c r="B46" s="19" t="s">
        <v>625</v>
      </c>
      <c r="C46" s="20"/>
      <c r="D46" s="13">
        <f>E46/K$2*10000</f>
        <v>65.748868070168569</v>
      </c>
      <c r="E46" s="492">
        <v>765.07500000000005</v>
      </c>
      <c r="F46" s="493">
        <f>SUM(F47:F48)</f>
        <v>7800000</v>
      </c>
      <c r="G46" s="493">
        <f t="shared" ref="G46:H46" si="17">SUM(G47:G48)</f>
        <v>67.031489847049613</v>
      </c>
      <c r="H46" s="493">
        <f t="shared" ca="1" si="17"/>
        <v>6327629</v>
      </c>
      <c r="I46" s="503"/>
      <c r="J46" s="495"/>
      <c r="K46" s="479"/>
    </row>
    <row r="47" spans="1:11" s="491" customFormat="1" ht="12.75" outlineLevel="3">
      <c r="A47" s="485" t="s">
        <v>15</v>
      </c>
      <c r="B47" s="8" t="str">
        <f>IF(A47&lt;&gt;0,VLOOKUP(A47,合同台帐!$A$4:$D$195,4,1),"")</f>
        <v>建筑方案及施工图设计合同</v>
      </c>
      <c r="C47" s="9"/>
      <c r="D47" s="10"/>
      <c r="E47" s="486"/>
      <c r="F47" s="487">
        <f>IF(A47&lt;&gt;0,IF(VLOOKUP(A47,合同台帐!$A$4:$G$195,7,1),IF($H$2="元",VLOOKUP(A47,合同台帐!$A$4:$G$195,7,1),VLOOKUP(A47,合同台帐!$A$4:$G$195,7,1)),IF($H$2="元",VLOOKUP(A47,合同台帐!$A$4:$F$195,6,1),VLOOKUP(A47,合同台帐!$A$4:$F$195,6,1))),0)</f>
        <v>7800000</v>
      </c>
      <c r="G47" s="488">
        <f>F47/K$2</f>
        <v>67.031489847049613</v>
      </c>
      <c r="H47" s="486">
        <f ca="1">IF(A47&lt;&gt;0,IF($H$2="元",VLOOKUP(A47,合同台帐!$A$4:$K$1093,11,1),VLOOKUP(A47,合同台帐!$A$4:$K$1093,11,1)),0)</f>
        <v>6327629</v>
      </c>
      <c r="I47" s="503"/>
      <c r="J47" s="489"/>
      <c r="K47" s="504"/>
    </row>
    <row r="48" spans="1:11" s="491" customFormat="1" ht="12.75" outlineLevel="3">
      <c r="A48" s="485" t="s">
        <v>134</v>
      </c>
      <c r="B48" s="8" t="str">
        <f>IF(A48&lt;&gt;0,VLOOKUP(A48,合同台帐!$A$4:$D$195,4,1),"")</f>
        <v>施工图优化技术服务合同</v>
      </c>
      <c r="C48" s="9"/>
      <c r="D48" s="10"/>
      <c r="E48" s="486"/>
      <c r="F48" s="487">
        <f>IF(A48&lt;&gt;0,IF(VLOOKUP(A48,合同台帐!$A$4:$G$195,7,1),IF($H$2="元",VLOOKUP(A48,合同台帐!$A$4:$G$195,7,1),VLOOKUP(A48,合同台帐!$A$4:$G$195,7,1)),IF($H$2="元",VLOOKUP(A48,合同台帐!$A$4:$F$195,6,1),VLOOKUP(A48,合同台帐!$A$4:$F$195,6,1))),0)</f>
        <v>0</v>
      </c>
      <c r="G48" s="488">
        <f>F48/K$2</f>
        <v>0</v>
      </c>
      <c r="H48" s="486">
        <f ca="1">IF(A48&lt;&gt;0,IF($H$2="元",VLOOKUP(A48,合同台帐!$A$4:$K$1093,11,1),VLOOKUP(A48,合同台帐!$A$4:$K$1093,11,1)),0)</f>
        <v>0</v>
      </c>
      <c r="I48" s="503"/>
      <c r="J48" s="489"/>
      <c r="K48" s="504"/>
    </row>
    <row r="49" spans="1:11" ht="12.75" outlineLevel="2">
      <c r="A49" s="18"/>
      <c r="B49" s="19" t="s">
        <v>626</v>
      </c>
      <c r="C49" s="20"/>
      <c r="D49" s="13">
        <f>E49/K$2*10000</f>
        <v>6.0527372824505887</v>
      </c>
      <c r="E49" s="492">
        <v>70.431600000000003</v>
      </c>
      <c r="F49" s="493">
        <f>SUM(F50:F51)</f>
        <v>737340</v>
      </c>
      <c r="G49" s="493">
        <f t="shared" ref="G49:J49" si="18">SUM(G50:G51)</f>
        <v>6.3365382979260971</v>
      </c>
      <c r="H49" s="493">
        <f t="shared" ca="1" si="18"/>
        <v>737340</v>
      </c>
      <c r="I49" s="493">
        <f t="shared" si="18"/>
        <v>0</v>
      </c>
      <c r="J49" s="493">
        <f t="shared" si="18"/>
        <v>0</v>
      </c>
      <c r="K49" s="479"/>
    </row>
    <row r="50" spans="1:11" s="491" customFormat="1" ht="12.75" outlineLevel="3">
      <c r="A50" s="485" t="s">
        <v>72</v>
      </c>
      <c r="B50" s="8" t="str">
        <f>IF(A50&lt;&gt;0,VLOOKUP(A50,合同台帐!$A$4:$D$195,4,1),"")</f>
        <v>售楼处样板间精装设计合同</v>
      </c>
      <c r="C50" s="9"/>
      <c r="D50" s="10"/>
      <c r="E50" s="486"/>
      <c r="F50" s="487">
        <f>IF(A50&lt;&gt;0,IF(VLOOKUP(A50,合同台帐!$A$4:$G$195,7,1),IF($H$2="元",VLOOKUP(A50,合同台帐!$A$4:$G$195,7,1),VLOOKUP(A50,合同台帐!$A$4:$G$195,7,1)),IF($H$2="元",VLOOKUP(A50,合同台帐!$A$4:$F$195,6,1),VLOOKUP(A50,合同台帐!$A$4:$F$195,6,1))),0)</f>
        <v>737340</v>
      </c>
      <c r="G50" s="488">
        <f>F50/K$2</f>
        <v>6.3365382979260971</v>
      </c>
      <c r="H50" s="486">
        <f ca="1">IF(A50&lt;&gt;0,IF($H$2="元",VLOOKUP(A50,合同台帐!$A$4:$K$1093,11,1),VLOOKUP(A50,合同台帐!$A$4:$K$1093,11,1)),0)</f>
        <v>737340</v>
      </c>
      <c r="I50" s="503"/>
      <c r="J50" s="489"/>
      <c r="K50" s="504"/>
    </row>
    <row r="51" spans="1:11" s="484" customFormat="1" ht="12.75" outlineLevel="3">
      <c r="A51" s="405"/>
      <c r="B51" s="11"/>
      <c r="C51" s="12"/>
      <c r="D51" s="13"/>
      <c r="E51" s="492"/>
      <c r="F51" s="493"/>
      <c r="G51" s="512"/>
      <c r="H51" s="486">
        <f>IF(A51&lt;&gt;0,IF($H$2="元",VLOOKUP(A51,合同台帐!$A$4:$K$1093,11,1),VLOOKUP(A51,合同台帐!$A$4:$K$1093,11,1)),0)</f>
        <v>0</v>
      </c>
      <c r="I51" s="500"/>
      <c r="J51" s="495"/>
      <c r="K51" s="479"/>
    </row>
    <row r="52" spans="1:11" s="484" customFormat="1" ht="12.75" outlineLevel="2">
      <c r="A52" s="18"/>
      <c r="B52" s="19" t="s">
        <v>627</v>
      </c>
      <c r="C52" s="20"/>
      <c r="D52" s="13">
        <f>E52/K$2*10000</f>
        <v>23.062055175166176</v>
      </c>
      <c r="E52" s="492">
        <v>268.35750000000002</v>
      </c>
      <c r="F52" s="493">
        <f t="shared" ref="F52:H52" si="19">SUM(F53:F54)</f>
        <v>2683575</v>
      </c>
      <c r="G52" s="493">
        <f t="shared" si="19"/>
        <v>23.062055175166172</v>
      </c>
      <c r="H52" s="493">
        <f t="shared" ca="1" si="19"/>
        <v>1744323.75</v>
      </c>
      <c r="I52" s="503"/>
      <c r="J52" s="495"/>
      <c r="K52" s="479"/>
    </row>
    <row r="53" spans="1:11" s="491" customFormat="1" ht="12.75" outlineLevel="3">
      <c r="A53" s="485" t="s">
        <v>35</v>
      </c>
      <c r="B53" s="8" t="str">
        <f>IF(A53&lt;&gt;0,VLOOKUP(A53,合同台帐!$A$4:$D$195,4,1),"")</f>
        <v>景观设计合同</v>
      </c>
      <c r="C53" s="9"/>
      <c r="D53" s="10"/>
      <c r="E53" s="486"/>
      <c r="F53" s="487">
        <f>IF(A53&lt;&gt;0,IF(VLOOKUP(A53,合同台帐!$A$4:$G$195,7,1),IF($H$2="元",VLOOKUP(A53,合同台帐!$A$4:$G$195,7,1),VLOOKUP(A53,合同台帐!$A$4:$G$195,7,1)),IF($H$2="元",VLOOKUP(A53,合同台帐!$A$4:$F$195,6,1),VLOOKUP(A53,合同台帐!$A$4:$F$195,6,1))),0)</f>
        <v>2683575</v>
      </c>
      <c r="G53" s="488">
        <f>F53/K$2</f>
        <v>23.062055175166172</v>
      </c>
      <c r="H53" s="486">
        <f ca="1">IF(A53&lt;&gt;0,IF($H$2="元",VLOOKUP(A53,合同台帐!$A$4:$K$1093,11,1),VLOOKUP(A53,合同台帐!$A$4:$K$1093,11,1)),0)</f>
        <v>1744323.75</v>
      </c>
      <c r="I53" s="503"/>
      <c r="J53" s="489"/>
      <c r="K53" s="504"/>
    </row>
    <row r="54" spans="1:11" ht="12.75" outlineLevel="3">
      <c r="A54" s="18"/>
      <c r="B54" s="19"/>
      <c r="C54" s="20"/>
      <c r="D54" s="13"/>
      <c r="E54" s="492"/>
      <c r="F54" s="493"/>
      <c r="G54" s="494"/>
      <c r="H54" s="486">
        <f>IF(A54&lt;&gt;0,IF($H$2="元",VLOOKUP(A54,合同台帐!$A$4:$K$1093,11,1),VLOOKUP(A54,合同台帐!$A$4:$K$1093,11,1)),0)</f>
        <v>0</v>
      </c>
      <c r="I54" s="500"/>
      <c r="J54" s="495"/>
      <c r="K54" s="479"/>
    </row>
    <row r="55" spans="1:11" ht="12.75" outlineLevel="2">
      <c r="A55" s="18"/>
      <c r="B55" s="19" t="s">
        <v>628</v>
      </c>
      <c r="C55" s="20"/>
      <c r="D55" s="13">
        <f>E55/K$2*10000</f>
        <v>4.2932981744575303</v>
      </c>
      <c r="E55" s="492">
        <v>49.958199999999998</v>
      </c>
      <c r="F55" s="493">
        <f t="shared" ref="F55:H55" si="20">SUM(F56:F58)</f>
        <v>497800</v>
      </c>
      <c r="G55" s="493">
        <f t="shared" si="20"/>
        <v>4.2779840571617047</v>
      </c>
      <c r="H55" s="493">
        <f t="shared" ca="1" si="20"/>
        <v>257300</v>
      </c>
      <c r="I55" s="503"/>
      <c r="J55" s="495"/>
      <c r="K55" s="479"/>
    </row>
    <row r="56" spans="1:11" s="491" customFormat="1" ht="12.75" outlineLevel="3">
      <c r="A56" s="485" t="s">
        <v>73</v>
      </c>
      <c r="B56" s="8" t="str">
        <f>IF(A56&lt;&gt;0,VLOOKUP(A56,合同台帐!$A$4:$D$195,4,1),"")</f>
        <v>蓟县项目综合管网设计合同（方案）</v>
      </c>
      <c r="C56" s="9"/>
      <c r="D56" s="10"/>
      <c r="E56" s="486"/>
      <c r="F56" s="487">
        <f>IF(A56&lt;&gt;0,IF(VLOOKUP(A56,合同台帐!$A$4:$G$195,7,1),IF($H$2="元",VLOOKUP(A56,合同台帐!$A$4:$G$195,7,1),VLOOKUP(A56,合同台帐!$A$4:$G$195,7,1)),IF($H$2="元",VLOOKUP(A56,合同台帐!$A$4:$F$195,6,1),VLOOKUP(A56,合同台帐!$A$4:$F$195,6,1))),0)</f>
        <v>150000</v>
      </c>
      <c r="G56" s="488">
        <f>F56/K$2</f>
        <v>1.2890671124432618</v>
      </c>
      <c r="H56" s="486">
        <f ca="1">IF(A56&lt;&gt;0,IF($H$2="元",VLOOKUP(A56,合同台帐!$A$4:$K$1093,11,1),VLOOKUP(A56,合同台帐!$A$4:$K$1093,11,1)),0)</f>
        <v>120000</v>
      </c>
      <c r="I56" s="503"/>
      <c r="J56" s="489"/>
      <c r="K56" s="504"/>
    </row>
    <row r="57" spans="1:11" s="491" customFormat="1" ht="24" outlineLevel="3">
      <c r="A57" s="485" t="s">
        <v>84</v>
      </c>
      <c r="B57" s="8" t="str">
        <f>IF(A57&lt;&gt;0,VLOOKUP(A57,合同台帐!$A$4:$D$195,4,1),"")</f>
        <v>综合管网（给水、中水、雨水、污水配套工程设计）（施工图）</v>
      </c>
      <c r="C57" s="9"/>
      <c r="D57" s="10"/>
      <c r="E57" s="486"/>
      <c r="F57" s="487">
        <f>IF(A57&lt;&gt;0,IF(VLOOKUP(A57,合同台帐!$A$4:$G$195,7,1),IF($H$2="元",VLOOKUP(A57,合同台帐!$A$4:$G$195,7,1),VLOOKUP(A57,合同台帐!$A$4:$G$195,7,1)),IF($H$2="元",VLOOKUP(A57,合同台帐!$A$4:$F$195,6,1),VLOOKUP(A57,合同台帐!$A$4:$F$195,6,1))),0)</f>
        <v>347800</v>
      </c>
      <c r="G57" s="488">
        <f>F57/K$2</f>
        <v>2.9889169447184427</v>
      </c>
      <c r="H57" s="486">
        <f ca="1">IF(A57&lt;&gt;0,IF($H$2="元",VLOOKUP(A57,合同台帐!$A$4:$K$1093,11,1),VLOOKUP(A57,合同台帐!$A$4:$K$1093,11,1)),0)</f>
        <v>137300</v>
      </c>
      <c r="I57" s="503"/>
      <c r="J57" s="489"/>
      <c r="K57" s="504"/>
    </row>
    <row r="58" spans="1:11" ht="12.75" outlineLevel="3">
      <c r="A58" s="18"/>
      <c r="B58" s="19"/>
      <c r="C58" s="20"/>
      <c r="D58" s="13"/>
      <c r="E58" s="492"/>
      <c r="F58" s="493"/>
      <c r="G58" s="494"/>
      <c r="H58" s="486">
        <f>IF(A58&lt;&gt;0,IF($H$2="元",VLOOKUP(A58,合同台帐!$A$4:$K$1093,11,1),VLOOKUP(A58,合同台帐!$A$4:$K$1093,11,1)),0)</f>
        <v>0</v>
      </c>
      <c r="I58" s="500"/>
      <c r="J58" s="495"/>
      <c r="K58" s="479"/>
    </row>
    <row r="59" spans="1:11" ht="32.25" customHeight="1" outlineLevel="2">
      <c r="A59" s="18"/>
      <c r="B59" s="19" t="s">
        <v>629</v>
      </c>
      <c r="C59" s="20"/>
      <c r="D59" s="13">
        <f>E59/K$2*10000</f>
        <v>6.6478909744848931</v>
      </c>
      <c r="E59" s="492">
        <v>77.356999999999999</v>
      </c>
      <c r="F59" s="493">
        <f>SUM(F60:F63)</f>
        <v>899680</v>
      </c>
      <c r="G59" s="493">
        <f t="shared" ref="G59:H59" si="21">SUM(G60:G63)</f>
        <v>7.7316526648196913</v>
      </c>
      <c r="H59" s="493">
        <f t="shared" ca="1" si="21"/>
        <v>473650</v>
      </c>
      <c r="I59" s="503"/>
      <c r="J59" s="495"/>
      <c r="K59" s="479"/>
    </row>
    <row r="60" spans="1:11" s="491" customFormat="1" ht="12.75" outlineLevel="3">
      <c r="A60" s="485" t="s">
        <v>36</v>
      </c>
      <c r="B60" s="8" t="str">
        <f>IF(A60&lt;&gt;0,VLOOKUP(A60,合同台帐!$A$4:$D$195,4,1),"")</f>
        <v>地库及人防设计合同</v>
      </c>
      <c r="C60" s="9"/>
      <c r="D60" s="10"/>
      <c r="E60" s="486"/>
      <c r="F60" s="487">
        <f>IF(A60&lt;&gt;0,IF(VLOOKUP(A60,合同台帐!$A$4:$G$195,7,1),IF($H$2="元",VLOOKUP(A60,合同台帐!$A$4:$G$195,7,1),VLOOKUP(A60,合同台帐!$A$4:$G$195,7,1)),IF($H$2="元",VLOOKUP(A60,合同台帐!$A$4:$F$195,6,1),VLOOKUP(A60,合同台帐!$A$4:$F$195,6,1))),0)</f>
        <v>449680</v>
      </c>
      <c r="G60" s="488">
        <f>F60/K$2</f>
        <v>3.8644513274899062</v>
      </c>
      <c r="H60" s="486">
        <f ca="1">IF(A60&lt;&gt;0,IF($H$2="元",VLOOKUP(A60,合同台帐!$A$4:$K$1093,11,1),VLOOKUP(A60,合同台帐!$A$4:$K$1093,11,1)),0)</f>
        <v>338650</v>
      </c>
      <c r="I60" s="503"/>
      <c r="J60" s="489"/>
      <c r="K60" s="504"/>
    </row>
    <row r="61" spans="1:11" s="491" customFormat="1" ht="12.75" outlineLevel="3">
      <c r="A61" s="485" t="s">
        <v>81</v>
      </c>
      <c r="B61" s="8" t="str">
        <f>IF(A61&lt;&gt;0,VLOOKUP(A61,合同台帐!$A$4:$D$195,4,1),"")</f>
        <v>区内外挡土墙及边坡支护设计合同</v>
      </c>
      <c r="C61" s="9"/>
      <c r="D61" s="10"/>
      <c r="E61" s="486"/>
      <c r="F61" s="487">
        <f>IF(A61&lt;&gt;0,IF(VLOOKUP(A61,合同台帐!$A$4:$G$195,7,1),IF($H$2="元",VLOOKUP(A61,合同台帐!$A$4:$G$195,7,1),VLOOKUP(A61,合同台帐!$A$4:$G$195,7,1)),IF($H$2="元",VLOOKUP(A61,合同台帐!$A$4:$F$195,6,1),VLOOKUP(A61,合同台帐!$A$4:$F$195,6,1))),0)</f>
        <v>450000</v>
      </c>
      <c r="G61" s="488">
        <f>F61/K$2</f>
        <v>3.8672013373297851</v>
      </c>
      <c r="H61" s="486">
        <f ca="1">IF(A61&lt;&gt;0,IF($H$2="元",VLOOKUP(A61,合同台帐!$A$4:$K$1093,11,1),VLOOKUP(A61,合同台帐!$A$4:$K$1093,11,1)),0)</f>
        <v>135000</v>
      </c>
      <c r="I61" s="503"/>
      <c r="J61" s="489"/>
      <c r="K61" s="504"/>
    </row>
    <row r="62" spans="1:11" s="491" customFormat="1" ht="12.75" outlineLevel="3">
      <c r="A62" s="485" t="s">
        <v>128</v>
      </c>
      <c r="B62" s="8" t="str">
        <f>IF(A62&lt;&gt;0,VLOOKUP(A62,合同台帐!$A$4:$D$195,4,1),"")</f>
        <v>智能化设计合同</v>
      </c>
      <c r="C62" s="9"/>
      <c r="D62" s="10"/>
      <c r="E62" s="486"/>
      <c r="F62" s="487">
        <f>IF(A62&lt;&gt;0,IF(VLOOKUP(A62,合同台帐!$A$4:$G$195,7,1),IF($H$2="元",VLOOKUP(A62,合同台帐!$A$4:$G$195,7,1),VLOOKUP(A62,合同台帐!$A$4:$G$195,7,1)),IF($H$2="元",VLOOKUP(A62,合同台帐!$A$4:$F$195,6,1),VLOOKUP(A62,合同台帐!$A$4:$F$195,6,1))),0)</f>
        <v>0</v>
      </c>
      <c r="G62" s="488">
        <f>F62/K$2</f>
        <v>0</v>
      </c>
      <c r="H62" s="486">
        <f ca="1">IF(A62&lt;&gt;0,IF($H$2="元",VLOOKUP(A62,合同台帐!$A$4:$K$1093,11,1),VLOOKUP(A62,合同台帐!$A$4:$K$1093,11,1)),0)</f>
        <v>0</v>
      </c>
      <c r="I62" s="503"/>
      <c r="J62" s="489"/>
      <c r="K62" s="504"/>
    </row>
    <row r="63" spans="1:11" ht="12.75" outlineLevel="3">
      <c r="A63" s="405"/>
      <c r="B63" s="11"/>
      <c r="C63" s="12"/>
      <c r="D63" s="13"/>
      <c r="E63" s="492"/>
      <c r="F63" s="493"/>
      <c r="G63" s="494"/>
      <c r="H63" s="486">
        <f>IF(A63&lt;&gt;0,IF($H$2="元",VLOOKUP(A63,合同台帐!$A$4:$K$1093,11,1),VLOOKUP(A63,合同台帐!$A$4:$K$1093,11,1)),0)</f>
        <v>0</v>
      </c>
      <c r="I63" s="503"/>
      <c r="J63" s="495"/>
      <c r="K63" s="479"/>
    </row>
    <row r="64" spans="1:11" ht="12.75" outlineLevel="2">
      <c r="A64" s="18"/>
      <c r="B64" s="19" t="s">
        <v>630</v>
      </c>
      <c r="C64" s="20"/>
      <c r="D64" s="13">
        <f>E64/K$2*10000</f>
        <v>1.9534351146350195</v>
      </c>
      <c r="E64" s="492">
        <v>22.730799999999999</v>
      </c>
      <c r="F64" s="493">
        <f>SUM(F65:F69)</f>
        <v>203589</v>
      </c>
      <c r="G64" s="493">
        <f t="shared" ref="G64:J64" si="22">SUM(G65:G69)</f>
        <v>1.7495992290347413</v>
      </c>
      <c r="H64" s="493">
        <f t="shared" ca="1" si="22"/>
        <v>203589</v>
      </c>
      <c r="I64" s="493">
        <f t="shared" si="22"/>
        <v>0</v>
      </c>
      <c r="J64" s="493">
        <f t="shared" si="22"/>
        <v>0</v>
      </c>
      <c r="K64" s="479"/>
    </row>
    <row r="65" spans="1:11" s="491" customFormat="1" ht="12.75" outlineLevel="3">
      <c r="A65" s="507" t="s">
        <v>54</v>
      </c>
      <c r="B65" s="8" t="str">
        <f>IF(A65&lt;&gt;0,VLOOKUP(A65,合同台帐!$A$4:$D$195,4,1),"")</f>
        <v>博御园施工图审查（一期）</v>
      </c>
      <c r="C65" s="9"/>
      <c r="D65" s="10"/>
      <c r="E65" s="486"/>
      <c r="F65" s="487">
        <f>IF(A65&lt;&gt;0,IF(VLOOKUP(A65,合同台帐!$A$4:$G$195,7,1),IF($H$2="元",VLOOKUP(A65,合同台帐!$A$4:$G$195,7,1),VLOOKUP(A65,合同台帐!$A$4:$G$195,7,1)),IF($H$2="元",VLOOKUP(A65,合同台帐!$A$4:$F$195,6,1),VLOOKUP(A65,合同台帐!$A$4:$F$195,6,1))),0)</f>
        <v>65619</v>
      </c>
      <c r="G65" s="488">
        <f t="shared" ref="G65:G69" si="23">F65/K$2</f>
        <v>0.56391529900942927</v>
      </c>
      <c r="H65" s="486">
        <f ca="1">IF(A65&lt;&gt;0,IF($H$2="元",VLOOKUP(A65,合同台帐!$A$4:$K$1093,11,1),VLOOKUP(A65,合同台帐!$A$4:$K$1093,11,1)),0)</f>
        <v>65619</v>
      </c>
      <c r="I65" s="503"/>
      <c r="J65" s="489"/>
      <c r="K65" s="504"/>
    </row>
    <row r="66" spans="1:11" s="491" customFormat="1" ht="12.75" outlineLevel="3">
      <c r="A66" s="507" t="s">
        <v>85</v>
      </c>
      <c r="B66" s="8" t="str">
        <f>IF(A66&lt;&gt;0,VLOOKUP(A66,合同台帐!$A$4:$D$195,4,1),"")</f>
        <v>一期施工图审查变更补充协议</v>
      </c>
      <c r="C66" s="9"/>
      <c r="D66" s="10"/>
      <c r="E66" s="486"/>
      <c r="F66" s="487">
        <f>IF(A66&lt;&gt;0,IF(VLOOKUP(A66,合同台帐!$A$4:$G$195,7,1),IF($H$2="元",VLOOKUP(A66,合同台帐!$A$4:$G$195,7,1),VLOOKUP(A66,合同台帐!$A$4:$G$195,7,1)),IF($H$2="元",VLOOKUP(A66,合同台帐!$A$4:$F$195,6,1),VLOOKUP(A66,合同台帐!$A$4:$F$195,6,1))),0)</f>
        <v>9381</v>
      </c>
      <c r="G66" s="488">
        <f t="shared" si="23"/>
        <v>8.0618257212201588E-2</v>
      </c>
      <c r="H66" s="486">
        <f ca="1">IF(A66&lt;&gt;0,IF($H$2="元",VLOOKUP(A66,合同台帐!$A$4:$K$1093,11,1),VLOOKUP(A66,合同台帐!$A$4:$K$1093,11,1)),0)</f>
        <v>9381</v>
      </c>
      <c r="I66" s="503"/>
      <c r="J66" s="489"/>
      <c r="K66" s="504"/>
    </row>
    <row r="67" spans="1:11" s="491" customFormat="1" ht="12.75" outlineLevel="3">
      <c r="A67" s="507" t="s">
        <v>97</v>
      </c>
      <c r="B67" s="8" t="str">
        <f>IF(A67&lt;&gt;0,VLOOKUP(A67,合同台帐!$A$4:$D$195,4,1),"")</f>
        <v>一期施工图审查（中部地下室变更）</v>
      </c>
      <c r="C67" s="9"/>
      <c r="D67" s="10"/>
      <c r="E67" s="486"/>
      <c r="F67" s="487">
        <f>IF(A67&lt;&gt;0,IF(VLOOKUP(A67,合同台帐!$A$4:$G$195,7,1),IF($H$2="元",VLOOKUP(A67,合同台帐!$A$4:$G$195,7,1),VLOOKUP(A67,合同台帐!$A$4:$G$195,7,1)),IF($H$2="元",VLOOKUP(A67,合同台帐!$A$4:$F$195,6,1),VLOOKUP(A67,合同台帐!$A$4:$F$195,6,1))),0)</f>
        <v>2100</v>
      </c>
      <c r="G67" s="488">
        <f t="shared" si="23"/>
        <v>1.8046939574205664E-2</v>
      </c>
      <c r="H67" s="486">
        <f ca="1">IF(A67&lt;&gt;0,IF($H$2="元",VLOOKUP(A67,合同台帐!$A$4:$K$1093,11,1),VLOOKUP(A67,合同台帐!$A$4:$K$1093,11,1)),0)</f>
        <v>2100</v>
      </c>
      <c r="I67" s="503"/>
      <c r="J67" s="489"/>
      <c r="K67" s="504"/>
    </row>
    <row r="68" spans="1:11" s="491" customFormat="1" ht="12.75" outlineLevel="3">
      <c r="A68" s="507" t="s">
        <v>107</v>
      </c>
      <c r="B68" s="8" t="str">
        <f>IF(A68&lt;&gt;0,VLOOKUP(A68,合同台帐!$A$4:$D$195,4,1),"")</f>
        <v>一期施工图审查（1.2.3.23#变更）</v>
      </c>
      <c r="C68" s="9"/>
      <c r="D68" s="10"/>
      <c r="E68" s="486"/>
      <c r="F68" s="487">
        <f>IF(A68&lt;&gt;0,IF(VLOOKUP(A68,合同台帐!$A$4:$G$195,7,1),IF($H$2="元",VLOOKUP(A68,合同台帐!$A$4:$G$195,7,1),VLOOKUP(A68,合同台帐!$A$4:$G$195,7,1)),IF($H$2="元",VLOOKUP(A68,合同台帐!$A$4:$F$195,6,1),VLOOKUP(A68,合同台帐!$A$4:$F$195,6,1))),0)</f>
        <v>2326</v>
      </c>
      <c r="G68" s="488">
        <f t="shared" si="23"/>
        <v>1.9989134023620177E-2</v>
      </c>
      <c r="H68" s="486">
        <f ca="1">IF(A68&lt;&gt;0,IF($H$2="元",VLOOKUP(A68,合同台帐!$A$4:$K$1093,11,1),VLOOKUP(A68,合同台帐!$A$4:$K$1093,11,1)),0)</f>
        <v>2326</v>
      </c>
      <c r="I68" s="503"/>
      <c r="J68" s="489"/>
      <c r="K68" s="504"/>
    </row>
    <row r="69" spans="1:11" s="491" customFormat="1" ht="12.75" outlineLevel="3">
      <c r="A69" s="507" t="s">
        <v>91</v>
      </c>
      <c r="B69" s="8" t="str">
        <f>IF(A69&lt;&gt;0,VLOOKUP(A69,合同台帐!$A$4:$D$195,4,1),"")</f>
        <v>二、三期图审合同</v>
      </c>
      <c r="C69" s="9"/>
      <c r="D69" s="10"/>
      <c r="E69" s="486"/>
      <c r="F69" s="487">
        <f>IF(A69&lt;&gt;0,IF(VLOOKUP(A69,合同台帐!$A$4:$G$195,7,1),IF($H$2="元",VLOOKUP(A69,合同台帐!$A$4:$G$195,7,1),VLOOKUP(A69,合同台帐!$A$4:$G$195,7,1)),IF($H$2="元",VLOOKUP(A69,合同台帐!$A$4:$F$195,6,1),VLOOKUP(A69,合同台帐!$A$4:$F$195,6,1))),0)</f>
        <v>124163</v>
      </c>
      <c r="G69" s="488">
        <f t="shared" si="23"/>
        <v>1.0670295992152847</v>
      </c>
      <c r="H69" s="486">
        <f ca="1">IF(A69&lt;&gt;0,IF($H$2="元",VLOOKUP(A69,合同台帐!$A$4:$K$1093,11,1),VLOOKUP(A69,合同台帐!$A$4:$K$1093,11,1)),0)</f>
        <v>124163</v>
      </c>
      <c r="I69" s="503"/>
      <c r="J69" s="489"/>
      <c r="K69" s="504"/>
    </row>
    <row r="70" spans="1:11" ht="12.75" outlineLevel="2">
      <c r="A70" s="18"/>
      <c r="B70" s="19" t="s">
        <v>631</v>
      </c>
      <c r="C70" s="20"/>
      <c r="D70" s="13">
        <f>E70/K$2*10000</f>
        <v>0</v>
      </c>
      <c r="E70" s="492">
        <v>0</v>
      </c>
      <c r="F70" s="493">
        <f>SUM(F71:F74)</f>
        <v>6075</v>
      </c>
      <c r="G70" s="493">
        <f t="shared" ref="G70:H70" si="24">SUM(G71:G74)</f>
        <v>5.2207218053952099E-2</v>
      </c>
      <c r="H70" s="493">
        <f t="shared" ca="1" si="24"/>
        <v>6075</v>
      </c>
      <c r="I70" s="493">
        <f>SUM(I72:I74)</f>
        <v>0</v>
      </c>
      <c r="J70" s="493">
        <f>SUM(J72:J74)</f>
        <v>0</v>
      </c>
      <c r="K70" s="479"/>
    </row>
    <row r="71" spans="1:11" s="491" customFormat="1" ht="12.75" outlineLevel="3">
      <c r="A71" s="507" t="s">
        <v>25</v>
      </c>
      <c r="B71" s="8" t="str">
        <f>IF(A71&lt;&gt;0,VLOOKUP(A71,合同台帐!$A$4:$D$195,4,1),"")</f>
        <v>图纸打印</v>
      </c>
      <c r="C71" s="9"/>
      <c r="D71" s="10"/>
      <c r="E71" s="486"/>
      <c r="F71" s="487">
        <f>IF(A71&lt;&gt;0,IF(VLOOKUP(A71,合同台帐!$A$4:$G$195,7,1),IF($H$2="元",VLOOKUP(A71,合同台帐!$A$4:$G$195,7,1),VLOOKUP(A71,合同台帐!$A$4:$G$195,7,1)),IF($H$2="元",VLOOKUP(A71,合同台帐!$A$4:$F$195,6,1),VLOOKUP(A71,合同台帐!$A$4:$F$195,6,1))),0)</f>
        <v>1000</v>
      </c>
      <c r="G71" s="488">
        <f>F71/K$2</f>
        <v>8.5937807496217454E-3</v>
      </c>
      <c r="H71" s="486">
        <f ca="1">IF(A71&lt;&gt;0,IF($H$2="元",VLOOKUP(A71,合同台帐!$A$4:$K$1093,11,1),VLOOKUP(A71,合同台帐!$A$4:$K$1093,11,1)),0)</f>
        <v>1000</v>
      </c>
      <c r="I71" s="503"/>
      <c r="J71" s="489"/>
      <c r="K71" s="504"/>
    </row>
    <row r="72" spans="1:11" s="491" customFormat="1" ht="12.75" outlineLevel="3">
      <c r="A72" s="507" t="s">
        <v>30</v>
      </c>
      <c r="B72" s="8" t="str">
        <f>IF(A72&lt;&gt;0,VLOOKUP(A72,合同台帐!$A$4:$D$195,4,1),"")</f>
        <v>彩色打印效果图39张</v>
      </c>
      <c r="C72" s="9"/>
      <c r="D72" s="10"/>
      <c r="E72" s="486"/>
      <c r="F72" s="487">
        <f>IF(A72&lt;&gt;0,IF(VLOOKUP(A72,合同台帐!$A$4:$G$195,7,1),IF($H$2="元",VLOOKUP(A72,合同台帐!$A$4:$G$195,7,1),VLOOKUP(A72,合同台帐!$A$4:$G$195,7,1)),IF($H$2="元",VLOOKUP(A72,合同台帐!$A$4:$F$195,6,1),VLOOKUP(A72,合同台帐!$A$4:$F$195,6,1))),0)</f>
        <v>390</v>
      </c>
      <c r="G72" s="488">
        <f>F72/K$2</f>
        <v>3.3515744923524804E-3</v>
      </c>
      <c r="H72" s="486">
        <f ca="1">IF(A72&lt;&gt;0,IF($H$2="元",VLOOKUP(A72,合同台帐!$A$4:$K$1093,11,1),VLOOKUP(A72,合同台帐!$A$4:$K$1093,11,1)),0)</f>
        <v>390</v>
      </c>
      <c r="I72" s="503"/>
      <c r="J72" s="489"/>
      <c r="K72" s="504"/>
    </row>
    <row r="73" spans="1:11" s="491" customFormat="1" ht="12.75" outlineLevel="3">
      <c r="A73" s="507" t="s">
        <v>31</v>
      </c>
      <c r="B73" s="8" t="str">
        <f>IF(A73&lt;&gt;0,VLOOKUP(A73,合同台帐!$A$4:$D$195,4,1),"")</f>
        <v>图纸打印</v>
      </c>
      <c r="C73" s="9"/>
      <c r="D73" s="10"/>
      <c r="E73" s="486"/>
      <c r="F73" s="487">
        <f>IF(A73&lt;&gt;0,IF(VLOOKUP(A73,合同台帐!$A$4:$G$195,7,1),IF($H$2="元",VLOOKUP(A73,合同台帐!$A$4:$G$195,7,1),VLOOKUP(A73,合同台帐!$A$4:$G$195,7,1)),IF($H$2="元",VLOOKUP(A73,合同台帐!$A$4:$F$195,6,1),VLOOKUP(A73,合同台帐!$A$4:$F$195,6,1))),0)</f>
        <v>1000</v>
      </c>
      <c r="G73" s="488">
        <f>F73/K$2</f>
        <v>8.5937807496217454E-3</v>
      </c>
      <c r="H73" s="486">
        <f ca="1">IF(A73&lt;&gt;0,IF($H$2="元",VLOOKUP(A73,合同台帐!$A$4:$K$1093,11,1),VLOOKUP(A73,合同台帐!$A$4:$K$1093,11,1)),0)</f>
        <v>1000</v>
      </c>
      <c r="I73" s="503"/>
      <c r="J73" s="489"/>
      <c r="K73" s="504"/>
    </row>
    <row r="74" spans="1:11" s="491" customFormat="1" ht="12.75" outlineLevel="3">
      <c r="A74" s="507" t="s">
        <v>32</v>
      </c>
      <c r="B74" s="8" t="str">
        <f>IF(A74&lt;&gt;0,VLOOKUP(A74,合同台帐!$A$4:$D$195,4,1),"")</f>
        <v>图纸打印</v>
      </c>
      <c r="C74" s="9"/>
      <c r="D74" s="10"/>
      <c r="E74" s="486"/>
      <c r="F74" s="487">
        <f>IF(A74&lt;&gt;0,IF(VLOOKUP(A74,合同台帐!$A$4:$G$195,7,1),IF($H$2="元",VLOOKUP(A74,合同台帐!$A$4:$G$195,7,1),VLOOKUP(A74,合同台帐!$A$4:$G$195,7,1)),IF($H$2="元",VLOOKUP(A74,合同台帐!$A$4:$F$195,6,1),VLOOKUP(A74,合同台帐!$A$4:$F$195,6,1))),0)</f>
        <v>3685</v>
      </c>
      <c r="G74" s="488">
        <f>F74/K$2</f>
        <v>3.1668082062356127E-2</v>
      </c>
      <c r="H74" s="486">
        <f ca="1">IF(A74&lt;&gt;0,IF($H$2="元",VLOOKUP(A74,合同台帐!$A$4:$K$1093,11,1),VLOOKUP(A74,合同台帐!$A$4:$K$1093,11,1)),0)</f>
        <v>3685</v>
      </c>
      <c r="I74" s="503"/>
      <c r="J74" s="489"/>
      <c r="K74" s="504"/>
    </row>
    <row r="75" spans="1:11" ht="18" customHeight="1" outlineLevel="1">
      <c r="A75" s="5"/>
      <c r="B75" s="6" t="s">
        <v>632</v>
      </c>
      <c r="C75" s="7" t="s">
        <v>633</v>
      </c>
      <c r="D75" s="497">
        <f t="shared" ref="D75:H75" si="25">D98+D84+D88+D76+D91+D103+D94</f>
        <v>73.632200965219084</v>
      </c>
      <c r="E75" s="497">
        <f t="shared" si="25"/>
        <v>856.80799999999999</v>
      </c>
      <c r="F75" s="497">
        <f t="shared" si="25"/>
        <v>8349707</v>
      </c>
      <c r="G75" s="497">
        <f t="shared" si="25"/>
        <v>12.458464109191892</v>
      </c>
      <c r="H75" s="497">
        <f t="shared" ca="1" si="25"/>
        <v>6099695</v>
      </c>
      <c r="I75" s="482">
        <f>F75-E75*10000</f>
        <v>-218373</v>
      </c>
      <c r="J75" s="483">
        <f>G75-D75</f>
        <v>-61.17373685602719</v>
      </c>
      <c r="K75" s="479"/>
    </row>
    <row r="76" spans="1:11" ht="24" outlineLevel="2">
      <c r="A76" s="18"/>
      <c r="B76" s="11" t="s">
        <v>634</v>
      </c>
      <c r="C76" s="12"/>
      <c r="D76" s="13">
        <f>E76/K$2*10000</f>
        <v>4.366998438166287</v>
      </c>
      <c r="E76" s="492">
        <v>50.815800000000003</v>
      </c>
      <c r="F76" s="493">
        <f>SUM(F77:F83)</f>
        <v>656177</v>
      </c>
      <c r="G76" s="493">
        <f t="shared" ref="G76:H76" si="26">SUM(G77:G83)</f>
        <v>5.6390412709445483</v>
      </c>
      <c r="H76" s="493">
        <f t="shared" ca="1" si="26"/>
        <v>506177</v>
      </c>
      <c r="I76" s="503"/>
      <c r="J76" s="495"/>
      <c r="K76" s="479"/>
    </row>
    <row r="77" spans="1:11" s="491" customFormat="1" ht="12.75" outlineLevel="3">
      <c r="A77" s="507" t="s">
        <v>37</v>
      </c>
      <c r="B77" s="8" t="str">
        <f>IF(A77&lt;&gt;0,VLOOKUP(A77,合同台帐!$A$4:$D$195,4,1),"")</f>
        <v>临时电设计费</v>
      </c>
      <c r="C77" s="9"/>
      <c r="D77" s="10"/>
      <c r="E77" s="486"/>
      <c r="F77" s="487">
        <f>IF(A77&lt;&gt;0,IF(VLOOKUP(A77,合同台帐!$A$4:$G$195,7,1),IF($H$2="元",VLOOKUP(A77,合同台帐!$A$4:$G$195,7,1),VLOOKUP(A77,合同台帐!$A$4:$G$195,7,1)),IF($H$2="元",VLOOKUP(A77,合同台帐!$A$4:$F$195,6,1),VLOOKUP(A77,合同台帐!$A$4:$F$195,6,1))),0)</f>
        <v>20285</v>
      </c>
      <c r="G77" s="488">
        <f t="shared" ref="G77:G82" si="27">F77/K$2</f>
        <v>0.17432484250607708</v>
      </c>
      <c r="H77" s="486">
        <f ca="1">IF(A77&lt;&gt;0,IF($H$2="元",VLOOKUP(A77,合同台帐!$A$4:$K$1093,11,1),VLOOKUP(A77,合同台帐!$A$4:$K$1093,11,1)),0)</f>
        <v>20285</v>
      </c>
      <c r="I77" s="503"/>
      <c r="J77" s="489"/>
      <c r="K77" s="504"/>
    </row>
    <row r="78" spans="1:11" s="491" customFormat="1" ht="12.75" outlineLevel="3">
      <c r="A78" s="507" t="s">
        <v>40</v>
      </c>
      <c r="B78" s="8" t="str">
        <f>IF(A78&lt;&gt;0,VLOOKUP(A78,合同台帐!$A$4:$D$195,4,1),"")</f>
        <v>临电工程费</v>
      </c>
      <c r="C78" s="9"/>
      <c r="D78" s="10"/>
      <c r="E78" s="486"/>
      <c r="F78" s="487">
        <f>IF(A78&lt;&gt;0,IF(VLOOKUP(A78,合同台帐!$A$4:$G$195,7,1),IF($H$2="元",VLOOKUP(A78,合同台帐!$A$4:$G$195,7,1),VLOOKUP(A78,合同台帐!$A$4:$G$195,7,1)),IF($H$2="元",VLOOKUP(A78,合同台帐!$A$4:$F$195,6,1),VLOOKUP(A78,合同台帐!$A$4:$F$195,6,1))),0)</f>
        <v>430000</v>
      </c>
      <c r="G78" s="488">
        <f t="shared" si="27"/>
        <v>3.6953257223373503</v>
      </c>
      <c r="H78" s="486">
        <f ca="1">IF(A78&lt;&gt;0,IF($H$2="元",VLOOKUP(A78,合同台帐!$A$4:$K$1093,11,1),VLOOKUP(A78,合同台帐!$A$4:$K$1093,11,1)),0)</f>
        <v>430000</v>
      </c>
      <c r="I78" s="503"/>
      <c r="J78" s="489"/>
      <c r="K78" s="504"/>
    </row>
    <row r="79" spans="1:11" s="491" customFormat="1" ht="12.75" outlineLevel="3">
      <c r="A79" s="507" t="s">
        <v>42</v>
      </c>
      <c r="B79" s="8" t="str">
        <f>IF(A79&lt;&gt;0,VLOOKUP(A79,合同台帐!$A$4:$D$195,4,1),"")</f>
        <v>负荷管理装置费、外部供电工程费</v>
      </c>
      <c r="C79" s="9"/>
      <c r="D79" s="10"/>
      <c r="E79" s="486"/>
      <c r="F79" s="487">
        <f>IF(A79&lt;&gt;0,IF(VLOOKUP(A79,合同台帐!$A$4:$G$195,7,1),IF($H$2="元",VLOOKUP(A79,合同台帐!$A$4:$G$195,7,1),VLOOKUP(A79,合同台帐!$A$4:$G$195,7,1)),IF($H$2="元",VLOOKUP(A79,合同台帐!$A$4:$F$195,6,1),VLOOKUP(A79,合同台帐!$A$4:$F$195,6,1))),0)</f>
        <v>40682</v>
      </c>
      <c r="G79" s="488">
        <f t="shared" si="27"/>
        <v>0.34961218845611181</v>
      </c>
      <c r="H79" s="486">
        <f ca="1">IF(A79&lt;&gt;0,IF($H$2="元",VLOOKUP(A79,合同台帐!$A$4:$K$1093,11,1),VLOOKUP(A79,合同台帐!$A$4:$K$1093,11,1)),0)</f>
        <v>40682</v>
      </c>
      <c r="I79" s="503"/>
      <c r="J79" s="489"/>
      <c r="K79" s="504"/>
    </row>
    <row r="80" spans="1:11" s="491" customFormat="1" ht="12.75" outlineLevel="3">
      <c r="A80" s="507" t="s">
        <v>43</v>
      </c>
      <c r="B80" s="8" t="str">
        <f>IF(A80&lt;&gt;0,VLOOKUP(A80,合同台帐!$A$4:$D$195,4,1),"")</f>
        <v>公路占路费</v>
      </c>
      <c r="C80" s="9"/>
      <c r="D80" s="10"/>
      <c r="E80" s="486"/>
      <c r="F80" s="487">
        <f>IF(A80&lt;&gt;0,IF(VLOOKUP(A80,合同台帐!$A$4:$G$195,7,1),IF($H$2="元",VLOOKUP(A80,合同台帐!$A$4:$G$195,7,1),VLOOKUP(A80,合同台帐!$A$4:$G$195,7,1)),IF($H$2="元",VLOOKUP(A80,合同台帐!$A$4:$F$195,6,1),VLOOKUP(A80,合同台帐!$A$4:$F$195,6,1))),0)</f>
        <v>15210</v>
      </c>
      <c r="G80" s="488">
        <f t="shared" si="27"/>
        <v>0.13071140520174673</v>
      </c>
      <c r="H80" s="486">
        <f ca="1">IF(A80&lt;&gt;0,IF($H$2="元",VLOOKUP(A80,合同台帐!$A$4:$K$1093,11,1),VLOOKUP(A80,合同台帐!$A$4:$K$1093,11,1)),0)</f>
        <v>15210</v>
      </c>
      <c r="I80" s="503"/>
      <c r="J80" s="489"/>
      <c r="K80" s="504"/>
    </row>
    <row r="81" spans="1:11" s="491" customFormat="1" ht="12.75" outlineLevel="3">
      <c r="A81" s="507" t="s">
        <v>124</v>
      </c>
      <c r="B81" s="8" t="str">
        <f>IF(A81&lt;&gt;0,VLOOKUP(A81,合同台帐!$A$4:$D$195,4,1),"")</f>
        <v>装表临时用电高压供电合同</v>
      </c>
      <c r="C81" s="9"/>
      <c r="D81" s="10"/>
      <c r="E81" s="486"/>
      <c r="F81" s="487">
        <f>IF(A81&lt;&gt;0,IF(VLOOKUP(A81,合同台帐!$A$4:$G$195,7,1),IF($H$2="元",VLOOKUP(A81,合同台帐!$A$4:$G$195,7,1),VLOOKUP(A81,合同台帐!$A$4:$G$195,7,1)),IF($H$2="元",VLOOKUP(A81,合同台帐!$A$4:$F$195,6,1),VLOOKUP(A81,合同台帐!$A$4:$F$195,6,1))),0)</f>
        <v>0</v>
      </c>
      <c r="G81" s="488">
        <f t="shared" si="27"/>
        <v>0</v>
      </c>
      <c r="H81" s="486">
        <f ca="1">IF(A81&lt;&gt;0,IF($H$2="元",VLOOKUP(A81,合同台帐!$A$4:$K$1093,11,1),VLOOKUP(A81,合同台帐!$A$4:$K$1093,11,1)),0)</f>
        <v>0</v>
      </c>
      <c r="I81" s="503"/>
      <c r="J81" s="489"/>
      <c r="K81" s="504"/>
    </row>
    <row r="82" spans="1:11" s="491" customFormat="1" ht="12.75" outlineLevel="3">
      <c r="A82" s="509" t="s">
        <v>123</v>
      </c>
      <c r="B82" s="8" t="str">
        <f>IF(A82&lt;&gt;0,VLOOKUP(A82,合同台帐!$A$4:$D$195,4,1),"")</f>
        <v>变压器移位（一台）</v>
      </c>
      <c r="C82" s="9"/>
      <c r="D82" s="10"/>
      <c r="E82" s="486"/>
      <c r="F82" s="487">
        <f>IF(A82&lt;&gt;0,IF(VLOOKUP(A82,合同台帐!$A$4:$G$195,7,1),IF($H$2="元",VLOOKUP(A82,合同台帐!$A$4:$G$195,7,1),VLOOKUP(A82,合同台帐!$A$4:$G$195,7,1)),IF($H$2="元",VLOOKUP(A82,合同台帐!$A$4:$F$195,6,1),VLOOKUP(A82,合同台帐!$A$4:$F$195,6,1))),0)</f>
        <v>150000</v>
      </c>
      <c r="G82" s="488">
        <f t="shared" si="27"/>
        <v>1.2890671124432618</v>
      </c>
      <c r="H82" s="486">
        <f ca="1">IF(A82&lt;&gt;0,IF($H$2="元",VLOOKUP(A82,合同台帐!$A$4:$K$1093,11,1),VLOOKUP(A82,合同台帐!$A$4:$K$1093,11,1)),0)</f>
        <v>0</v>
      </c>
      <c r="I82" s="503"/>
      <c r="J82" s="489"/>
      <c r="K82" s="504"/>
    </row>
    <row r="83" spans="1:11" s="491" customFormat="1" ht="12.75" outlineLevel="3">
      <c r="A83" s="509"/>
      <c r="B83" s="8"/>
      <c r="C83" s="9"/>
      <c r="D83" s="10"/>
      <c r="E83" s="486"/>
      <c r="F83" s="487"/>
      <c r="G83" s="503"/>
      <c r="H83" s="510"/>
      <c r="I83" s="503"/>
      <c r="J83" s="489"/>
      <c r="K83" s="504"/>
    </row>
    <row r="84" spans="1:11" ht="24" outlineLevel="2">
      <c r="A84" s="18"/>
      <c r="B84" s="19" t="s">
        <v>635</v>
      </c>
      <c r="C84" s="20"/>
      <c r="D84" s="13">
        <f>E84/K$2*10000</f>
        <v>0.51340105576315265</v>
      </c>
      <c r="E84" s="492">
        <v>5.9741</v>
      </c>
      <c r="F84" s="493">
        <f>SUM(F85:F87)</f>
        <v>59505</v>
      </c>
      <c r="G84" s="493">
        <f t="shared" ref="G84:H84" si="28">SUM(G85:G87)</f>
        <v>0.51137292350624186</v>
      </c>
      <c r="H84" s="493">
        <f t="shared" ca="1" si="28"/>
        <v>59505</v>
      </c>
      <c r="I84" s="503"/>
      <c r="J84" s="495"/>
      <c r="K84" s="479"/>
    </row>
    <row r="85" spans="1:11" s="491" customFormat="1" ht="12.75" outlineLevel="3">
      <c r="A85" s="507" t="s">
        <v>68</v>
      </c>
      <c r="B85" s="8" t="str">
        <f>IF(A85&lt;&gt;0,VLOOKUP(A85,合同台帐!$A$4:$D$195,4,1),"")</f>
        <v>临时水施工费</v>
      </c>
      <c r="C85" s="9"/>
      <c r="D85" s="10"/>
      <c r="E85" s="486"/>
      <c r="F85" s="487">
        <f>IF(A85&lt;&gt;0,IF(VLOOKUP(A85,合同台帐!$A$4:$G$195,7,1),IF($H$2="元",VLOOKUP(A85,合同台帐!$A$4:$G$195,7,1),VLOOKUP(A85,合同台帐!$A$4:$G$195,7,1)),IF($H$2="元",VLOOKUP(A85,合同台帐!$A$4:$F$195,6,1),VLOOKUP(A85,合同台帐!$A$4:$F$195,6,1))),0)</f>
        <v>50000</v>
      </c>
      <c r="G85" s="488">
        <f t="shared" ref="G85:G86" si="29">F85/K$2</f>
        <v>0.42968903748108722</v>
      </c>
      <c r="H85" s="486">
        <f ca="1">IF(A85&lt;&gt;0,IF($H$2="元",VLOOKUP(A85,合同台帐!$A$4:$K$1093,11,1),VLOOKUP(A85,合同台帐!$A$4:$K$1093,11,1)),0)</f>
        <v>50000</v>
      </c>
      <c r="I85" s="503"/>
      <c r="J85" s="489"/>
      <c r="K85" s="504"/>
    </row>
    <row r="86" spans="1:11" s="491" customFormat="1" ht="12.75" outlineLevel="3">
      <c r="A86" s="507" t="s">
        <v>69</v>
      </c>
      <c r="B86" s="8" t="str">
        <f>IF(A86&lt;&gt;0,VLOOKUP(A86,合同台帐!$A$4:$D$195,4,1),"")</f>
        <v>临水施工占路及修复费</v>
      </c>
      <c r="C86" s="9"/>
      <c r="D86" s="10"/>
      <c r="E86" s="486"/>
      <c r="F86" s="487">
        <f>IF(A86&lt;&gt;0,IF(VLOOKUP(A86,合同台帐!$A$4:$G$195,7,1),IF($H$2="元",VLOOKUP(A86,合同台帐!$A$4:$G$195,7,1),VLOOKUP(A86,合同台帐!$A$4:$G$195,7,1)),IF($H$2="元",VLOOKUP(A86,合同台帐!$A$4:$F$195,6,1),VLOOKUP(A86,合同台帐!$A$4:$F$195,6,1))),0)</f>
        <v>9505</v>
      </c>
      <c r="G86" s="488">
        <f t="shared" si="29"/>
        <v>8.1683886025154681E-2</v>
      </c>
      <c r="H86" s="486">
        <f ca="1">IF(A86&lt;&gt;0,IF($H$2="元",VLOOKUP(A86,合同台帐!$A$4:$K$1093,11,1),VLOOKUP(A86,合同台帐!$A$4:$K$1093,11,1)),0)</f>
        <v>9505</v>
      </c>
      <c r="I86" s="503"/>
      <c r="J86" s="489"/>
      <c r="K86" s="504"/>
    </row>
    <row r="87" spans="1:11" s="484" customFormat="1" ht="12.75" outlineLevel="3">
      <c r="A87" s="405"/>
      <c r="B87" s="11"/>
      <c r="C87" s="12"/>
      <c r="D87" s="13"/>
      <c r="E87" s="492"/>
      <c r="F87" s="493"/>
      <c r="G87" s="494"/>
      <c r="H87" s="486">
        <f>IF(A87&lt;&gt;0,IF($H$2="元",VLOOKUP(A87,合同台帐!$A$4:$K$1093,11,1),VLOOKUP(A87,合同台帐!$A$4:$K$1093,11,1)),0)</f>
        <v>0</v>
      </c>
      <c r="I87" s="503"/>
      <c r="J87" s="495"/>
      <c r="K87" s="479"/>
    </row>
    <row r="88" spans="1:11" ht="12.75" outlineLevel="2">
      <c r="A88" s="18"/>
      <c r="B88" s="11" t="s">
        <v>636</v>
      </c>
      <c r="C88" s="12"/>
      <c r="D88" s="13">
        <f>E88/K$2*10000</f>
        <v>0</v>
      </c>
      <c r="E88" s="492">
        <v>0</v>
      </c>
      <c r="F88" s="493">
        <f>SUM(F89:F90)</f>
        <v>0</v>
      </c>
      <c r="G88" s="493">
        <f t="shared" ref="G88:J88" si="30">SUM(G89:G90)</f>
        <v>0</v>
      </c>
      <c r="H88" s="493">
        <f t="shared" si="30"/>
        <v>0</v>
      </c>
      <c r="I88" s="493">
        <f t="shared" si="30"/>
        <v>0</v>
      </c>
      <c r="J88" s="493">
        <f t="shared" si="30"/>
        <v>0</v>
      </c>
      <c r="K88" s="479"/>
    </row>
    <row r="89" spans="1:11" ht="12.75" outlineLevel="3">
      <c r="A89" s="18"/>
      <c r="B89" s="19"/>
      <c r="C89" s="12"/>
      <c r="D89" s="13"/>
      <c r="E89" s="492"/>
      <c r="F89" s="493"/>
      <c r="G89" s="494"/>
      <c r="H89" s="486">
        <f>IF(A89&lt;&gt;0,IF($H$2="元",VLOOKUP(A89,合同台帐!$A$4:$K$1093,11,1),VLOOKUP(A89,合同台帐!$A$4:$K$1093,11,1)),0)</f>
        <v>0</v>
      </c>
      <c r="I89" s="503"/>
      <c r="J89" s="495"/>
      <c r="K89" s="479"/>
    </row>
    <row r="90" spans="1:11" ht="12.75" outlineLevel="3">
      <c r="A90" s="18"/>
      <c r="B90" s="19"/>
      <c r="C90" s="12"/>
      <c r="D90" s="13"/>
      <c r="E90" s="492"/>
      <c r="F90" s="493"/>
      <c r="G90" s="494"/>
      <c r="H90" s="486">
        <f>IF(A90&lt;&gt;0,IF($H$2="元",VLOOKUP(A90,合同台帐!$A$4:$K$1093,11,1),VLOOKUP(A90,合同台帐!$A$4:$K$1093,11,1)),0)</f>
        <v>0</v>
      </c>
      <c r="I90" s="503"/>
      <c r="J90" s="495"/>
      <c r="K90" s="479"/>
    </row>
    <row r="91" spans="1:11" ht="12.75" outlineLevel="2">
      <c r="A91" s="18"/>
      <c r="B91" s="11" t="s">
        <v>637</v>
      </c>
      <c r="C91" s="12"/>
      <c r="D91" s="13">
        <f>E91/K$2*10000</f>
        <v>60.046000789596583</v>
      </c>
      <c r="E91" s="492">
        <v>698.71460000000002</v>
      </c>
      <c r="F91" s="493">
        <f>SUM(F92:F93)</f>
        <v>6750000</v>
      </c>
      <c r="G91" s="493">
        <f t="shared" ref="G91:H91" si="31">SUM(G92:G93)</f>
        <v>0</v>
      </c>
      <c r="H91" s="493">
        <f t="shared" ca="1" si="31"/>
        <v>4649988</v>
      </c>
      <c r="I91" s="503"/>
      <c r="J91" s="495"/>
      <c r="K91" s="479"/>
    </row>
    <row r="92" spans="1:11" s="491" customFormat="1" ht="12.75" outlineLevel="3">
      <c r="A92" s="485" t="s">
        <v>26</v>
      </c>
      <c r="B92" s="8" t="str">
        <f>IF(A92&lt;&gt;0,VLOOKUP(A92,合同台帐!$A$4:$D$893,4,1),"")</f>
        <v>场地平整</v>
      </c>
      <c r="C92" s="9"/>
      <c r="D92" s="10"/>
      <c r="E92" s="486"/>
      <c r="F92" s="487">
        <f>IF(A92&lt;&gt;0,VLOOKUP(A92,合同台帐!$A$4:$J$893,6,1),"")</f>
        <v>6750000</v>
      </c>
      <c r="G92" s="488"/>
      <c r="H92" s="486">
        <f ca="1">IF(A92&lt;&gt;0,IF($H$2="元",VLOOKUP(A92,合同台帐!$A$4:$K$1093,11,1),VLOOKUP(A92,合同台帐!$A$4:$K$1093,11,1)),0)</f>
        <v>4649988</v>
      </c>
      <c r="I92" s="487"/>
      <c r="J92" s="489"/>
      <c r="K92" s="504"/>
    </row>
    <row r="93" spans="1:11" s="484" customFormat="1" ht="12.75" outlineLevel="3">
      <c r="A93" s="405"/>
      <c r="B93" s="11"/>
      <c r="C93" s="12"/>
      <c r="D93" s="13"/>
      <c r="E93" s="492"/>
      <c r="F93" s="493"/>
      <c r="G93" s="494"/>
      <c r="H93" s="486">
        <f>IF(A93&lt;&gt;0,IF($H$2="元",VLOOKUP(A93,合同台帐!$A$4:$K$1093,11,1),VLOOKUP(A93,合同台帐!$A$4:$K$1093,11,1)),0)</f>
        <v>0</v>
      </c>
      <c r="I93" s="500"/>
      <c r="J93" s="495"/>
      <c r="K93" s="479"/>
    </row>
    <row r="94" spans="1:11" ht="12.75" outlineLevel="2">
      <c r="A94" s="18"/>
      <c r="B94" s="11" t="s">
        <v>638</v>
      </c>
      <c r="C94" s="12"/>
      <c r="D94" s="13">
        <f>E94/K$2*10000</f>
        <v>4.0000010312536896</v>
      </c>
      <c r="E94" s="492">
        <v>46.545299999999997</v>
      </c>
      <c r="F94" s="493">
        <f>SUM(F95:F97)</f>
        <v>338000</v>
      </c>
      <c r="G94" s="493">
        <f t="shared" ref="G94:J94" si="32">SUM(G95:G97)</f>
        <v>2.9046978933721497</v>
      </c>
      <c r="H94" s="493">
        <f t="shared" ca="1" si="32"/>
        <v>338000</v>
      </c>
      <c r="I94" s="493">
        <f t="shared" si="32"/>
        <v>0</v>
      </c>
      <c r="J94" s="493">
        <f t="shared" si="32"/>
        <v>0</v>
      </c>
      <c r="K94" s="479"/>
    </row>
    <row r="95" spans="1:11" s="491" customFormat="1" ht="12.75" outlineLevel="3">
      <c r="A95" s="485" t="s">
        <v>105</v>
      </c>
      <c r="B95" s="8" t="str">
        <f>IF(A95&lt;&gt;0,VLOOKUP(A95,合同台帐!$A$4:$D$893,4,1),"")</f>
        <v>博御园临时围墙工程</v>
      </c>
      <c r="C95" s="9"/>
      <c r="D95" s="10"/>
      <c r="E95" s="486"/>
      <c r="F95" s="487">
        <f>IF(A95&lt;&gt;0,VLOOKUP(A95,合同台帐!$A$4:$J$893,6,1),"")</f>
        <v>200000</v>
      </c>
      <c r="G95" s="488">
        <f>F95/K2</f>
        <v>1.7187561499243489</v>
      </c>
      <c r="H95" s="486">
        <f ca="1">IF(A95&lt;&gt;0,IF($H$2="元",VLOOKUP(A95,合同台帐!$A$4:$K$1093,11,1),VLOOKUP(A95,合同台帐!$A$4:$K$1093,11,1)),0)</f>
        <v>200000</v>
      </c>
      <c r="I95" s="487"/>
      <c r="J95" s="489"/>
      <c r="K95" s="504"/>
    </row>
    <row r="96" spans="1:11" s="491" customFormat="1" ht="12.75" outlineLevel="3">
      <c r="A96" s="485" t="s">
        <v>45</v>
      </c>
      <c r="B96" s="8" t="str">
        <f>IF(A96&lt;&gt;0,VLOOKUP(A96,合同台帐!$A$4:$D$893,4,1),"")</f>
        <v>彩钢临时围挡</v>
      </c>
      <c r="C96" s="9"/>
      <c r="D96" s="10"/>
      <c r="E96" s="486"/>
      <c r="F96" s="487">
        <f>IF(A96&lt;&gt;0,VLOOKUP(A96,合同台帐!$A$4:$J$893,6,1),"")</f>
        <v>138000</v>
      </c>
      <c r="G96" s="488">
        <f>F96/K2</f>
        <v>1.1859417434478008</v>
      </c>
      <c r="H96" s="486">
        <f ca="1">IF(A96&lt;&gt;0,IF($H$2="元",VLOOKUP(A96,合同台帐!$A$4:$K$1093,11,1),VLOOKUP(A96,合同台帐!$A$4:$K$1093,11,1)),0)</f>
        <v>138000</v>
      </c>
      <c r="I96" s="503"/>
      <c r="J96" s="489"/>
      <c r="K96" s="504"/>
    </row>
    <row r="97" spans="1:11" s="491" customFormat="1" ht="12.75" outlineLevel="3">
      <c r="A97" s="511"/>
      <c r="B97" s="8"/>
      <c r="C97" s="9"/>
      <c r="D97" s="10"/>
      <c r="E97" s="486"/>
      <c r="F97" s="487"/>
      <c r="G97" s="488"/>
      <c r="H97" s="513"/>
      <c r="I97" s="503"/>
      <c r="J97" s="489"/>
      <c r="K97" s="504"/>
    </row>
    <row r="98" spans="1:11" ht="12.75" outlineLevel="2">
      <c r="A98" s="18"/>
      <c r="B98" s="19" t="s">
        <v>639</v>
      </c>
      <c r="C98" s="20"/>
      <c r="D98" s="13">
        <f>E98/K$2*10000</f>
        <v>3.4166981628731139</v>
      </c>
      <c r="E98" s="492">
        <v>39.757800000000003</v>
      </c>
      <c r="F98" s="493">
        <f>SUM(F99:F102)</f>
        <v>396025</v>
      </c>
      <c r="G98" s="493">
        <f t="shared" ref="G98:H98" si="33">SUM(G99:G102)</f>
        <v>3.4033520213689514</v>
      </c>
      <c r="H98" s="493">
        <f t="shared" ca="1" si="33"/>
        <v>396025</v>
      </c>
      <c r="I98" s="503"/>
      <c r="J98" s="495"/>
      <c r="K98" s="479"/>
    </row>
    <row r="99" spans="1:11" s="491" customFormat="1" ht="12.75" outlineLevel="3">
      <c r="A99" s="507" t="s">
        <v>121</v>
      </c>
      <c r="B99" s="8" t="str">
        <f>IF(A99&lt;&gt;0,VLOOKUP(A99,合同台帐!$A$4:$D$195,4,1),"")</f>
        <v>南侧道路开口</v>
      </c>
      <c r="C99" s="9"/>
      <c r="D99" s="10"/>
      <c r="E99" s="486"/>
      <c r="F99" s="487">
        <f>IF(A99&lt;&gt;0,IF(VLOOKUP(A99,合同台帐!$A$4:$G$195,7,1),IF($H$2="元",VLOOKUP(A99,合同台帐!$A$4:$G$195,7,1),VLOOKUP(A99,合同台帐!$A$4:$G$195,7,1)),IF($H$2="元",VLOOKUP(A99,合同台帐!$A$4:$F$195,6,1),VLOOKUP(A99,合同台帐!$A$4:$F$195,6,1))),0)</f>
        <v>131400</v>
      </c>
      <c r="G99" s="488">
        <f>F99/K$2</f>
        <v>1.1292227905002972</v>
      </c>
      <c r="H99" s="486">
        <f ca="1">IF(A99&lt;&gt;0,IF($H$2="元",VLOOKUP(A99,合同台帐!$A$4:$K$1093,11,1),VLOOKUP(A99,合同台帐!$A$4:$K$1093,11,1)),0)</f>
        <v>131400</v>
      </c>
      <c r="I99" s="503"/>
      <c r="J99" s="489"/>
      <c r="K99" s="504"/>
    </row>
    <row r="100" spans="1:11" s="491" customFormat="1" ht="12.75" outlineLevel="3">
      <c r="A100" s="507" t="s">
        <v>122</v>
      </c>
      <c r="B100" s="8" t="str">
        <f>IF(A100&lt;&gt;0,VLOOKUP(A100,合同台帐!$A$4:$D$195,4,1),"")</f>
        <v>西侧道路开口</v>
      </c>
      <c r="C100" s="9"/>
      <c r="D100" s="10"/>
      <c r="E100" s="486"/>
      <c r="F100" s="487">
        <f>IF(A100&lt;&gt;0,IF(VLOOKUP(A100,合同台帐!$A$4:$G$195,7,1),IF($H$2="元",VLOOKUP(A100,合同台帐!$A$4:$G$195,7,1),VLOOKUP(A100,合同台帐!$A$4:$G$195,7,1)),IF($H$2="元",VLOOKUP(A100,合同台帐!$A$4:$F$195,6,1),VLOOKUP(A100,合同台帐!$A$4:$F$195,6,1))),0)</f>
        <v>264625</v>
      </c>
      <c r="G100" s="488">
        <f>F100/K$2</f>
        <v>2.2741292308686543</v>
      </c>
      <c r="H100" s="486">
        <f ca="1">IF(A100&lt;&gt;0,IF($H$2="元",VLOOKUP(A100,合同台帐!$A$4:$K$1093,11,1),VLOOKUP(A100,合同台帐!$A$4:$K$1093,11,1)),0)</f>
        <v>264625</v>
      </c>
      <c r="I100" s="503"/>
      <c r="J100" s="489"/>
      <c r="K100" s="504"/>
    </row>
    <row r="101" spans="1:11" s="484" customFormat="1" ht="15.75" customHeight="1" outlineLevel="3">
      <c r="A101" s="405"/>
      <c r="B101" s="19"/>
      <c r="C101" s="20"/>
      <c r="D101" s="13"/>
      <c r="E101" s="492"/>
      <c r="F101" s="493"/>
      <c r="G101" s="494"/>
      <c r="H101" s="486"/>
      <c r="I101" s="503"/>
      <c r="J101" s="495"/>
      <c r="K101" s="479"/>
    </row>
    <row r="102" spans="1:11" s="484" customFormat="1" ht="15.75" customHeight="1" outlineLevel="3">
      <c r="A102" s="405"/>
      <c r="B102" s="19"/>
      <c r="C102" s="20"/>
      <c r="D102" s="13"/>
      <c r="E102" s="492"/>
      <c r="F102" s="493"/>
      <c r="G102" s="494"/>
      <c r="H102" s="486">
        <f>IF(A102&lt;&gt;0,IF($H$2="元",VLOOKUP(A102,合同台帐!$A$4:$K$1093,11,1),VLOOKUP(A102,合同台帐!$A$4:$K$1093,11,1)),0)</f>
        <v>0</v>
      </c>
      <c r="I102" s="503"/>
      <c r="J102" s="495"/>
      <c r="K102" s="479"/>
    </row>
    <row r="103" spans="1:11" ht="12.75" outlineLevel="2">
      <c r="A103" s="18"/>
      <c r="B103" s="11" t="s">
        <v>640</v>
      </c>
      <c r="C103" s="12"/>
      <c r="D103" s="13">
        <f>E103/K$2*10000</f>
        <v>1.2891014875662603</v>
      </c>
      <c r="E103" s="492">
        <v>15.000400000000001</v>
      </c>
      <c r="F103" s="493">
        <f>SUM(F104:F107)</f>
        <v>150000</v>
      </c>
      <c r="G103" s="493">
        <f t="shared" ref="G103:J103" si="34">SUM(G104:G107)</f>
        <v>0</v>
      </c>
      <c r="H103" s="493">
        <f t="shared" ca="1" si="34"/>
        <v>150000</v>
      </c>
      <c r="I103" s="493">
        <f t="shared" si="34"/>
        <v>0</v>
      </c>
      <c r="J103" s="493">
        <f t="shared" si="34"/>
        <v>0</v>
      </c>
      <c r="K103" s="479"/>
    </row>
    <row r="104" spans="1:11" s="491" customFormat="1" ht="12.75" outlineLevel="3">
      <c r="A104" s="485" t="s">
        <v>59</v>
      </c>
      <c r="B104" s="8" t="str">
        <f>IF(A104&lt;&gt;0,VLOOKUP(A104,合同台帐!$A$4:$D$893,4,1),"")</f>
        <v>柿子树补偿协议书</v>
      </c>
      <c r="C104" s="9"/>
      <c r="D104" s="10"/>
      <c r="E104" s="486"/>
      <c r="F104" s="487">
        <f>IF(A104&lt;&gt;0,VLOOKUP(A104,合同台帐!$A$4:$J$893,6,1),"")</f>
        <v>30000</v>
      </c>
      <c r="G104" s="488"/>
      <c r="H104" s="486">
        <f ca="1">IF(A104&lt;&gt;0,IF($H$2="元",VLOOKUP(A104,合同台帐!$A$4:$K$1093,11,1),VLOOKUP(A104,合同台帐!$A$4:$K$1093,11,1)),0)</f>
        <v>30000</v>
      </c>
      <c r="I104" s="487"/>
      <c r="J104" s="489"/>
      <c r="K104" s="504"/>
    </row>
    <row r="105" spans="1:11" s="491" customFormat="1" ht="12.75" outlineLevel="3">
      <c r="A105" s="485" t="s">
        <v>51</v>
      </c>
      <c r="B105" s="8" t="str">
        <f>IF(A105&lt;&gt;0,VLOOKUP(A105,合同台帐!$A$4:$D$893,4,1),"")</f>
        <v>地下障碍物拆除</v>
      </c>
      <c r="C105" s="9"/>
      <c r="D105" s="10"/>
      <c r="E105" s="486"/>
      <c r="F105" s="487">
        <f>IF(A105&lt;&gt;0,VLOOKUP(A105,合同台帐!$A$4:$J$893,6,1),"")</f>
        <v>120000</v>
      </c>
      <c r="G105" s="488"/>
      <c r="H105" s="486">
        <f ca="1">IF(A105&lt;&gt;0,IF($H$2="元",VLOOKUP(A105,合同台帐!$A$4:$K$1093,11,1),VLOOKUP(A105,合同台帐!$A$4:$K$1093,11,1)),0)</f>
        <v>120000</v>
      </c>
      <c r="I105" s="487"/>
      <c r="J105" s="489"/>
      <c r="K105" s="504"/>
    </row>
    <row r="106" spans="1:11" s="484" customFormat="1" ht="12.75" outlineLevel="3">
      <c r="A106" s="405"/>
      <c r="B106" s="11"/>
      <c r="C106" s="12"/>
      <c r="D106" s="13"/>
      <c r="E106" s="492"/>
      <c r="F106" s="493"/>
      <c r="G106" s="494"/>
      <c r="H106" s="486">
        <f>IF(A106&lt;&gt;0,IF($H$2="元",VLOOKUP(A106,合同台帐!$A$4:$K$1093,11,1),VLOOKUP(A106,合同台帐!$A$4:$K$1093,11,1)),0)</f>
        <v>0</v>
      </c>
      <c r="I106" s="503"/>
      <c r="J106" s="483">
        <f t="shared" ref="J106:J107" si="35">G106-D106</f>
        <v>0</v>
      </c>
      <c r="K106" s="479"/>
    </row>
    <row r="107" spans="1:11" s="484" customFormat="1" ht="12.75" outlineLevel="3">
      <c r="A107" s="405"/>
      <c r="B107" s="11"/>
      <c r="C107" s="12"/>
      <c r="D107" s="13"/>
      <c r="E107" s="492"/>
      <c r="F107" s="493"/>
      <c r="G107" s="494"/>
      <c r="H107" s="486">
        <f>IF(A107&lt;&gt;0,IF($H$2="元",VLOOKUP(A107,合同台帐!$A$4:$K$1093,11,1),VLOOKUP(A107,合同台帐!$A$4:$K$1093,11,1)),0)</f>
        <v>0</v>
      </c>
      <c r="I107" s="503"/>
      <c r="J107" s="483">
        <f t="shared" si="35"/>
        <v>0</v>
      </c>
      <c r="K107" s="479"/>
    </row>
    <row r="108" spans="1:11" ht="12.75" outlineLevel="1">
      <c r="A108" s="5"/>
      <c r="B108" s="6" t="s">
        <v>641</v>
      </c>
      <c r="C108" s="7" t="s">
        <v>642</v>
      </c>
      <c r="D108" s="497">
        <f t="shared" ref="D108:J108" si="36">D109+D114+D124+D129</f>
        <v>10.503757115005929</v>
      </c>
      <c r="E108" s="497">
        <f t="shared" si="36"/>
        <v>122.2251</v>
      </c>
      <c r="F108" s="497">
        <f t="shared" si="36"/>
        <v>1156748.82</v>
      </c>
      <c r="G108" s="497" t="e">
        <f t="shared" si="36"/>
        <v>#VALUE!</v>
      </c>
      <c r="H108" s="497">
        <f t="shared" ca="1" si="36"/>
        <v>837054.52</v>
      </c>
      <c r="I108" s="497">
        <f t="shared" si="36"/>
        <v>0</v>
      </c>
      <c r="J108" s="497">
        <f t="shared" si="36"/>
        <v>0</v>
      </c>
      <c r="K108" s="479"/>
    </row>
    <row r="109" spans="1:11" s="484" customFormat="1" ht="32.25" customHeight="1" outlineLevel="2">
      <c r="A109" s="18"/>
      <c r="B109" s="11" t="s">
        <v>643</v>
      </c>
      <c r="C109" s="12"/>
      <c r="D109" s="13">
        <f>E109/K$2*10000</f>
        <v>2.5073988155363867</v>
      </c>
      <c r="E109" s="492">
        <v>29.1769</v>
      </c>
      <c r="F109" s="493">
        <f>SUM(F110:F113)</f>
        <v>308733</v>
      </c>
      <c r="G109" s="493">
        <f t="shared" ref="G109:H109" si="37">SUM(G110:G113)</f>
        <v>2.6531837121729698</v>
      </c>
      <c r="H109" s="493">
        <f t="shared" ca="1" si="37"/>
        <v>308733</v>
      </c>
      <c r="I109" s="503"/>
      <c r="J109" s="495"/>
      <c r="K109" s="479"/>
    </row>
    <row r="110" spans="1:11" s="491" customFormat="1" ht="18.75" customHeight="1" outlineLevel="3">
      <c r="A110" s="485" t="s">
        <v>70</v>
      </c>
      <c r="B110" s="8" t="str">
        <f>IF(A110&lt;&gt;0,VLOOKUP(A110,合同台帐!$A$4:$D$893,4,1),"")</f>
        <v>招投标代理（设计、勘察、工程、监理）</v>
      </c>
      <c r="C110" s="9"/>
      <c r="D110" s="10"/>
      <c r="E110" s="486"/>
      <c r="F110" s="487">
        <f>IF(A110&lt;&gt;0,VLOOKUP(A110,合同台帐!$A$4:$J$893,6,1),"")</f>
        <v>150733</v>
      </c>
      <c r="G110" s="488">
        <f>F110/K2</f>
        <v>1.2953663537327345</v>
      </c>
      <c r="H110" s="486">
        <f ca="1">IF(A110&lt;&gt;0,IF($H$2="元",VLOOKUP(A110,合同台帐!$A$4:$K$1093,11,1),VLOOKUP(A110,合同台帐!$A$4:$K$1093,11,1)),0)</f>
        <v>150733</v>
      </c>
      <c r="I110" s="487"/>
      <c r="J110" s="489"/>
      <c r="K110" s="504"/>
    </row>
    <row r="111" spans="1:11" s="491" customFormat="1" ht="18.75" customHeight="1" outlineLevel="3">
      <c r="A111" s="485" t="s">
        <v>75</v>
      </c>
      <c r="B111" s="8" t="str">
        <f>IF(A111&lt;&gt;0,VLOOKUP(A111,合同台帐!$A$4:$D$893,4,1),"")</f>
        <v>物业招投标代理合同</v>
      </c>
      <c r="C111" s="9"/>
      <c r="D111" s="10"/>
      <c r="E111" s="486"/>
      <c r="F111" s="487">
        <f>IF(A111&lt;&gt;0,VLOOKUP(A111,合同台帐!$A$4:$J$893,6,1),"")</f>
        <v>140000</v>
      </c>
      <c r="G111" s="488">
        <f>F111/K2</f>
        <v>1.2031293049470442</v>
      </c>
      <c r="H111" s="486">
        <f ca="1">IF(A111&lt;&gt;0,IF($H$2="元",VLOOKUP(A111,合同台帐!$A$4:$K$1093,11,1),VLOOKUP(A111,合同台帐!$A$4:$K$1093,11,1)),0)</f>
        <v>140000</v>
      </c>
      <c r="I111" s="487"/>
      <c r="J111" s="489"/>
      <c r="K111" s="504"/>
    </row>
    <row r="112" spans="1:11" s="491" customFormat="1" ht="18.75" customHeight="1" outlineLevel="3">
      <c r="A112" s="485" t="s">
        <v>116</v>
      </c>
      <c r="B112" s="8" t="str">
        <f>IF(A112&lt;&gt;0,VLOOKUP(A112,合同台帐!$A$4:$D$893,4,1),"")</f>
        <v>招标代理费（界外地、示范区园林）</v>
      </c>
      <c r="C112" s="9"/>
      <c r="D112" s="10"/>
      <c r="E112" s="486"/>
      <c r="F112" s="487">
        <f>IF(A112&lt;&gt;0,VLOOKUP(A112,合同台帐!$A$4:$J$893,6,1),"")</f>
        <v>18000</v>
      </c>
      <c r="G112" s="488">
        <f>F112/K2</f>
        <v>0.1546880534931914</v>
      </c>
      <c r="H112" s="486">
        <f ca="1">IF(A112&lt;&gt;0,IF($H$2="元",VLOOKUP(A112,合同台帐!$A$4:$K$1093,11,1),VLOOKUP(A112,合同台帐!$A$4:$K$1093,11,1)),0)</f>
        <v>18000</v>
      </c>
      <c r="I112" s="487"/>
      <c r="J112" s="489"/>
      <c r="K112" s="504"/>
    </row>
    <row r="113" spans="1:11" s="491" customFormat="1" ht="18.75" customHeight="1" outlineLevel="3">
      <c r="A113" s="511"/>
      <c r="B113" s="8" t="str">
        <f>IF(A113&lt;&gt;0,VLOOKUP(A113,合同台帐!$A$4:$D$893,4,1),"")</f>
        <v/>
      </c>
      <c r="C113" s="9"/>
      <c r="D113" s="10"/>
      <c r="E113" s="486"/>
      <c r="F113" s="487" t="str">
        <f>IF(A113&lt;&gt;0,VLOOKUP(A113,合同台帐!$A$4:$J$893,6,1),"")</f>
        <v/>
      </c>
      <c r="G113" s="514"/>
      <c r="H113" s="486">
        <f>IF(A113&lt;&gt;0,IF($H$2="元",VLOOKUP(A113,合同台帐!$A$4:$K$1093,11,1),VLOOKUP(A113,合同台帐!$A$4:$K$1093,11,1)),0)</f>
        <v>0</v>
      </c>
      <c r="I113" s="487"/>
      <c r="J113" s="489"/>
      <c r="K113" s="504"/>
    </row>
    <row r="114" spans="1:11" s="484" customFormat="1" ht="33.75" customHeight="1" outlineLevel="2">
      <c r="A114" s="18"/>
      <c r="B114" s="11" t="s">
        <v>644</v>
      </c>
      <c r="C114" s="12"/>
      <c r="D114" s="13">
        <f>E114/K$2*10000</f>
        <v>1.9999962187364704</v>
      </c>
      <c r="E114" s="492">
        <v>23.272600000000001</v>
      </c>
      <c r="F114" s="493">
        <f t="shared" ref="F114:H114" si="38">SUM(F115:F123)</f>
        <v>246111.52</v>
      </c>
      <c r="G114" s="493" t="e">
        <f t="shared" si="38"/>
        <v>#VALUE!</v>
      </c>
      <c r="H114" s="493">
        <f t="shared" ca="1" si="38"/>
        <v>246111.52</v>
      </c>
      <c r="I114" s="493">
        <f t="shared" ref="I114:J114" si="39">SUM(I115:I123)</f>
        <v>0</v>
      </c>
      <c r="J114" s="493">
        <f t="shared" si="39"/>
        <v>0</v>
      </c>
      <c r="K114" s="479"/>
    </row>
    <row r="115" spans="1:11" s="491" customFormat="1" ht="18.75" customHeight="1" outlineLevel="3">
      <c r="A115" s="485" t="s">
        <v>39</v>
      </c>
      <c r="B115" s="8" t="str">
        <f>IF(A115&lt;&gt;0,VLOOKUP(A115,合同台帐!$A$4:$D$893,4,1),"")</f>
        <v>勘察、设计交易服务费（全项目）</v>
      </c>
      <c r="C115" s="9"/>
      <c r="D115" s="10"/>
      <c r="E115" s="486"/>
      <c r="F115" s="487">
        <f>IF(A115&lt;&gt;0,VLOOKUP(A115,合同台帐!$A$4:$J$893,6,1),"")</f>
        <v>43800</v>
      </c>
      <c r="G115" s="488">
        <f>F115/K2</f>
        <v>0.37640759683343239</v>
      </c>
      <c r="H115" s="486">
        <f ca="1">IF(A115&lt;&gt;0,IF($H$2="元",VLOOKUP(A115,合同台帐!$A$4:$K$1093,11,1),VLOOKUP(A115,合同台帐!$A$4:$K$1093,11,1)),0)</f>
        <v>43800</v>
      </c>
      <c r="I115" s="487"/>
      <c r="J115" s="489"/>
      <c r="K115" s="504"/>
    </row>
    <row r="116" spans="1:11" s="491" customFormat="1" ht="18.75" customHeight="1" outlineLevel="3">
      <c r="A116" s="485" t="s">
        <v>64</v>
      </c>
      <c r="B116" s="8" t="str">
        <f>IF(A116&lt;&gt;0,VLOOKUP(A116,合同台帐!$A$4:$D$893,4,1),"")</f>
        <v>建设工程交易服务费（一期）</v>
      </c>
      <c r="C116" s="9"/>
      <c r="D116" s="10"/>
      <c r="E116" s="486"/>
      <c r="F116" s="487">
        <f>IF(A116&lt;&gt;0,VLOOKUP(A116,合同台帐!$A$4:$J$893,6,1),"")</f>
        <v>45600</v>
      </c>
      <c r="G116" s="488">
        <f>F116/K2</f>
        <v>0.39187640218275155</v>
      </c>
      <c r="H116" s="486">
        <f ca="1">IF(A116&lt;&gt;0,IF($H$2="元",VLOOKUP(A116,合同台帐!$A$4:$K$1093,11,1),VLOOKUP(A116,合同台帐!$A$4:$K$1093,11,1)),0)</f>
        <v>45600</v>
      </c>
      <c r="I116" s="487"/>
      <c r="J116" s="489"/>
      <c r="K116" s="504"/>
    </row>
    <row r="117" spans="1:11" s="491" customFormat="1" ht="18.75" customHeight="1" outlineLevel="3">
      <c r="A117" s="485" t="s">
        <v>65</v>
      </c>
      <c r="B117" s="8" t="str">
        <f>IF(A117&lt;&gt;0,VLOOKUP(A117,合同台帐!$A$4:$D$893,4,1),"")</f>
        <v>工程监理交易服务费（全项目）</v>
      </c>
      <c r="C117" s="9"/>
      <c r="D117" s="10"/>
      <c r="E117" s="486"/>
      <c r="F117" s="487">
        <f>IF(A117&lt;&gt;0,VLOOKUP(A117,合同台帐!$A$4:$J$893,6,1),"")</f>
        <v>21600</v>
      </c>
      <c r="G117" s="488">
        <f>F117/K2</f>
        <v>0.18562566419182969</v>
      </c>
      <c r="H117" s="486">
        <f ca="1">IF(A117&lt;&gt;0,IF($H$2="元",VLOOKUP(A117,合同台帐!$A$4:$K$1093,11,1),VLOOKUP(A117,合同台帐!$A$4:$K$1093,11,1)),0)</f>
        <v>21600</v>
      </c>
      <c r="I117" s="487"/>
      <c r="J117" s="489"/>
      <c r="K117" s="504"/>
    </row>
    <row r="118" spans="1:11" s="491" customFormat="1" ht="18.75" customHeight="1" outlineLevel="3">
      <c r="A118" s="485" t="s">
        <v>67</v>
      </c>
      <c r="B118" s="8" t="str">
        <f>IF(A118&lt;&gt;0,VLOOKUP(A118,合同台帐!$A$4:$D$893,4,1),"")</f>
        <v>建安设备交易服务费（一期）蓟县收取</v>
      </c>
      <c r="C118" s="9"/>
      <c r="D118" s="10"/>
      <c r="E118" s="486"/>
      <c r="F118" s="487">
        <f>IF(A118&lt;&gt;0,VLOOKUP(A118,合同台帐!$A$4:$J$893,6,1),"")</f>
        <v>12400</v>
      </c>
      <c r="G118" s="488">
        <f>F118/K2</f>
        <v>0.10656288129530964</v>
      </c>
      <c r="H118" s="486">
        <f ca="1">IF(A118&lt;&gt;0,IF($H$2="元",VLOOKUP(A118,合同台帐!$A$4:$K$1093,11,1),VLOOKUP(A118,合同台帐!$A$4:$K$1093,11,1)),0)</f>
        <v>12400</v>
      </c>
      <c r="I118" s="487"/>
      <c r="J118" s="489"/>
      <c r="K118" s="504"/>
    </row>
    <row r="119" spans="1:11" s="491" customFormat="1" ht="18.75" customHeight="1" outlineLevel="3">
      <c r="A119" s="485" t="s">
        <v>127</v>
      </c>
      <c r="B119" s="8" t="str">
        <f>IF(A119&lt;&gt;0,VLOOKUP(A119,合同台帐!$A$4:$D$893,4,1),"")</f>
        <v>物业招标服务费（全项目）</v>
      </c>
      <c r="C119" s="9"/>
      <c r="D119" s="10"/>
      <c r="E119" s="486"/>
      <c r="F119" s="487">
        <f>IF(A119&lt;&gt;0,VLOOKUP(A119,合同台帐!$A$4:$J$893,6,1),"")</f>
        <v>39911.519999999997</v>
      </c>
      <c r="G119" s="488">
        <f>F119/K2</f>
        <v>0.34299085226414322</v>
      </c>
      <c r="H119" s="486">
        <f ca="1">IF(A119&lt;&gt;0,IF($H$2="元",VLOOKUP(A119,合同台帐!$A$4:$K$1093,11,1),VLOOKUP(A119,合同台帐!$A$4:$K$1093,11,1)),0)</f>
        <v>39911.519999999997</v>
      </c>
      <c r="I119" s="487"/>
      <c r="J119" s="489"/>
      <c r="K119" s="504"/>
    </row>
    <row r="120" spans="1:11" s="484" customFormat="1" ht="24" outlineLevel="3">
      <c r="A120" s="485" t="s">
        <v>110</v>
      </c>
      <c r="B120" s="8" t="str">
        <f>IF(A120&lt;&gt;0,VLOOKUP(A120,合同台帐!$A$4:$D$893,4,1),"")</f>
        <v>景观（界外地、示范区、小院围墙）招标交易服务费</v>
      </c>
      <c r="C120" s="12"/>
      <c r="D120" s="13"/>
      <c r="E120" s="492"/>
      <c r="F120" s="487">
        <f>IF(A120&lt;&gt;0,VLOOKUP(A120,合同台帐!$A$4:$J$893,6,1),"")</f>
        <v>6400</v>
      </c>
      <c r="G120" s="488">
        <f>F120/K2</f>
        <v>5.5000196797579164E-2</v>
      </c>
      <c r="H120" s="486">
        <f ca="1">IF(A120&lt;&gt;0,IF($H$2="元",VLOOKUP(A120,合同台帐!$A$4:$K$1093,11,1),VLOOKUP(A120,合同台帐!$A$4:$K$1093,11,1)),0)</f>
        <v>6400</v>
      </c>
      <c r="I120" s="503"/>
      <c r="J120" s="495"/>
      <c r="K120" s="479"/>
    </row>
    <row r="121" spans="1:11" s="484" customFormat="1" ht="12.75" outlineLevel="3">
      <c r="A121" s="515" t="s">
        <v>152</v>
      </c>
      <c r="B121" s="8" t="str">
        <f>IF(A121&lt;&gt;0,VLOOKUP(A121,合同台帐!$A$4:$D$893,4,1),"")</f>
        <v>（三期）招标交易服务费</v>
      </c>
      <c r="C121" s="12"/>
      <c r="D121" s="13"/>
      <c r="E121" s="492"/>
      <c r="F121" s="487">
        <f>IF(A121&lt;&gt;0,VLOOKUP(A121,合同台帐!$A$4:$J$893,6,1),"")</f>
        <v>46000</v>
      </c>
      <c r="G121" s="488" t="e">
        <f>F121/K3</f>
        <v>#VALUE!</v>
      </c>
      <c r="H121" s="486">
        <f ca="1">IF(A121&lt;&gt;0,IF($H$2="元",VLOOKUP(A121,合同台帐!$A$4:$K$1093,11,1),VLOOKUP(A121,合同台帐!$A$4:$K$1093,11,1)),0)</f>
        <v>46000</v>
      </c>
      <c r="I121" s="503"/>
      <c r="J121" s="495"/>
      <c r="K121" s="479"/>
    </row>
    <row r="122" spans="1:11" s="484" customFormat="1" ht="12.75" outlineLevel="3">
      <c r="A122" s="515" t="s">
        <v>153</v>
      </c>
      <c r="B122" s="8" t="str">
        <f>IF(A122&lt;&gt;0,VLOOKUP(A122,合同台帐!$A$4:$D$893,4,1),"")</f>
        <v>（二期）招标交易服务费</v>
      </c>
      <c r="C122" s="12"/>
      <c r="D122" s="13"/>
      <c r="E122" s="492"/>
      <c r="F122" s="487">
        <f>IF(A122&lt;&gt;0,VLOOKUP(A122,合同台帐!$A$4:$J$893,6,1),"")</f>
        <v>30400</v>
      </c>
      <c r="G122" s="488" t="e">
        <f>F122/K4</f>
        <v>#DIV/0!</v>
      </c>
      <c r="H122" s="486">
        <f ca="1">IF(A122&lt;&gt;0,IF($H$2="元",VLOOKUP(A122,合同台帐!$A$4:$K$1093,11,1),VLOOKUP(A122,合同台帐!$A$4:$K$1093,11,1)),0)</f>
        <v>30400</v>
      </c>
      <c r="I122" s="503"/>
      <c r="J122" s="495"/>
      <c r="K122" s="479"/>
    </row>
    <row r="123" spans="1:11" s="484" customFormat="1" ht="12.75" outlineLevel="3">
      <c r="A123" s="405"/>
      <c r="B123" s="11"/>
      <c r="C123" s="12"/>
      <c r="D123" s="13"/>
      <c r="E123" s="492"/>
      <c r="F123" s="493"/>
      <c r="G123" s="494"/>
      <c r="H123" s="492"/>
      <c r="I123" s="503"/>
      <c r="J123" s="495"/>
      <c r="K123" s="479"/>
    </row>
    <row r="124" spans="1:11" s="484" customFormat="1" ht="12.75" outlineLevel="2">
      <c r="A124" s="18"/>
      <c r="B124" s="11" t="s">
        <v>645</v>
      </c>
      <c r="C124" s="12"/>
      <c r="D124" s="13">
        <f>E124/K$2*10000</f>
        <v>0.8000036437630379</v>
      </c>
      <c r="E124" s="492">
        <v>9.3091000000000008</v>
      </c>
      <c r="F124" s="493">
        <f>SUM(F125:F128)</f>
        <v>92210</v>
      </c>
      <c r="G124" s="493">
        <f t="shared" ref="G124:J124" si="40">SUM(G125:G128)</f>
        <v>0.79243252292262112</v>
      </c>
      <c r="H124" s="493">
        <f t="shared" ca="1" si="40"/>
        <v>92210</v>
      </c>
      <c r="I124" s="493">
        <f t="shared" si="40"/>
        <v>0</v>
      </c>
      <c r="J124" s="493">
        <f t="shared" si="40"/>
        <v>0</v>
      </c>
      <c r="K124" s="479"/>
    </row>
    <row r="125" spans="1:11" s="491" customFormat="1" ht="18.75" customHeight="1" outlineLevel="3">
      <c r="A125" s="485" t="s">
        <v>60</v>
      </c>
      <c r="B125" s="8" t="str">
        <f>IF(A125&lt;&gt;0,VLOOKUP(A125,合同台帐!$A$4:$D$893,4,1),"")</f>
        <v>支付委托保证合同（一期）</v>
      </c>
      <c r="C125" s="9"/>
      <c r="D125" s="10"/>
      <c r="E125" s="486"/>
      <c r="F125" s="487">
        <f>IF(A125&lt;&gt;0,VLOOKUP(A125,合同台帐!$A$4:$J$893,6,1),"")</f>
        <v>40000</v>
      </c>
      <c r="G125" s="488">
        <f>F125/K2</f>
        <v>0.34375122998486979</v>
      </c>
      <c r="H125" s="486">
        <f ca="1">IF(A125&lt;&gt;0,IF($H$2="元",VLOOKUP(A125,合同台帐!$A$4:$K$1093,11,1),VLOOKUP(A125,合同台帐!$A$4:$K$1093,11,1)),0)</f>
        <v>40000</v>
      </c>
      <c r="I125" s="487"/>
      <c r="J125" s="489"/>
      <c r="K125" s="504"/>
    </row>
    <row r="126" spans="1:11" s="491" customFormat="1" ht="18.75" customHeight="1" outlineLevel="3">
      <c r="A126" s="511" t="s">
        <v>114</v>
      </c>
      <c r="B126" s="8" t="str">
        <f>IF(A126&lt;&gt;0,VLOOKUP(A126,合同台帐!$A$4:$D$893,4,1),"")</f>
        <v>支付委托保证合同（二期）</v>
      </c>
      <c r="C126" s="9"/>
      <c r="D126" s="10"/>
      <c r="E126" s="486"/>
      <c r="F126" s="487">
        <f>IF(A126&lt;&gt;0,VLOOKUP(A126,合同台帐!$A$4:$J$893,6,1),"")</f>
        <v>17710</v>
      </c>
      <c r="G126" s="488">
        <f>F126/K2</f>
        <v>0.15219585707580111</v>
      </c>
      <c r="H126" s="486">
        <f ca="1">IF(A126&lt;&gt;0,IF($H$2="元",VLOOKUP(A126,合同台帐!$A$4:$K$1093,11,1),VLOOKUP(A126,合同台帐!$A$4:$K$1093,11,1)),0)</f>
        <v>17710</v>
      </c>
      <c r="I126" s="487"/>
      <c r="J126" s="489"/>
      <c r="K126" s="504"/>
    </row>
    <row r="127" spans="1:11" s="491" customFormat="1" ht="18.75" customHeight="1" outlineLevel="3">
      <c r="A127" s="511" t="s">
        <v>115</v>
      </c>
      <c r="B127" s="8" t="str">
        <f>IF(A127&lt;&gt;0,VLOOKUP(A127,合同台帐!$A$4:$D$893,4,1),"")</f>
        <v>支付委托保证合同（三期）</v>
      </c>
      <c r="C127" s="9"/>
      <c r="D127" s="10"/>
      <c r="E127" s="486"/>
      <c r="F127" s="487">
        <f>IF(A127&lt;&gt;0,VLOOKUP(A127,合同台帐!$A$4:$J$893,6,1),"")</f>
        <v>34500</v>
      </c>
      <c r="G127" s="488">
        <f>F127/K2</f>
        <v>0.2964854358619502</v>
      </c>
      <c r="H127" s="486">
        <f ca="1">IF(A127&lt;&gt;0,IF($H$2="元",VLOOKUP(A127,合同台帐!$A$4:$K$1093,11,1),VLOOKUP(A127,合同台帐!$A$4:$K$1093,11,1)),0)</f>
        <v>34500</v>
      </c>
      <c r="I127" s="487"/>
      <c r="J127" s="489"/>
      <c r="K127" s="504"/>
    </row>
    <row r="128" spans="1:11" s="484" customFormat="1" ht="12.75" outlineLevel="3">
      <c r="A128" s="18"/>
      <c r="B128" s="11"/>
      <c r="C128" s="12"/>
      <c r="D128" s="13"/>
      <c r="E128" s="492"/>
      <c r="F128" s="493"/>
      <c r="G128" s="494"/>
      <c r="H128" s="492"/>
      <c r="I128" s="503"/>
      <c r="J128" s="495"/>
      <c r="K128" s="479"/>
    </row>
    <row r="129" spans="1:11" s="484" customFormat="1" ht="12.75" outlineLevel="2">
      <c r="A129" s="18"/>
      <c r="B129" s="11" t="s">
        <v>646</v>
      </c>
      <c r="C129" s="12"/>
      <c r="D129" s="13">
        <f>E129/K$2*10000</f>
        <v>5.1963584369700326</v>
      </c>
      <c r="E129" s="492">
        <v>60.466500000000003</v>
      </c>
      <c r="F129" s="493">
        <f>SUM(F130:F132)</f>
        <v>509694.3</v>
      </c>
      <c r="G129" s="493">
        <f t="shared" ref="G129:J129" si="41">SUM(G130:G132)</f>
        <v>4.3802010635319304</v>
      </c>
      <c r="H129" s="493">
        <f t="shared" ca="1" si="41"/>
        <v>190000</v>
      </c>
      <c r="I129" s="493">
        <f t="shared" si="41"/>
        <v>0</v>
      </c>
      <c r="J129" s="493">
        <f t="shared" si="41"/>
        <v>0</v>
      </c>
      <c r="K129" s="479"/>
    </row>
    <row r="130" spans="1:11" s="491" customFormat="1" ht="12.75" outlineLevel="3">
      <c r="A130" s="485" t="s">
        <v>74</v>
      </c>
      <c r="B130" s="8" t="str">
        <f>IF(A130&lt;&gt;0,VLOOKUP(A130,合同台帐!$A$4:$D$893,4,1),"")</f>
        <v>（一、三期）造价咨询合同</v>
      </c>
      <c r="C130" s="9"/>
      <c r="D130" s="10"/>
      <c r="E130" s="486"/>
      <c r="F130" s="487">
        <f>IF(A130&lt;&gt;0,VLOOKUP(A130,合同台帐!$A$4:$J$893,6,1),"")</f>
        <v>300000</v>
      </c>
      <c r="G130" s="488">
        <f>F130/K2</f>
        <v>2.5781342248865236</v>
      </c>
      <c r="H130" s="486">
        <f ca="1">IF(A130&lt;&gt;0,IF($H$2="元",VLOOKUP(A130,合同台帐!$A$4:$K$1093,11,1),VLOOKUP(A130,合同台帐!$A$4:$K$1093,11,1)),0)</f>
        <v>140000</v>
      </c>
      <c r="I130" s="503"/>
      <c r="J130" s="489"/>
      <c r="K130" s="504"/>
    </row>
    <row r="131" spans="1:11" s="491" customFormat="1" ht="12.75" outlineLevel="3">
      <c r="A131" s="485" t="s">
        <v>113</v>
      </c>
      <c r="B131" s="8" t="str">
        <f>IF(A131&lt;&gt;0,VLOOKUP(A131,合同台帐!$A$4:$D$893,4,1),"")</f>
        <v>（二期）造价咨询合同</v>
      </c>
      <c r="C131" s="9"/>
      <c r="D131" s="10"/>
      <c r="E131" s="486"/>
      <c r="F131" s="487">
        <f>IF(A131&lt;&gt;0,VLOOKUP(A131,合同台帐!$A$4:$J$893,6,1),"")</f>
        <v>209694.3</v>
      </c>
      <c r="G131" s="488">
        <f>F131/K2</f>
        <v>1.8020668386454068</v>
      </c>
      <c r="H131" s="486">
        <f ca="1">IF(A131&lt;&gt;0,IF($H$2="元",VLOOKUP(A131,合同台帐!$A$4:$K$1093,11,1),VLOOKUP(A131,合同台帐!$A$4:$K$1093,11,1)),0)</f>
        <v>50000</v>
      </c>
      <c r="I131" s="503"/>
      <c r="J131" s="489"/>
      <c r="K131" s="504"/>
    </row>
    <row r="132" spans="1:11" s="484" customFormat="1" ht="12.75" outlineLevel="3">
      <c r="A132" s="18"/>
      <c r="B132" s="11"/>
      <c r="C132" s="12"/>
      <c r="D132" s="13"/>
      <c r="E132" s="492"/>
      <c r="F132" s="493"/>
      <c r="G132" s="494"/>
      <c r="H132" s="492"/>
      <c r="I132" s="503"/>
      <c r="J132" s="495"/>
      <c r="K132" s="479"/>
    </row>
    <row r="133" spans="1:11" ht="12.75" outlineLevel="1">
      <c r="A133" s="5"/>
      <c r="B133" s="6" t="s">
        <v>647</v>
      </c>
      <c r="C133" s="7" t="s">
        <v>642</v>
      </c>
      <c r="D133" s="497">
        <f t="shared" ref="D133:J133" si="42">D134+D138+D141+D144</f>
        <v>4.9114574175585721</v>
      </c>
      <c r="E133" s="497">
        <f t="shared" si="42"/>
        <v>57.151299999999999</v>
      </c>
      <c r="F133" s="497">
        <f t="shared" si="42"/>
        <v>337500</v>
      </c>
      <c r="G133" s="497">
        <f t="shared" si="42"/>
        <v>2.9004010029973388</v>
      </c>
      <c r="H133" s="497">
        <f t="shared" ca="1" si="42"/>
        <v>337500</v>
      </c>
      <c r="I133" s="497">
        <f t="shared" si="42"/>
        <v>0</v>
      </c>
      <c r="J133" s="497">
        <f t="shared" si="42"/>
        <v>0</v>
      </c>
      <c r="K133" s="479"/>
    </row>
    <row r="134" spans="1:11" s="484" customFormat="1" ht="12.75" outlineLevel="2">
      <c r="A134" s="18"/>
      <c r="B134" s="11" t="s">
        <v>648</v>
      </c>
      <c r="C134" s="12"/>
      <c r="D134" s="13">
        <f>E134/K$2*10000</f>
        <v>2.0059001461114603</v>
      </c>
      <c r="E134" s="492">
        <v>23.3413</v>
      </c>
      <c r="F134" s="493">
        <f>SUM(F135:F137)</f>
        <v>232500</v>
      </c>
      <c r="G134" s="493">
        <f t="shared" ref="G134:H134" si="43">SUM(G135:G137)</f>
        <v>1.9980540242870557</v>
      </c>
      <c r="H134" s="493">
        <f t="shared" ca="1" si="43"/>
        <v>232500</v>
      </c>
      <c r="I134" s="493">
        <f t="shared" ref="I134:J134" si="44">SUM(I136:I137)</f>
        <v>0</v>
      </c>
      <c r="J134" s="493">
        <f t="shared" si="44"/>
        <v>0</v>
      </c>
      <c r="K134" s="479"/>
    </row>
    <row r="135" spans="1:11" s="491" customFormat="1" ht="12.75" outlineLevel="3">
      <c r="A135" s="485" t="s">
        <v>44</v>
      </c>
      <c r="B135" s="8" t="str">
        <f>IF(A135&lt;&gt;0,VLOOKUP(A135,合同台帐!$A$4:$D$893,4,1),"")</f>
        <v>技术咨询合同(环评）</v>
      </c>
      <c r="C135" s="9"/>
      <c r="D135" s="10"/>
      <c r="E135" s="486"/>
      <c r="F135" s="487">
        <f>IF(A135&lt;&gt;0,VLOOKUP(A135,合同台帐!$A$4:$J$893,6,1),"")</f>
        <v>165000</v>
      </c>
      <c r="G135" s="488">
        <f>F135/K2</f>
        <v>1.4179738236875878</v>
      </c>
      <c r="H135" s="486">
        <f ca="1">IF(A135&lt;&gt;0,IF($H$2="元",VLOOKUP(A135,合同台帐!$A$4:$K$1093,11,1),VLOOKUP(A135,合同台帐!$A$4:$K$1093,11,1)),0)</f>
        <v>165000</v>
      </c>
      <c r="I135" s="503"/>
      <c r="J135" s="489"/>
      <c r="K135" s="504"/>
    </row>
    <row r="136" spans="1:11" s="491" customFormat="1" ht="12.75" outlineLevel="3">
      <c r="A136" s="485" t="s">
        <v>66</v>
      </c>
      <c r="B136" s="8" t="str">
        <f>IF(A136&lt;&gt;0,VLOOKUP(A136,合同台帐!$A$4:$D$893,4,1),"")</f>
        <v>环境报告评估合同</v>
      </c>
      <c r="C136" s="9"/>
      <c r="D136" s="10"/>
      <c r="E136" s="486"/>
      <c r="F136" s="487">
        <f>IF(A136&lt;&gt;0,VLOOKUP(A136,合同台帐!$A$4:$J$893,6,1),"")</f>
        <v>67500</v>
      </c>
      <c r="G136" s="488">
        <f>F136/K2</f>
        <v>0.58008020059946774</v>
      </c>
      <c r="H136" s="486">
        <f ca="1">IF(A136&lt;&gt;0,IF($H$2="元",VLOOKUP(A136,合同台帐!$A$4:$K$1093,11,1),VLOOKUP(A136,合同台帐!$A$4:$K$1093,11,1)),0)</f>
        <v>67500</v>
      </c>
      <c r="I136" s="503"/>
      <c r="J136" s="489"/>
      <c r="K136" s="504"/>
    </row>
    <row r="137" spans="1:11" s="484" customFormat="1" ht="12.75" outlineLevel="3">
      <c r="A137" s="18"/>
      <c r="B137" s="11"/>
      <c r="C137" s="12"/>
      <c r="D137" s="13"/>
      <c r="E137" s="492"/>
      <c r="F137" s="493"/>
      <c r="G137" s="494"/>
      <c r="H137" s="492"/>
      <c r="I137" s="503"/>
      <c r="J137" s="495"/>
      <c r="K137" s="479"/>
    </row>
    <row r="138" spans="1:11" s="484" customFormat="1" ht="12.75" outlineLevel="2">
      <c r="A138" s="18"/>
      <c r="B138" s="11" t="s">
        <v>649</v>
      </c>
      <c r="C138" s="12"/>
      <c r="D138" s="13">
        <f>E138/K$2*10000</f>
        <v>1.9999962187364704</v>
      </c>
      <c r="E138" s="492">
        <v>23.272600000000001</v>
      </c>
      <c r="F138" s="493">
        <f>SUM(F139:F140)</f>
        <v>0</v>
      </c>
      <c r="G138" s="493">
        <f t="shared" ref="G138:H138" si="45">SUM(G139:G140)</f>
        <v>0</v>
      </c>
      <c r="H138" s="493">
        <f t="shared" si="45"/>
        <v>0</v>
      </c>
      <c r="I138" s="503"/>
      <c r="J138" s="495"/>
      <c r="K138" s="479"/>
    </row>
    <row r="139" spans="1:11" s="491" customFormat="1" ht="12.75" outlineLevel="3">
      <c r="A139" s="511"/>
      <c r="B139" s="8" t="str">
        <f>IF(A139&lt;&gt;0,VLOOKUP(A139,合同台帐!$A$4:$D$893,4,1),"")</f>
        <v/>
      </c>
      <c r="C139" s="9"/>
      <c r="D139" s="10"/>
      <c r="E139" s="486"/>
      <c r="F139" s="487" t="str">
        <f>IF(A139&lt;&gt;0,VLOOKUP(A139,合同台帐!$A$4:$J$893,6,1),"")</f>
        <v/>
      </c>
      <c r="G139" s="488"/>
      <c r="H139" s="486">
        <f>IF(A139&lt;&gt;0,IF($H$2="元",VLOOKUP(A139,合同台帐!$A$4:$K$1093,11,1),VLOOKUP(A139,合同台帐!$A$4:$K$1093,11,1)),0)</f>
        <v>0</v>
      </c>
      <c r="I139" s="487"/>
      <c r="J139" s="489"/>
      <c r="K139" s="504"/>
    </row>
    <row r="140" spans="1:11" s="484" customFormat="1" ht="12.75" outlineLevel="3">
      <c r="A140" s="18"/>
      <c r="B140" s="11"/>
      <c r="C140" s="12"/>
      <c r="D140" s="13"/>
      <c r="E140" s="492"/>
      <c r="F140" s="493"/>
      <c r="G140" s="494"/>
      <c r="H140" s="492"/>
      <c r="I140" s="503"/>
      <c r="J140" s="495"/>
      <c r="K140" s="479"/>
    </row>
    <row r="141" spans="1:11" s="484" customFormat="1" ht="12.75" outlineLevel="2">
      <c r="A141" s="18"/>
      <c r="B141" s="11" t="s">
        <v>650</v>
      </c>
      <c r="C141" s="12"/>
      <c r="D141" s="13">
        <f>E141/K$2*10000</f>
        <v>0</v>
      </c>
      <c r="E141" s="492">
        <v>0</v>
      </c>
      <c r="F141" s="493">
        <f>SUM(F142:F143)</f>
        <v>0</v>
      </c>
      <c r="G141" s="493">
        <f t="shared" ref="G141:H141" si="46">SUM(G142:G143)</f>
        <v>0</v>
      </c>
      <c r="H141" s="493">
        <f t="shared" si="46"/>
        <v>0</v>
      </c>
      <c r="I141" s="503"/>
      <c r="J141" s="495"/>
      <c r="K141" s="479"/>
    </row>
    <row r="142" spans="1:11" s="484" customFormat="1" ht="12.75" outlineLevel="3">
      <c r="A142" s="405"/>
      <c r="B142" s="11"/>
      <c r="C142" s="12"/>
      <c r="D142" s="13"/>
      <c r="E142" s="492"/>
      <c r="F142" s="493"/>
      <c r="G142" s="494"/>
      <c r="H142" s="492"/>
      <c r="I142" s="503"/>
      <c r="J142" s="495"/>
      <c r="K142" s="479"/>
    </row>
    <row r="143" spans="1:11" s="484" customFormat="1" ht="12.75" outlineLevel="3">
      <c r="A143" s="405"/>
      <c r="B143" s="11"/>
      <c r="C143" s="12"/>
      <c r="D143" s="13"/>
      <c r="E143" s="492"/>
      <c r="F143" s="493"/>
      <c r="G143" s="494"/>
      <c r="H143" s="492"/>
      <c r="I143" s="503"/>
      <c r="J143" s="495"/>
      <c r="K143" s="479"/>
    </row>
    <row r="144" spans="1:11" s="484" customFormat="1" ht="12.75" outlineLevel="2">
      <c r="A144" s="18"/>
      <c r="B144" s="11" t="s">
        <v>651</v>
      </c>
      <c r="C144" s="12"/>
      <c r="D144" s="13">
        <f>E144/K$2*10000</f>
        <v>0.90556105271064169</v>
      </c>
      <c r="E144" s="492">
        <v>10.5374</v>
      </c>
      <c r="F144" s="493">
        <f>SUM(F145:F146)</f>
        <v>105000</v>
      </c>
      <c r="G144" s="493">
        <f t="shared" ref="G144:J144" si="47">SUM(G145:G146)</f>
        <v>0.90234697871028324</v>
      </c>
      <c r="H144" s="493">
        <f t="shared" ca="1" si="47"/>
        <v>105000</v>
      </c>
      <c r="I144" s="493">
        <f t="shared" si="47"/>
        <v>0</v>
      </c>
      <c r="J144" s="493">
        <f t="shared" si="47"/>
        <v>0</v>
      </c>
      <c r="K144" s="479"/>
    </row>
    <row r="145" spans="1:11" s="491" customFormat="1" ht="24" outlineLevel="3">
      <c r="A145" s="485" t="s">
        <v>46</v>
      </c>
      <c r="B145" s="8" t="str">
        <f>IF(A145&lt;&gt;0,VLOOKUP(A145,合同台帐!$A$4:$D$893,4,1),"")</f>
        <v>固定资产投资项目合理用能评估合同（能评）</v>
      </c>
      <c r="C145" s="9"/>
      <c r="D145" s="10"/>
      <c r="E145" s="486"/>
      <c r="F145" s="487">
        <f>IF(A145&lt;&gt;0,VLOOKUP(A145,合同台帐!$A$4:$J$893,6,1),"")</f>
        <v>105000</v>
      </c>
      <c r="G145" s="488">
        <f>F145/K2</f>
        <v>0.90234697871028324</v>
      </c>
      <c r="H145" s="486">
        <f ca="1">IF(A145&lt;&gt;0,IF($H$2="元",VLOOKUP(A145,合同台帐!$A$4:$K$1093,11,1),VLOOKUP(A145,合同台帐!$A$4:$K$1093,11,1)),0)</f>
        <v>105000</v>
      </c>
      <c r="I145" s="503"/>
      <c r="J145" s="489"/>
      <c r="K145" s="504"/>
    </row>
    <row r="146" spans="1:11" s="484" customFormat="1" ht="12.75" outlineLevel="3">
      <c r="A146" s="405"/>
      <c r="B146" s="11"/>
      <c r="C146" s="12"/>
      <c r="D146" s="13"/>
      <c r="E146" s="492"/>
      <c r="F146" s="493"/>
      <c r="G146" s="494"/>
      <c r="H146" s="492"/>
      <c r="I146" s="503"/>
      <c r="J146" s="495"/>
      <c r="K146" s="479"/>
    </row>
    <row r="147" spans="1:11" ht="27" customHeight="1" outlineLevel="1">
      <c r="A147" s="5"/>
      <c r="B147" s="6" t="s">
        <v>652</v>
      </c>
      <c r="C147" s="7" t="s">
        <v>642</v>
      </c>
      <c r="D147" s="497">
        <f>D148+D152+D156+D159+D162+D165</f>
        <v>7.4590837207839389</v>
      </c>
      <c r="E147" s="497">
        <f t="shared" ref="E147:H147" si="48">E148+E152+E156+E159+E162+E165</f>
        <v>86.796300000000016</v>
      </c>
      <c r="F147" s="497">
        <f t="shared" si="48"/>
        <v>804078.16</v>
      </c>
      <c r="G147" s="497" t="e">
        <f t="shared" si="48"/>
        <v>#VALUE!</v>
      </c>
      <c r="H147" s="497">
        <f t="shared" ca="1" si="48"/>
        <v>663178.55000000005</v>
      </c>
      <c r="I147" s="482">
        <f>F147-E147*10000</f>
        <v>-63884.840000000084</v>
      </c>
      <c r="J147" s="483" t="e">
        <f>G147-D147</f>
        <v>#VALUE!</v>
      </c>
      <c r="K147" s="479"/>
    </row>
    <row r="148" spans="1:11" s="484" customFormat="1" ht="12.75" outlineLevel="2">
      <c r="A148" s="18"/>
      <c r="B148" s="11" t="s">
        <v>653</v>
      </c>
      <c r="C148" s="12"/>
      <c r="D148" s="13">
        <f>E148/K$2*10000</f>
        <v>2.4000023375083637</v>
      </c>
      <c r="E148" s="492">
        <v>27.927199999999999</v>
      </c>
      <c r="F148" s="493">
        <f>SUM(F149:F151)</f>
        <v>278277.09999999998</v>
      </c>
      <c r="G148" s="493">
        <f t="shared" ref="G148:H148" si="49">SUM(G149:G151)</f>
        <v>2.3914523850405649</v>
      </c>
      <c r="H148" s="493">
        <f t="shared" ca="1" si="49"/>
        <v>137377.49</v>
      </c>
      <c r="I148" s="503"/>
      <c r="J148" s="495"/>
      <c r="K148" s="479"/>
    </row>
    <row r="149" spans="1:11" s="491" customFormat="1" ht="12.75" outlineLevel="3">
      <c r="A149" s="485" t="s">
        <v>48</v>
      </c>
      <c r="B149" s="8" t="str">
        <f>IF(A149&lt;&gt;0,VLOOKUP(A149,合同台帐!$A$4:$D$893,4,1),"")</f>
        <v>墙改费（一期）</v>
      </c>
      <c r="C149" s="9"/>
      <c r="D149" s="10"/>
      <c r="E149" s="486"/>
      <c r="F149" s="487">
        <f>IF(A149&lt;&gt;0,VLOOKUP(A149,合同台帐!$A$4:$J$893,6,1),"")</f>
        <v>137377.49</v>
      </c>
      <c r="G149" s="488">
        <f>F149/K2</f>
        <v>1.1805920289933536</v>
      </c>
      <c r="H149" s="486">
        <f ca="1">IF(A149&lt;&gt;0,IF($H$2="元",VLOOKUP(A149,合同台帐!$A$4:$K$1093,11,1),VLOOKUP(A149,合同台帐!$A$4:$K$1093,11,1)),0)</f>
        <v>137377.49</v>
      </c>
      <c r="I149" s="503"/>
      <c r="J149" s="489"/>
      <c r="K149" s="504"/>
    </row>
    <row r="150" spans="1:11" s="491" customFormat="1" ht="12.75" outlineLevel="3">
      <c r="A150" s="485" t="s">
        <v>136</v>
      </c>
      <c r="B150" s="8" t="str">
        <f>IF(A150&lt;&gt;0,VLOOKUP(A150,合同台帐!$A$4:$D$893,4,1),"")</f>
        <v>二、三期墙改费</v>
      </c>
      <c r="C150" s="9"/>
      <c r="D150" s="10"/>
      <c r="E150" s="486"/>
      <c r="F150" s="487">
        <f>IF(A150&lt;&gt;0,VLOOKUP(A150,合同台帐!$A$4:$J$893,6,1),"")</f>
        <v>140899.60999999999</v>
      </c>
      <c r="G150" s="488">
        <f>F150/K2</f>
        <v>1.2108603560472113</v>
      </c>
      <c r="H150" s="486">
        <f ca="1">IF(A150&lt;&gt;0,IF($H$2="元",VLOOKUP(A150,合同台帐!$A$4:$K$1093,11,1),VLOOKUP(A150,合同台帐!$A$4:$K$1093,11,1)),0)</f>
        <v>0</v>
      </c>
      <c r="I150" s="503"/>
      <c r="J150" s="489"/>
      <c r="K150" s="504"/>
    </row>
    <row r="151" spans="1:11" s="484" customFormat="1" ht="12.75" outlineLevel="3">
      <c r="A151" s="18"/>
      <c r="B151" s="11"/>
      <c r="C151" s="12"/>
      <c r="D151" s="13"/>
      <c r="E151" s="492"/>
      <c r="F151" s="493"/>
      <c r="G151" s="494"/>
      <c r="H151" s="492"/>
      <c r="I151" s="503"/>
      <c r="J151" s="495"/>
      <c r="K151" s="479"/>
    </row>
    <row r="152" spans="1:11" s="484" customFormat="1" ht="12.75" outlineLevel="2">
      <c r="A152" s="18"/>
      <c r="B152" s="11" t="s">
        <v>654</v>
      </c>
      <c r="C152" s="12"/>
      <c r="D152" s="13">
        <f>E152/K$2*10000</f>
        <v>0.90000087656563643</v>
      </c>
      <c r="E152" s="492">
        <v>10.4727</v>
      </c>
      <c r="F152" s="493">
        <f>SUM(F153:F155)</f>
        <v>103636.91</v>
      </c>
      <c r="G152" s="493" t="e">
        <f t="shared" ref="G152:H152" si="50">SUM(G153:G155)</f>
        <v>#VALUE!</v>
      </c>
      <c r="H152" s="493">
        <f t="shared" ca="1" si="50"/>
        <v>103636.91</v>
      </c>
      <c r="I152" s="503"/>
      <c r="J152" s="495"/>
      <c r="K152" s="479"/>
    </row>
    <row r="153" spans="1:11" s="491" customFormat="1" ht="12.75" outlineLevel="3">
      <c r="A153" s="485" t="s">
        <v>62</v>
      </c>
      <c r="B153" s="8" t="str">
        <f>IF(A153&lt;&gt;0,VLOOKUP(A153,合同台帐!$A$4:$D$893,4,1),"")</f>
        <v>水泥基金（一期）</v>
      </c>
      <c r="C153" s="9"/>
      <c r="D153" s="10"/>
      <c r="E153" s="486"/>
      <c r="F153" s="487">
        <f>IF(A153&lt;&gt;0,VLOOKUP(A153,合同台帐!$A$4:$J$893,6,1),"")</f>
        <v>51516.56</v>
      </c>
      <c r="G153" s="488">
        <f>F153/K2</f>
        <v>0.44272202161473356</v>
      </c>
      <c r="H153" s="486">
        <f ca="1">IF(A153&lt;&gt;0,IF($H$2="元",VLOOKUP(A153,合同台帐!$A$4:$K$1093,11,1),VLOOKUP(A153,合同台帐!$A$4:$K$1093,11,1)),0)</f>
        <v>51516.56</v>
      </c>
      <c r="I153" s="503"/>
      <c r="J153" s="489"/>
      <c r="K153" s="504"/>
    </row>
    <row r="154" spans="1:11" s="491" customFormat="1" ht="12.75" outlineLevel="3">
      <c r="A154" s="515" t="s">
        <v>154</v>
      </c>
      <c r="B154" s="8" t="str">
        <f>IF(A154&lt;&gt;0,VLOOKUP(A154,合同台帐!$A$4:$D$893,4,1),"")</f>
        <v>（二、三期）水泥专项基金</v>
      </c>
      <c r="C154" s="9"/>
      <c r="D154" s="10"/>
      <c r="E154" s="486"/>
      <c r="F154" s="487">
        <f>IF(A154&lt;&gt;0,VLOOKUP(A154,合同台帐!$A$4:$J$893,6,1),"")</f>
        <v>52120.35</v>
      </c>
      <c r="G154" s="488" t="e">
        <f>F154/K3</f>
        <v>#VALUE!</v>
      </c>
      <c r="H154" s="486">
        <f ca="1">IF(A154&lt;&gt;0,IF($H$2="元",VLOOKUP(A154,合同台帐!$A$4:$K$1093,11,1),VLOOKUP(A154,合同台帐!$A$4:$K$1093,11,1)),0)</f>
        <v>52120.35</v>
      </c>
      <c r="I154" s="503"/>
      <c r="J154" s="489"/>
      <c r="K154" s="504"/>
    </row>
    <row r="155" spans="1:11" s="484" customFormat="1" ht="12.75" outlineLevel="3">
      <c r="A155" s="405"/>
      <c r="B155" s="11"/>
      <c r="C155" s="12"/>
      <c r="D155" s="13"/>
      <c r="E155" s="492"/>
      <c r="F155" s="493"/>
      <c r="G155" s="494"/>
      <c r="H155" s="492"/>
      <c r="I155" s="503"/>
      <c r="J155" s="495"/>
      <c r="K155" s="479"/>
    </row>
    <row r="156" spans="1:11" s="484" customFormat="1" ht="12.75" outlineLevel="2">
      <c r="A156" s="18"/>
      <c r="B156" s="11" t="s">
        <v>655</v>
      </c>
      <c r="C156" s="12"/>
      <c r="D156" s="13">
        <f>E156/K$2*10000</f>
        <v>2.9247042149572691</v>
      </c>
      <c r="E156" s="492">
        <v>34.032800000000002</v>
      </c>
      <c r="F156" s="493">
        <f>SUM(F157:F158)</f>
        <v>339000</v>
      </c>
      <c r="G156" s="493">
        <f t="shared" ref="G156:H156" si="51">SUM(G157:G158)</f>
        <v>2.9132916741217714</v>
      </c>
      <c r="H156" s="493">
        <f t="shared" ca="1" si="51"/>
        <v>339000</v>
      </c>
      <c r="I156" s="503"/>
      <c r="J156" s="495"/>
      <c r="K156" s="479"/>
    </row>
    <row r="157" spans="1:11" s="491" customFormat="1" ht="12.75" outlineLevel="3">
      <c r="A157" s="485" t="s">
        <v>49</v>
      </c>
      <c r="B157" s="8" t="str">
        <f>IF(A157&lt;&gt;0,VLOOKUP(A157,合同台帐!$A$4:$D$893,4,1),"")</f>
        <v>人防易地建设费</v>
      </c>
      <c r="C157" s="9"/>
      <c r="D157" s="10"/>
      <c r="E157" s="486"/>
      <c r="F157" s="487">
        <f>IF(A157&lt;&gt;0,VLOOKUP(A157,合同台帐!$A$4:$J$893,6,1),"")</f>
        <v>339000</v>
      </c>
      <c r="G157" s="488">
        <f>F157/K2</f>
        <v>2.9132916741217714</v>
      </c>
      <c r="H157" s="486">
        <f ca="1">IF(A157&lt;&gt;0,IF($H$2="元",VLOOKUP(A157,合同台帐!$A$4:$K$1093,11,1),VLOOKUP(A157,合同台帐!$A$4:$K$1093,11,1)),0)</f>
        <v>339000</v>
      </c>
      <c r="I157" s="503"/>
      <c r="J157" s="489"/>
      <c r="K157" s="504"/>
    </row>
    <row r="158" spans="1:11" s="484" customFormat="1" ht="12.75" outlineLevel="3">
      <c r="A158" s="18"/>
      <c r="B158" s="11"/>
      <c r="C158" s="12"/>
      <c r="D158" s="13"/>
      <c r="E158" s="492"/>
      <c r="F158" s="493"/>
      <c r="G158" s="494"/>
      <c r="H158" s="492"/>
      <c r="I158" s="503"/>
      <c r="J158" s="495"/>
      <c r="K158" s="479"/>
    </row>
    <row r="159" spans="1:11" s="484" customFormat="1" ht="12.75" outlineLevel="2">
      <c r="A159" s="18"/>
      <c r="B159" s="11" t="s">
        <v>656</v>
      </c>
      <c r="C159" s="12"/>
      <c r="D159" s="13">
        <f>E159/K$2*10000</f>
        <v>0.69999781717968967</v>
      </c>
      <c r="E159" s="492">
        <v>8.1454000000000004</v>
      </c>
      <c r="F159" s="493">
        <f>SUM(F160:F161)</f>
        <v>83164.149999999994</v>
      </c>
      <c r="G159" s="493">
        <f t="shared" ref="G159:H159" si="52">SUM(G160:G161)</f>
        <v>0.71469447132865516</v>
      </c>
      <c r="H159" s="493">
        <f t="shared" ca="1" si="52"/>
        <v>83164.149999999994</v>
      </c>
      <c r="I159" s="503"/>
      <c r="J159" s="495"/>
      <c r="K159" s="479"/>
    </row>
    <row r="160" spans="1:11" s="491" customFormat="1" ht="12.75" outlineLevel="3">
      <c r="A160" s="485" t="s">
        <v>52</v>
      </c>
      <c r="B160" s="8" t="str">
        <f>IF(A160&lt;&gt;0,VLOOKUP(A160,合同台帐!$A$4:$D$893,4,1),"")</f>
        <v>地名标志费及地名公告费</v>
      </c>
      <c r="C160" s="9"/>
      <c r="D160" s="10"/>
      <c r="E160" s="486"/>
      <c r="F160" s="487">
        <f>IF(A160&lt;&gt;0,VLOOKUP(A160,合同台帐!$A$4:$J$893,6,1),"")</f>
        <v>83164.149999999994</v>
      </c>
      <c r="G160" s="488">
        <f>F160/K2</f>
        <v>0.71469447132865516</v>
      </c>
      <c r="H160" s="486">
        <f ca="1">IF(A160&lt;&gt;0,IF($H$2="元",VLOOKUP(A160,合同台帐!$A$4:$K$1093,11,1),VLOOKUP(A160,合同台帐!$A$4:$K$1093,11,1)),0)</f>
        <v>83164.149999999994</v>
      </c>
      <c r="I160" s="503"/>
      <c r="J160" s="489"/>
      <c r="K160" s="504"/>
    </row>
    <row r="161" spans="1:11" s="484" customFormat="1" ht="12.75" outlineLevel="3">
      <c r="A161" s="405"/>
      <c r="B161" s="11"/>
      <c r="C161" s="12"/>
      <c r="D161" s="13"/>
      <c r="E161" s="492"/>
      <c r="F161" s="493"/>
      <c r="G161" s="494"/>
      <c r="H161" s="492"/>
      <c r="I161" s="503"/>
      <c r="J161" s="495"/>
      <c r="K161" s="479"/>
    </row>
    <row r="162" spans="1:11" s="484" customFormat="1" ht="12.75" outlineLevel="2">
      <c r="A162" s="18"/>
      <c r="B162" s="11" t="s">
        <v>657</v>
      </c>
      <c r="C162" s="12"/>
      <c r="D162" s="13">
        <f>E162/K$2*10000</f>
        <v>3.4375122998486982E-2</v>
      </c>
      <c r="E162" s="492">
        <v>0.4</v>
      </c>
      <c r="F162" s="493">
        <f>SUM(F163:F164)</f>
        <v>0</v>
      </c>
      <c r="G162" s="493">
        <f t="shared" ref="G162:H162" si="53">SUM(G163:G164)</f>
        <v>0</v>
      </c>
      <c r="H162" s="493">
        <f t="shared" si="53"/>
        <v>0</v>
      </c>
      <c r="I162" s="503"/>
      <c r="J162" s="495"/>
      <c r="K162" s="479"/>
    </row>
    <row r="163" spans="1:11" s="484" customFormat="1" ht="12.75" outlineLevel="3">
      <c r="A163" s="405"/>
      <c r="B163" s="11"/>
      <c r="C163" s="12"/>
      <c r="D163" s="13"/>
      <c r="E163" s="492"/>
      <c r="F163" s="493"/>
      <c r="G163" s="494"/>
      <c r="H163" s="492"/>
      <c r="I163" s="503"/>
      <c r="J163" s="495"/>
      <c r="K163" s="479"/>
    </row>
    <row r="164" spans="1:11" s="484" customFormat="1" ht="12.75" outlineLevel="3">
      <c r="A164" s="405"/>
      <c r="B164" s="11"/>
      <c r="C164" s="12"/>
      <c r="D164" s="13"/>
      <c r="E164" s="492"/>
      <c r="F164" s="493"/>
      <c r="G164" s="494"/>
      <c r="H164" s="492"/>
      <c r="I164" s="503"/>
      <c r="J164" s="495"/>
      <c r="K164" s="479"/>
    </row>
    <row r="165" spans="1:11" s="484" customFormat="1" ht="12.75" outlineLevel="2">
      <c r="A165" s="18"/>
      <c r="B165" s="11" t="s">
        <v>658</v>
      </c>
      <c r="C165" s="12"/>
      <c r="D165" s="13">
        <f>E165/K$2*10000</f>
        <v>0.50000335157449238</v>
      </c>
      <c r="E165" s="492">
        <v>5.8182</v>
      </c>
      <c r="F165" s="493">
        <f>SUM(F166:F167)</f>
        <v>0</v>
      </c>
      <c r="G165" s="493">
        <f t="shared" ref="G165:H165" si="54">SUM(G166:G167)</f>
        <v>0</v>
      </c>
      <c r="H165" s="493">
        <f t="shared" si="54"/>
        <v>0</v>
      </c>
      <c r="I165" s="503"/>
      <c r="J165" s="495"/>
      <c r="K165" s="479"/>
    </row>
    <row r="166" spans="1:11" s="484" customFormat="1" ht="12.75" outlineLevel="3">
      <c r="A166" s="405"/>
      <c r="B166" s="11"/>
      <c r="C166" s="12"/>
      <c r="D166" s="13"/>
      <c r="E166" s="492"/>
      <c r="F166" s="493"/>
      <c r="G166" s="494"/>
      <c r="H166" s="492"/>
      <c r="I166" s="503"/>
      <c r="J166" s="495"/>
      <c r="K166" s="479"/>
    </row>
    <row r="167" spans="1:11" s="484" customFormat="1" ht="12.75" outlineLevel="3">
      <c r="A167" s="405"/>
      <c r="B167" s="11"/>
      <c r="C167" s="12"/>
      <c r="D167" s="13"/>
      <c r="E167" s="492"/>
      <c r="F167" s="493"/>
      <c r="G167" s="494"/>
      <c r="H167" s="492"/>
      <c r="I167" s="503"/>
      <c r="J167" s="495"/>
      <c r="K167" s="479"/>
    </row>
    <row r="168" spans="1:11" ht="12" customHeight="1" outlineLevel="1">
      <c r="A168" s="5"/>
      <c r="B168" s="6" t="s">
        <v>2365</v>
      </c>
      <c r="C168" s="7" t="s">
        <v>642</v>
      </c>
      <c r="D168" s="497">
        <f t="shared" ref="D168:H168" si="55">D169+D172+D175+D178+D181+D184</f>
        <v>4.3486507162658432</v>
      </c>
      <c r="E168" s="497">
        <f t="shared" si="55"/>
        <v>50.6023</v>
      </c>
      <c r="F168" s="497">
        <f t="shared" si="55"/>
        <v>21981</v>
      </c>
      <c r="G168" s="497" t="e">
        <f t="shared" si="55"/>
        <v>#DIV/0!</v>
      </c>
      <c r="H168" s="497">
        <f t="shared" ca="1" si="55"/>
        <v>21981</v>
      </c>
      <c r="I168" s="482">
        <f>F168-E168*10000</f>
        <v>-484042</v>
      </c>
      <c r="J168" s="483" t="e">
        <f>G168-D168</f>
        <v>#DIV/0!</v>
      </c>
      <c r="K168" s="479"/>
    </row>
    <row r="169" spans="1:11" s="484" customFormat="1" ht="12.75" outlineLevel="2">
      <c r="A169" s="18"/>
      <c r="B169" s="11" t="s">
        <v>2366</v>
      </c>
      <c r="C169" s="12"/>
      <c r="D169" s="13">
        <f>E169/K$2*10000</f>
        <v>0.89313444574668854</v>
      </c>
      <c r="E169" s="492">
        <v>10.392799999999999</v>
      </c>
      <c r="F169" s="493">
        <f>SUM(F170:F171)</f>
        <v>0</v>
      </c>
      <c r="G169" s="493">
        <f t="shared" ref="G169:H169" si="56">SUM(G170:G171)</f>
        <v>0</v>
      </c>
      <c r="H169" s="493">
        <f t="shared" si="56"/>
        <v>0</v>
      </c>
      <c r="I169" s="503"/>
      <c r="J169" s="495"/>
      <c r="K169" s="479"/>
    </row>
    <row r="170" spans="1:11" s="484" customFormat="1" ht="12" customHeight="1" outlineLevel="1">
      <c r="A170" s="15"/>
      <c r="B170" s="16"/>
      <c r="C170" s="12"/>
      <c r="D170" s="13"/>
      <c r="E170" s="492"/>
      <c r="F170" s="493"/>
      <c r="G170" s="500"/>
      <c r="H170" s="516"/>
      <c r="I170" s="501"/>
      <c r="J170" s="495"/>
      <c r="K170" s="505"/>
    </row>
    <row r="171" spans="1:11" s="484" customFormat="1" ht="12.75" outlineLevel="3">
      <c r="A171" s="18"/>
      <c r="B171" s="11"/>
      <c r="C171" s="12"/>
      <c r="D171" s="13"/>
      <c r="E171" s="492"/>
      <c r="F171" s="493"/>
      <c r="G171" s="494"/>
      <c r="H171" s="492"/>
      <c r="I171" s="503"/>
      <c r="J171" s="495"/>
      <c r="K171" s="479"/>
    </row>
    <row r="172" spans="1:11" s="484" customFormat="1" ht="12.75" outlineLevel="2">
      <c r="A172" s="18"/>
      <c r="B172" s="11" t="s">
        <v>659</v>
      </c>
      <c r="C172" s="12"/>
      <c r="D172" s="13">
        <f>E172/K$2*10000</f>
        <v>0.50000335157449238</v>
      </c>
      <c r="E172" s="492">
        <v>5.8182</v>
      </c>
      <c r="F172" s="493">
        <f>SUM(F173:F174)</f>
        <v>0</v>
      </c>
      <c r="G172" s="493">
        <f t="shared" ref="G172:H172" si="57">SUM(G173:G174)</f>
        <v>0</v>
      </c>
      <c r="H172" s="493">
        <f t="shared" si="57"/>
        <v>0</v>
      </c>
      <c r="I172" s="503"/>
      <c r="J172" s="495"/>
      <c r="K172" s="479"/>
    </row>
    <row r="173" spans="1:11" s="484" customFormat="1" ht="12.75" outlineLevel="3">
      <c r="A173" s="18"/>
      <c r="B173" s="11"/>
      <c r="C173" s="12"/>
      <c r="D173" s="13"/>
      <c r="E173" s="492"/>
      <c r="F173" s="493"/>
      <c r="G173" s="494"/>
      <c r="H173" s="492"/>
      <c r="I173" s="503"/>
      <c r="J173" s="495"/>
      <c r="K173" s="479"/>
    </row>
    <row r="174" spans="1:11" s="484" customFormat="1" ht="12.75" outlineLevel="3">
      <c r="A174" s="18"/>
      <c r="B174" s="11"/>
      <c r="C174" s="12"/>
      <c r="D174" s="13"/>
      <c r="E174" s="492"/>
      <c r="F174" s="493"/>
      <c r="G174" s="494"/>
      <c r="H174" s="492"/>
      <c r="I174" s="503"/>
      <c r="J174" s="495"/>
      <c r="K174" s="479"/>
    </row>
    <row r="175" spans="1:11" s="484" customFormat="1" ht="12.75" outlineLevel="2">
      <c r="A175" s="18"/>
      <c r="B175" s="11" t="s">
        <v>660</v>
      </c>
      <c r="C175" s="12"/>
      <c r="D175" s="13">
        <f>E175/K$2*10000</f>
        <v>0.89313444574668854</v>
      </c>
      <c r="E175" s="492">
        <v>10.392799999999999</v>
      </c>
      <c r="F175" s="493">
        <f>SUM(F176:F177)</f>
        <v>0</v>
      </c>
      <c r="G175" s="493">
        <f t="shared" ref="G175:H175" si="58">SUM(G176:G177)</f>
        <v>0</v>
      </c>
      <c r="H175" s="493">
        <f t="shared" si="58"/>
        <v>0</v>
      </c>
      <c r="I175" s="503"/>
      <c r="J175" s="495"/>
      <c r="K175" s="479"/>
    </row>
    <row r="176" spans="1:11" s="484" customFormat="1" ht="12.75" outlineLevel="3">
      <c r="A176" s="18"/>
      <c r="B176" s="11"/>
      <c r="C176" s="12"/>
      <c r="D176" s="13"/>
      <c r="E176" s="492"/>
      <c r="F176" s="493"/>
      <c r="G176" s="494"/>
      <c r="H176" s="492"/>
      <c r="I176" s="503"/>
      <c r="J176" s="495"/>
      <c r="K176" s="479"/>
    </row>
    <row r="177" spans="1:11" s="484" customFormat="1" ht="12.75" outlineLevel="3">
      <c r="A177" s="18"/>
      <c r="B177" s="11"/>
      <c r="C177" s="12"/>
      <c r="D177" s="13"/>
      <c r="E177" s="492"/>
      <c r="F177" s="493"/>
      <c r="G177" s="494"/>
      <c r="H177" s="492"/>
      <c r="I177" s="503"/>
      <c r="J177" s="495"/>
      <c r="K177" s="479"/>
    </row>
    <row r="178" spans="1:11" s="484" customFormat="1" ht="12.75" outlineLevel="2">
      <c r="A178" s="18"/>
      <c r="B178" s="11" t="s">
        <v>661</v>
      </c>
      <c r="C178" s="12"/>
      <c r="D178" s="13">
        <f>E178/K$2*10000</f>
        <v>1.2000011687541818</v>
      </c>
      <c r="E178" s="492">
        <v>13.9636</v>
      </c>
      <c r="F178" s="493">
        <f>SUM(F179:F180)</f>
        <v>0</v>
      </c>
      <c r="G178" s="493">
        <f t="shared" ref="G178:J178" si="59">SUM(G179:G180)</f>
        <v>0</v>
      </c>
      <c r="H178" s="493">
        <f t="shared" si="59"/>
        <v>0</v>
      </c>
      <c r="I178" s="493">
        <f t="shared" si="59"/>
        <v>0</v>
      </c>
      <c r="J178" s="493">
        <f t="shared" si="59"/>
        <v>0</v>
      </c>
      <c r="K178" s="479"/>
    </row>
    <row r="179" spans="1:11" s="484" customFormat="1" ht="12.75" outlineLevel="3">
      <c r="A179" s="18"/>
      <c r="B179" s="11"/>
      <c r="C179" s="12"/>
      <c r="D179" s="13"/>
      <c r="E179" s="492"/>
      <c r="F179" s="493"/>
      <c r="G179" s="494"/>
      <c r="H179" s="492"/>
      <c r="I179" s="503"/>
      <c r="J179" s="495"/>
      <c r="K179" s="479"/>
    </row>
    <row r="180" spans="1:11" s="484" customFormat="1" ht="12.75" outlineLevel="3">
      <c r="A180" s="18"/>
      <c r="B180" s="11"/>
      <c r="C180" s="12"/>
      <c r="D180" s="13"/>
      <c r="E180" s="492"/>
      <c r="F180" s="493"/>
      <c r="G180" s="494"/>
      <c r="H180" s="492"/>
      <c r="I180" s="503"/>
      <c r="J180" s="495"/>
      <c r="K180" s="479"/>
    </row>
    <row r="181" spans="1:11" s="484" customFormat="1" ht="12.75" outlineLevel="2">
      <c r="A181" s="18"/>
      <c r="B181" s="11" t="s">
        <v>662</v>
      </c>
      <c r="C181" s="12"/>
      <c r="D181" s="13">
        <f>E181/K$2*10000</f>
        <v>0.66601800809568523</v>
      </c>
      <c r="E181" s="492">
        <v>7.75</v>
      </c>
      <c r="F181" s="493">
        <f>SUM(F182:F183)</f>
        <v>19645</v>
      </c>
      <c r="G181" s="493">
        <f t="shared" ref="G181:H181" si="60">SUM(G182:G183)</f>
        <v>0.16882482282631917</v>
      </c>
      <c r="H181" s="493">
        <f t="shared" ca="1" si="60"/>
        <v>19645</v>
      </c>
      <c r="I181" s="503"/>
      <c r="J181" s="495"/>
      <c r="K181" s="479"/>
    </row>
    <row r="182" spans="1:11" s="491" customFormat="1" ht="12.75" outlineLevel="3">
      <c r="A182" s="485" t="s">
        <v>53</v>
      </c>
      <c r="B182" s="8" t="str">
        <f>IF(A182&lt;&gt;0,VLOOKUP(A182,合同台帐!$A$4:$D$893,4,1),"")</f>
        <v>人防工程资料编制费</v>
      </c>
      <c r="C182" s="9"/>
      <c r="D182" s="10"/>
      <c r="E182" s="486"/>
      <c r="F182" s="487">
        <f>IF(A182&lt;&gt;0,VLOOKUP(A182,合同台帐!$A$4:$J$893,6,1),"")</f>
        <v>19645</v>
      </c>
      <c r="G182" s="488">
        <f>F182/K2</f>
        <v>0.16882482282631917</v>
      </c>
      <c r="H182" s="486">
        <f ca="1">IF(A182&lt;&gt;0,IF($H$2="元",VLOOKUP(A182,合同台帐!$A$4:$K$1093,11,1),VLOOKUP(A182,合同台帐!$A$4:$K$1093,11,1)),0)</f>
        <v>19645</v>
      </c>
      <c r="I182" s="503"/>
      <c r="J182" s="489"/>
      <c r="K182" s="504"/>
    </row>
    <row r="183" spans="1:11" s="484" customFormat="1" ht="12.75" outlineLevel="3">
      <c r="A183" s="18"/>
      <c r="B183" s="11"/>
      <c r="C183" s="12"/>
      <c r="D183" s="13"/>
      <c r="E183" s="492"/>
      <c r="F183" s="493"/>
      <c r="G183" s="494"/>
      <c r="H183" s="492"/>
      <c r="I183" s="503"/>
      <c r="J183" s="495"/>
      <c r="K183" s="479"/>
    </row>
    <row r="184" spans="1:11" s="484" customFormat="1" ht="12.75" outlineLevel="2">
      <c r="A184" s="18"/>
      <c r="B184" s="11" t="s">
        <v>663</v>
      </c>
      <c r="C184" s="12"/>
      <c r="D184" s="13">
        <f>E184/K$2*10000</f>
        <v>0.19635929634810725</v>
      </c>
      <c r="E184" s="492">
        <v>2.2848999999999999</v>
      </c>
      <c r="F184" s="493">
        <f>SUM(F185:F186)</f>
        <v>2336</v>
      </c>
      <c r="G184" s="493" t="e">
        <f t="shared" ref="G184:H184" si="61">SUM(G185:G186)</f>
        <v>#DIV/0!</v>
      </c>
      <c r="H184" s="493">
        <f t="shared" ca="1" si="61"/>
        <v>2336</v>
      </c>
      <c r="I184" s="503"/>
      <c r="J184" s="495"/>
      <c r="K184" s="479"/>
    </row>
    <row r="185" spans="1:11" s="491" customFormat="1" ht="12.75" outlineLevel="3">
      <c r="A185" s="485" t="s">
        <v>109</v>
      </c>
      <c r="B185" s="8" t="str">
        <f>IF(A185&lt;&gt;0,VLOOKUP(A185,合同台帐!$A$4:$D$893,4,1),"")</f>
        <v>二期消防缩微费</v>
      </c>
      <c r="C185" s="9"/>
      <c r="D185" s="10"/>
      <c r="E185" s="486"/>
      <c r="F185" s="487">
        <f>IF(A185&lt;&gt;0,VLOOKUP(A185,合同台帐!$A$4:$J$893,6,1),"")</f>
        <v>2336</v>
      </c>
      <c r="G185" s="488" t="e">
        <f>F185/K5</f>
        <v>#DIV/0!</v>
      </c>
      <c r="H185" s="486">
        <f ca="1">IF(A185&lt;&gt;0,IF($H$2="元",VLOOKUP(A185,合同台帐!$A$4:$K$1093,11,1),VLOOKUP(A185,合同台帐!$A$4:$K$1093,11,1)),0)</f>
        <v>2336</v>
      </c>
      <c r="I185" s="503"/>
      <c r="J185" s="489"/>
      <c r="K185" s="504"/>
    </row>
    <row r="186" spans="1:11" s="484" customFormat="1" ht="12.75" outlineLevel="3">
      <c r="A186" s="405"/>
      <c r="B186" s="11"/>
      <c r="C186" s="12"/>
      <c r="D186" s="13"/>
      <c r="E186" s="492"/>
      <c r="F186" s="493"/>
      <c r="G186" s="494"/>
      <c r="H186" s="492"/>
      <c r="I186" s="503"/>
      <c r="J186" s="495"/>
      <c r="K186" s="479"/>
    </row>
    <row r="187" spans="1:11" ht="12" customHeight="1" outlineLevel="1">
      <c r="A187" s="5"/>
      <c r="B187" s="6" t="s">
        <v>664</v>
      </c>
      <c r="C187" s="7" t="s">
        <v>642</v>
      </c>
      <c r="D187" s="497">
        <f t="shared" ref="D187:J187" si="62">D188+D193+D198+D203+D206+D209+D213</f>
        <v>5.6058263083472593</v>
      </c>
      <c r="E187" s="497">
        <f t="shared" si="62"/>
        <v>65.231200000000001</v>
      </c>
      <c r="F187" s="497">
        <f t="shared" si="62"/>
        <v>276430.3</v>
      </c>
      <c r="G187" s="497">
        <f t="shared" si="62"/>
        <v>2.3755813907521639</v>
      </c>
      <c r="H187" s="497">
        <f t="shared" ca="1" si="62"/>
        <v>198410.91999999998</v>
      </c>
      <c r="I187" s="497">
        <f t="shared" si="62"/>
        <v>0</v>
      </c>
      <c r="J187" s="497">
        <f t="shared" si="62"/>
        <v>0</v>
      </c>
      <c r="K187" s="479"/>
    </row>
    <row r="188" spans="1:11" s="484" customFormat="1" ht="12.75" outlineLevel="2">
      <c r="A188" s="18"/>
      <c r="B188" s="11" t="s">
        <v>665</v>
      </c>
      <c r="C188" s="12"/>
      <c r="D188" s="13">
        <f>E188/K$2*10000</f>
        <v>0.50000335157449238</v>
      </c>
      <c r="E188" s="492">
        <v>5.8182</v>
      </c>
      <c r="F188" s="493">
        <f t="shared" ref="F188:H188" si="63">SUM(F189:F192)</f>
        <v>16128.76</v>
      </c>
      <c r="G188" s="493">
        <f t="shared" si="63"/>
        <v>0.13860702720326923</v>
      </c>
      <c r="H188" s="493">
        <f t="shared" ca="1" si="63"/>
        <v>16128.76</v>
      </c>
      <c r="I188" s="503"/>
      <c r="J188" s="495"/>
      <c r="K188" s="479"/>
    </row>
    <row r="189" spans="1:11" s="491" customFormat="1" ht="12.75" outlineLevel="3">
      <c r="A189" s="507" t="s">
        <v>12</v>
      </c>
      <c r="B189" s="8" t="str">
        <f>IF(A189&lt;&gt;0,VLOOKUP(A189,合同台帐!$A$4:$D$195,4,1),"")</f>
        <v>南郡蓝山核定用地图合同</v>
      </c>
      <c r="C189" s="9"/>
      <c r="D189" s="10"/>
      <c r="E189" s="486"/>
      <c r="F189" s="487">
        <f>IF(A189&lt;&gt;0,IF(VLOOKUP(A189,合同台帐!$A$4:$G$195,7,1),IF($H$2="元",VLOOKUP(A189,合同台帐!$A$4:$G$195,7,1),VLOOKUP(A189,合同台帐!$A$4:$G$195,7,1)),IF($H$2="元",VLOOKUP(A189,合同台帐!$A$4:$F$195,6,1),VLOOKUP(A189,合同台帐!$A$4:$F$195,6,1))),0)</f>
        <v>12055.17</v>
      </c>
      <c r="G189" s="488">
        <f t="shared" ref="G189:G190" si="64">F189/K$2</f>
        <v>0.10359948787941757</v>
      </c>
      <c r="H189" s="486">
        <f ca="1">IF(A189&lt;&gt;0,IF($H$2="元",VLOOKUP(A189,合同台帐!$A$4:$K$1093,11,1),VLOOKUP(A189,合同台帐!$A$4:$K$1093,11,1)),0)</f>
        <v>12055.17</v>
      </c>
      <c r="I189" s="503"/>
      <c r="J189" s="489"/>
      <c r="K189" s="479"/>
    </row>
    <row r="190" spans="1:11" s="491" customFormat="1" ht="12.75" outlineLevel="3">
      <c r="A190" s="508" t="s">
        <v>146</v>
      </c>
      <c r="B190" s="8" t="str">
        <f>IF(A190&lt;&gt;0,VLOOKUP(A190,合同台帐!$A$4:$D$195,4,1),"")</f>
        <v>地形图测绘费（一期）</v>
      </c>
      <c r="C190" s="9"/>
      <c r="D190" s="10"/>
      <c r="E190" s="486"/>
      <c r="F190" s="487">
        <f>IF(A190&lt;&gt;0,IF(VLOOKUP(A190,合同台帐!$A$4:$G$195,7,1),IF($H$2="元",VLOOKUP(A190,合同台帐!$A$4:$G$195,7,1),VLOOKUP(A190,合同台帐!$A$4:$G$195,7,1)),IF($H$2="元",VLOOKUP(A190,合同台帐!$A$4:$F$195,6,1),VLOOKUP(A190,合同台帐!$A$4:$F$195,6,1))),0)</f>
        <v>4073.59</v>
      </c>
      <c r="G190" s="488">
        <f t="shared" si="64"/>
        <v>3.5007539323851644E-2</v>
      </c>
      <c r="H190" s="486">
        <f ca="1">IF(A190&lt;&gt;0,IF($H$2="元",VLOOKUP(A190,合同台帐!$A$4:$K$1093,11,1),VLOOKUP(A190,合同台帐!$A$4:$K$1093,11,1)),0)</f>
        <v>4073.59</v>
      </c>
      <c r="I190" s="503"/>
      <c r="J190" s="489"/>
      <c r="K190" s="479"/>
    </row>
    <row r="191" spans="1:11" s="491" customFormat="1" ht="12.75" outlineLevel="3">
      <c r="A191" s="509"/>
      <c r="B191" s="8"/>
      <c r="C191" s="9"/>
      <c r="D191" s="10"/>
      <c r="E191" s="486"/>
      <c r="F191" s="487"/>
      <c r="G191" s="488"/>
      <c r="H191" s="486"/>
      <c r="I191" s="503"/>
      <c r="J191" s="489"/>
      <c r="K191" s="479"/>
    </row>
    <row r="192" spans="1:11" s="491" customFormat="1" ht="12.75" outlineLevel="3">
      <c r="A192" s="509"/>
      <c r="B192" s="8"/>
      <c r="C192" s="9"/>
      <c r="D192" s="10"/>
      <c r="E192" s="486"/>
      <c r="F192" s="487"/>
      <c r="G192" s="488"/>
      <c r="H192" s="486"/>
      <c r="I192" s="503"/>
      <c r="J192" s="489"/>
      <c r="K192" s="479"/>
    </row>
    <row r="193" spans="1:11" s="484" customFormat="1" ht="12.75" outlineLevel="2">
      <c r="A193" s="18"/>
      <c r="B193" s="11" t="s">
        <v>666</v>
      </c>
      <c r="C193" s="12"/>
      <c r="D193" s="13">
        <f>E193/K$2*10000</f>
        <v>0.25781342248865236</v>
      </c>
      <c r="E193" s="492">
        <v>3</v>
      </c>
      <c r="F193" s="493">
        <f>SUM(F194:F197)</f>
        <v>24000</v>
      </c>
      <c r="G193" s="493">
        <f t="shared" ref="G193:H193" si="65">SUM(G194:G197)</f>
        <v>0.20625073799092186</v>
      </c>
      <c r="H193" s="493">
        <f t="shared" ca="1" si="65"/>
        <v>6000</v>
      </c>
      <c r="I193" s="503"/>
      <c r="J193" s="495"/>
      <c r="K193" s="479"/>
    </row>
    <row r="194" spans="1:11" s="491" customFormat="1" ht="12.75" outlineLevel="3">
      <c r="A194" s="507" t="s">
        <v>100</v>
      </c>
      <c r="B194" s="8" t="str">
        <f>IF(A194&lt;&gt;0,VLOOKUP(A194,合同台帐!$A$4:$D$195,4,1),"")</f>
        <v>销许公告费（一期22个楼的）</v>
      </c>
      <c r="C194" s="9"/>
      <c r="D194" s="10"/>
      <c r="E194" s="486"/>
      <c r="F194" s="487">
        <f>IF(A194&lt;&gt;0,IF(VLOOKUP(A194,合同台帐!$A$4:$G$195,7,1),IF($H$2="元",VLOOKUP(A194,合同台帐!$A$4:$G$195,7,1),VLOOKUP(A194,合同台帐!$A$4:$G$195,7,1)),IF($H$2="元",VLOOKUP(A194,合同台帐!$A$4:$F$195,6,1),VLOOKUP(A194,合同台帐!$A$4:$F$195,6,1))),0)</f>
        <v>6000</v>
      </c>
      <c r="G194" s="488">
        <f t="shared" ref="G194:G196" si="66">F194/K$2</f>
        <v>5.1562684497730465E-2</v>
      </c>
      <c r="H194" s="486">
        <f ca="1">IF(A194&lt;&gt;0,IF($H$2="元",VLOOKUP(A194,合同台帐!$A$4:$K$1093,11,1),VLOOKUP(A194,合同台帐!$A$4:$K$1093,11,1)),0)</f>
        <v>6000</v>
      </c>
      <c r="I194" s="503"/>
      <c r="J194" s="489"/>
      <c r="K194" s="479"/>
    </row>
    <row r="195" spans="1:11" s="491" customFormat="1" ht="12.75" outlineLevel="3">
      <c r="A195" s="507" t="s">
        <v>135</v>
      </c>
      <c r="B195" s="8" t="str">
        <f>IF(A195&lt;&gt;0,VLOOKUP(A195,合同台帐!$A$4:$D$195,4,1),"")</f>
        <v>销许公告费（一期6个楼的）</v>
      </c>
      <c r="C195" s="9"/>
      <c r="D195" s="10"/>
      <c r="E195" s="486"/>
      <c r="F195" s="487">
        <f>IF(A195&lt;&gt;0,IF(VLOOKUP(A195,合同台帐!$A$4:$G$195,7,1),IF($H$2="元",VLOOKUP(A195,合同台帐!$A$4:$G$195,7,1),VLOOKUP(A195,合同台帐!$A$4:$G$195,7,1)),IF($H$2="元",VLOOKUP(A195,合同台帐!$A$4:$F$195,6,1),VLOOKUP(A195,合同台帐!$A$4:$F$195,6,1))),0)</f>
        <v>6000</v>
      </c>
      <c r="G195" s="488">
        <f t="shared" si="66"/>
        <v>5.1562684497730465E-2</v>
      </c>
      <c r="H195" s="486">
        <f ca="1">IF(A195&lt;&gt;0,IF($H$2="元",VLOOKUP(A195,合同台帐!$A$4:$K$1093,11,1),VLOOKUP(A195,合同台帐!$A$4:$K$1093,11,1)),0)</f>
        <v>0</v>
      </c>
      <c r="I195" s="503"/>
      <c r="J195" s="489"/>
      <c r="K195" s="479"/>
    </row>
    <row r="196" spans="1:11" s="491" customFormat="1" ht="12.75" outlineLevel="3">
      <c r="A196" s="508" t="s">
        <v>144</v>
      </c>
      <c r="B196" s="8" t="str">
        <f>IF(A196&lt;&gt;0,VLOOKUP(A196,合同台帐!$A$4:$D$195,4,1),"")</f>
        <v>销许公告费（一期2个证、10个楼）</v>
      </c>
      <c r="C196" s="9"/>
      <c r="D196" s="10"/>
      <c r="E196" s="486"/>
      <c r="F196" s="487">
        <f>IF(A196&lt;&gt;0,IF(VLOOKUP(A196,合同台帐!$A$4:$G$195,7,1),IF($H$2="元",VLOOKUP(A196,合同台帐!$A$4:$G$195,7,1),VLOOKUP(A196,合同台帐!$A$4:$G$195,7,1)),IF($H$2="元",VLOOKUP(A196,合同台帐!$A$4:$F$195,6,1),VLOOKUP(A196,合同台帐!$A$4:$F$195,6,1))),0)</f>
        <v>12000</v>
      </c>
      <c r="G196" s="488">
        <f t="shared" si="66"/>
        <v>0.10312536899546093</v>
      </c>
      <c r="H196" s="486">
        <f ca="1">IF(A196&lt;&gt;0,IF($H$2="元",VLOOKUP(A196,合同台帐!$A$4:$K$1093,11,1),VLOOKUP(A196,合同台帐!$A$4:$K$1093,11,1)),0)</f>
        <v>0</v>
      </c>
      <c r="I196" s="503"/>
      <c r="J196" s="489"/>
      <c r="K196" s="479"/>
    </row>
    <row r="197" spans="1:11" s="484" customFormat="1" ht="12.75" outlineLevel="3">
      <c r="A197" s="405"/>
      <c r="B197" s="11"/>
      <c r="C197" s="12"/>
      <c r="D197" s="13"/>
      <c r="E197" s="492"/>
      <c r="F197" s="493"/>
      <c r="G197" s="494"/>
      <c r="H197" s="492"/>
      <c r="I197" s="503"/>
      <c r="J197" s="495"/>
      <c r="K197" s="479"/>
    </row>
    <row r="198" spans="1:11" s="484" customFormat="1" ht="12.75" outlineLevel="2">
      <c r="A198" s="18"/>
      <c r="B198" s="11" t="s">
        <v>667</v>
      </c>
      <c r="C198" s="12"/>
      <c r="D198" s="13">
        <f>E198/K$2*10000</f>
        <v>0.47643920475902951</v>
      </c>
      <c r="E198" s="492">
        <v>5.5439999999999996</v>
      </c>
      <c r="F198" s="493">
        <f>SUM(F199:F202)</f>
        <v>25680</v>
      </c>
      <c r="G198" s="493">
        <f t="shared" ref="G198:H198" si="67">SUM(G199:G202)</f>
        <v>0.22068828965028642</v>
      </c>
      <c r="H198" s="493">
        <f t="shared" ca="1" si="67"/>
        <v>17200</v>
      </c>
      <c r="I198" s="503"/>
      <c r="J198" s="495"/>
      <c r="K198" s="479"/>
    </row>
    <row r="199" spans="1:11" s="491" customFormat="1" ht="12.75" outlineLevel="3">
      <c r="A199" s="507" t="s">
        <v>99</v>
      </c>
      <c r="B199" s="8" t="str">
        <f>IF(A199&lt;&gt;0,VLOOKUP(A199,合同台帐!$A$4:$D$195,4,1),"")</f>
        <v>商品房预售登记费（一期143套）</v>
      </c>
      <c r="C199" s="9"/>
      <c r="D199" s="10"/>
      <c r="E199" s="486"/>
      <c r="F199" s="487">
        <f>IF(A199&lt;&gt;0,IF(VLOOKUP(A199,合同台帐!$A$4:$G$195,7,1),IF($H$2="元",VLOOKUP(A199,合同台帐!$A$4:$G$195,7,1),VLOOKUP(A199,合同台帐!$A$4:$G$195,7,1)),IF($H$2="元",VLOOKUP(A199,合同台帐!$A$4:$F$195,6,1),VLOOKUP(A199,合同台帐!$A$4:$F$195,6,1))),0)</f>
        <v>11440</v>
      </c>
      <c r="G199" s="488">
        <f t="shared" ref="G199:G201" si="68">F199/K$2</f>
        <v>9.8312851775672755E-2</v>
      </c>
      <c r="H199" s="486">
        <f ca="1">IF(A199&lt;&gt;0,IF($H$2="元",VLOOKUP(A199,合同台帐!$A$4:$K$1093,11,1),VLOOKUP(A199,合同台帐!$A$4:$K$1093,11,1)),0)</f>
        <v>11440</v>
      </c>
      <c r="I199" s="503"/>
      <c r="J199" s="489"/>
      <c r="K199" s="479"/>
    </row>
    <row r="200" spans="1:11" s="491" customFormat="1" ht="12.75" outlineLevel="3">
      <c r="A200" s="507" t="s">
        <v>111</v>
      </c>
      <c r="B200" s="8" t="str">
        <f>IF(A200&lt;&gt;0,VLOOKUP(A200,合同台帐!$A$4:$D$195,4,1),"")</f>
        <v>预售登记费(一期72套）</v>
      </c>
      <c r="C200" s="9"/>
      <c r="D200" s="10"/>
      <c r="E200" s="486"/>
      <c r="F200" s="487">
        <f>IF(A200&lt;&gt;0,IF(VLOOKUP(A200,合同台帐!$A$4:$G$195,7,1),IF($H$2="元",VLOOKUP(A200,合同台帐!$A$4:$G$195,7,1),VLOOKUP(A200,合同台帐!$A$4:$G$195,7,1)),IF($H$2="元",VLOOKUP(A200,合同台帐!$A$4:$F$195,6,1),VLOOKUP(A200,合同台帐!$A$4:$F$195,6,1))),0)</f>
        <v>5760</v>
      </c>
      <c r="G200" s="488">
        <f t="shared" si="68"/>
        <v>4.9500177117821252E-2</v>
      </c>
      <c r="H200" s="486">
        <f ca="1">IF(A200&lt;&gt;0,IF($H$2="元",VLOOKUP(A200,合同台帐!$A$4:$K$1093,11,1),VLOOKUP(A200,合同台帐!$A$4:$K$1093,11,1)),0)</f>
        <v>5760</v>
      </c>
      <c r="I200" s="503"/>
      <c r="J200" s="489"/>
      <c r="K200" s="479"/>
    </row>
    <row r="201" spans="1:11" s="491" customFormat="1" ht="12.75" outlineLevel="3">
      <c r="A201" s="509" t="s">
        <v>145</v>
      </c>
      <c r="B201" s="8" t="str">
        <f>IF(A201&lt;&gt;0,VLOOKUP(A201,合同台帐!$A$4:$D$195,4,1),"")</f>
        <v>商品房预售登记费（一期106套）</v>
      </c>
      <c r="C201" s="9"/>
      <c r="D201" s="10"/>
      <c r="E201" s="486"/>
      <c r="F201" s="487">
        <f>IF(A201&lt;&gt;0,IF(VLOOKUP(A201,合同台帐!$A$4:$G$195,7,1),IF($H$2="元",VLOOKUP(A201,合同台帐!$A$4:$G$195,7,1),VLOOKUP(A201,合同台帐!$A$4:$G$195,7,1)),IF($H$2="元",VLOOKUP(A201,合同台帐!$A$4:$F$195,6,1),VLOOKUP(A201,合同台帐!$A$4:$F$195,6,1))),0)</f>
        <v>8480</v>
      </c>
      <c r="G201" s="488">
        <f t="shared" si="68"/>
        <v>7.287526075679239E-2</v>
      </c>
      <c r="H201" s="486">
        <f ca="1">IF(A201&lt;&gt;0,IF($H$2="元",VLOOKUP(A201,合同台帐!$A$4:$K$1093,11,1),VLOOKUP(A201,合同台帐!$A$4:$K$1093,11,1)),0)</f>
        <v>0</v>
      </c>
      <c r="I201" s="503"/>
      <c r="J201" s="489"/>
      <c r="K201" s="479"/>
    </row>
    <row r="202" spans="1:11" s="484" customFormat="1" ht="12.75" outlineLevel="3">
      <c r="A202" s="405"/>
      <c r="B202" s="11"/>
      <c r="C202" s="12"/>
      <c r="D202" s="13"/>
      <c r="E202" s="492"/>
      <c r="F202" s="493"/>
      <c r="G202" s="494"/>
      <c r="H202" s="492"/>
      <c r="I202" s="503"/>
      <c r="J202" s="495"/>
      <c r="K202" s="479"/>
    </row>
    <row r="203" spans="1:11" s="484" customFormat="1" ht="12.75" outlineLevel="2">
      <c r="A203" s="18"/>
      <c r="B203" s="11" t="s">
        <v>668</v>
      </c>
      <c r="C203" s="12"/>
      <c r="D203" s="13">
        <f>E203/K$2*10000</f>
        <v>0</v>
      </c>
      <c r="E203" s="492">
        <v>0</v>
      </c>
      <c r="F203" s="493">
        <f>SUM(F204:F205)</f>
        <v>0</v>
      </c>
      <c r="G203" s="493">
        <f t="shared" ref="G203:J203" si="69">SUM(G204:G205)</f>
        <v>0</v>
      </c>
      <c r="H203" s="493">
        <f t="shared" si="69"/>
        <v>0</v>
      </c>
      <c r="I203" s="493">
        <f t="shared" si="69"/>
        <v>0</v>
      </c>
      <c r="J203" s="493">
        <f t="shared" si="69"/>
        <v>0</v>
      </c>
      <c r="K203" s="479"/>
    </row>
    <row r="204" spans="1:11" s="484" customFormat="1" ht="12.75" outlineLevel="3">
      <c r="A204" s="405"/>
      <c r="B204" s="11"/>
      <c r="C204" s="12"/>
      <c r="D204" s="13"/>
      <c r="E204" s="492"/>
      <c r="F204" s="493"/>
      <c r="G204" s="494"/>
      <c r="H204" s="492"/>
      <c r="I204" s="500"/>
      <c r="J204" s="495"/>
      <c r="K204" s="479"/>
    </row>
    <row r="205" spans="1:11" s="484" customFormat="1" ht="12.75" outlineLevel="3">
      <c r="A205" s="405"/>
      <c r="B205" s="11"/>
      <c r="C205" s="12"/>
      <c r="D205" s="13"/>
      <c r="E205" s="492"/>
      <c r="F205" s="493"/>
      <c r="G205" s="494"/>
      <c r="H205" s="492"/>
      <c r="I205" s="500"/>
      <c r="J205" s="495"/>
      <c r="K205" s="479"/>
    </row>
    <row r="206" spans="1:11" s="484" customFormat="1" ht="12.75" outlineLevel="2">
      <c r="A206" s="18"/>
      <c r="B206" s="11" t="s">
        <v>669</v>
      </c>
      <c r="C206" s="12"/>
      <c r="D206" s="13">
        <f>E206/K$2*10000</f>
        <v>2.7500098398789582E-2</v>
      </c>
      <c r="E206" s="492">
        <v>0.32</v>
      </c>
      <c r="F206" s="493">
        <f>SUM(F207:F208)</f>
        <v>0</v>
      </c>
      <c r="G206" s="493">
        <f t="shared" ref="G206:H206" si="70">SUM(G207:G208)</f>
        <v>0</v>
      </c>
      <c r="H206" s="493">
        <f t="shared" si="70"/>
        <v>0</v>
      </c>
      <c r="I206" s="503"/>
      <c r="J206" s="495"/>
      <c r="K206" s="479"/>
    </row>
    <row r="207" spans="1:11" s="484" customFormat="1" ht="12.75" outlineLevel="3">
      <c r="A207" s="405"/>
      <c r="B207" s="11"/>
      <c r="C207" s="12"/>
      <c r="D207" s="13"/>
      <c r="E207" s="492"/>
      <c r="F207" s="493"/>
      <c r="G207" s="494"/>
      <c r="H207" s="492"/>
      <c r="I207" s="500"/>
      <c r="J207" s="495"/>
      <c r="K207" s="479"/>
    </row>
    <row r="208" spans="1:11" s="484" customFormat="1" ht="12.75" outlineLevel="3">
      <c r="A208" s="405"/>
      <c r="B208" s="11"/>
      <c r="C208" s="12"/>
      <c r="D208" s="13"/>
      <c r="E208" s="492"/>
      <c r="F208" s="493"/>
      <c r="G208" s="494"/>
      <c r="H208" s="492"/>
      <c r="I208" s="500"/>
      <c r="J208" s="495"/>
      <c r="K208" s="479"/>
    </row>
    <row r="209" spans="1:11" s="484" customFormat="1" ht="24" outlineLevel="2">
      <c r="A209" s="18"/>
      <c r="B209" s="11" t="s">
        <v>670</v>
      </c>
      <c r="C209" s="12"/>
      <c r="D209" s="13">
        <f>E209/K$2*10000</f>
        <v>1.4856670346523584</v>
      </c>
      <c r="E209" s="492">
        <v>17.287700000000001</v>
      </c>
      <c r="F209" s="493">
        <f>SUM(F210:F212)</f>
        <v>81518.990000000005</v>
      </c>
      <c r="G209" s="493">
        <f t="shared" ref="G209:H209" si="71">SUM(G210:G212)</f>
        <v>0.70055632699060755</v>
      </c>
      <c r="H209" s="493">
        <f t="shared" ca="1" si="71"/>
        <v>81518.990000000005</v>
      </c>
      <c r="I209" s="503"/>
      <c r="J209" s="495"/>
      <c r="K209" s="479"/>
    </row>
    <row r="210" spans="1:11" s="491" customFormat="1" ht="12.75" outlineLevel="3">
      <c r="A210" s="507" t="s">
        <v>71</v>
      </c>
      <c r="B210" s="8" t="str">
        <f>IF(A210&lt;&gt;0,VLOOKUP(A210,合同台帐!$A$4:$D$195,4,1),"")</f>
        <v>前置面积测量（一期）</v>
      </c>
      <c r="C210" s="9"/>
      <c r="D210" s="10"/>
      <c r="E210" s="486"/>
      <c r="F210" s="487">
        <f>IF(A210&lt;&gt;0,IF(VLOOKUP(A210,合同台帐!$A$4:$G$195,7,1),IF($H$2="元",VLOOKUP(A210,合同台帐!$A$4:$G$195,7,1),VLOOKUP(A210,合同台帐!$A$4:$G$195,7,1)),IF($H$2="元",VLOOKUP(A210,合同台帐!$A$4:$F$195,6,1),VLOOKUP(A210,合同台帐!$A$4:$F$195,6,1))),0)</f>
        <v>80518.990000000005</v>
      </c>
      <c r="G210" s="488">
        <f t="shared" ref="G210:G211" si="72">F210/K$2</f>
        <v>0.69196254624098585</v>
      </c>
      <c r="H210" s="486">
        <f ca="1">IF(A210&lt;&gt;0,IF($H$2="元",VLOOKUP(A210,合同台帐!$A$4:$K$1093,11,1),VLOOKUP(A210,合同台帐!$A$4:$K$1093,11,1)),0)</f>
        <v>80518.990000000005</v>
      </c>
      <c r="I210" s="503"/>
      <c r="J210" s="489"/>
      <c r="K210" s="504"/>
    </row>
    <row r="211" spans="1:11" s="491" customFormat="1" ht="12.75" outlineLevel="3">
      <c r="A211" s="507" t="s">
        <v>96</v>
      </c>
      <c r="B211" s="8" t="str">
        <f>IF(A211&lt;&gt;0,VLOOKUP(A211,合同台帐!$A$4:$D$195,4,1),"")</f>
        <v>前置测量购买本册费（一期）</v>
      </c>
      <c r="C211" s="9"/>
      <c r="D211" s="10"/>
      <c r="E211" s="486"/>
      <c r="F211" s="487">
        <f>IF(A211&lt;&gt;0,IF(VLOOKUP(A211,合同台帐!$A$4:$G$195,7,1),IF($H$2="元",VLOOKUP(A211,合同台帐!$A$4:$G$195,7,1),VLOOKUP(A211,合同台帐!$A$4:$G$195,7,1)),IF($H$2="元",VLOOKUP(A211,合同台帐!$A$4:$F$195,6,1),VLOOKUP(A211,合同台帐!$A$4:$F$195,6,1))),0)</f>
        <v>1000</v>
      </c>
      <c r="G211" s="488">
        <f t="shared" si="72"/>
        <v>8.5937807496217454E-3</v>
      </c>
      <c r="H211" s="486">
        <f ca="1">IF(A211&lt;&gt;0,IF($H$2="元",VLOOKUP(A211,合同台帐!$A$4:$K$1093,11,1),VLOOKUP(A211,合同台帐!$A$4:$K$1093,11,1)),0)</f>
        <v>1000</v>
      </c>
      <c r="I211" s="503"/>
      <c r="J211" s="489"/>
      <c r="K211" s="504"/>
    </row>
    <row r="212" spans="1:11" s="484" customFormat="1" ht="12.75" outlineLevel="3">
      <c r="A212" s="405"/>
      <c r="B212" s="11"/>
      <c r="C212" s="12"/>
      <c r="D212" s="13"/>
      <c r="E212" s="492"/>
      <c r="F212" s="493"/>
      <c r="G212" s="494"/>
      <c r="H212" s="492"/>
      <c r="I212" s="500"/>
      <c r="J212" s="495"/>
      <c r="K212" s="479"/>
    </row>
    <row r="213" spans="1:11" s="484" customFormat="1" ht="12.75" outlineLevel="2">
      <c r="A213" s="18"/>
      <c r="B213" s="11" t="s">
        <v>671</v>
      </c>
      <c r="C213" s="12"/>
      <c r="D213" s="13">
        <f>E213/K$2*10000</f>
        <v>2.8584031964739371</v>
      </c>
      <c r="E213" s="492">
        <v>33.261299999999999</v>
      </c>
      <c r="F213" s="493">
        <f>SUM(F214:F217)</f>
        <v>129102.55</v>
      </c>
      <c r="G213" s="493">
        <f t="shared" ref="G213:H213" si="73">SUM(G214:G217)</f>
        <v>1.109479008917079</v>
      </c>
      <c r="H213" s="493">
        <f t="shared" ca="1" si="73"/>
        <v>77563.17</v>
      </c>
      <c r="I213" s="503"/>
      <c r="J213" s="495"/>
      <c r="K213" s="479"/>
    </row>
    <row r="214" spans="1:11" s="491" customFormat="1" ht="24" outlineLevel="3">
      <c r="A214" s="507" t="s">
        <v>104</v>
      </c>
      <c r="B214" s="8" t="str">
        <f>IF(A214&lt;&gt;0,VLOOKUP(A214,合同台帐!$A$4:$D$195,4,1),"")</f>
        <v>房屋转让手续费（一期22个楼）产权登记</v>
      </c>
      <c r="C214" s="9"/>
      <c r="D214" s="10"/>
      <c r="E214" s="486"/>
      <c r="F214" s="487">
        <f>IF(A214&lt;&gt;0,IF(VLOOKUP(A214,合同台帐!$A$4:$G$195,7,1),IF($H$2="元",VLOOKUP(A214,合同台帐!$A$4:$G$195,7,1),VLOOKUP(A214,合同台帐!$A$4:$G$195,7,1)),IF($H$2="元",VLOOKUP(A214,合同台帐!$A$4:$F$195,6,1),VLOOKUP(A214,合同台帐!$A$4:$F$195,6,1))),0)</f>
        <v>77563.17</v>
      </c>
      <c r="G214" s="488">
        <f t="shared" ref="G214:G216" si="74">F214/K$2</f>
        <v>0.66656087722563884</v>
      </c>
      <c r="H214" s="486">
        <f ca="1">IF(A214&lt;&gt;0,IF($H$2="元",VLOOKUP(A214,合同台帐!$A$4:$K$1093,11,1),VLOOKUP(A214,合同台帐!$A$4:$K$1093,11,1)),0)</f>
        <v>77563.17</v>
      </c>
      <c r="I214" s="503"/>
      <c r="J214" s="489"/>
      <c r="K214" s="504"/>
    </row>
    <row r="215" spans="1:11" s="491" customFormat="1" ht="24" outlineLevel="3">
      <c r="A215" s="509" t="s">
        <v>143</v>
      </c>
      <c r="B215" s="8" t="str">
        <f>IF(A215&lt;&gt;0,VLOOKUP(A215,合同台帐!$A$4:$D$195,4,1),"")</f>
        <v>房屋转让手续费（一期6个楼）产权登记</v>
      </c>
      <c r="C215" s="9"/>
      <c r="D215" s="10"/>
      <c r="E215" s="486"/>
      <c r="F215" s="487">
        <f>IF(A215&lt;&gt;0,IF(VLOOKUP(A215,合同台帐!$A$4:$G$195,7,1),IF($H$2="元",VLOOKUP(A215,合同台帐!$A$4:$G$195,7,1),VLOOKUP(A215,合同台帐!$A$4:$G$195,7,1)),IF($H$2="元",VLOOKUP(A215,合同台帐!$A$4:$F$195,6,1),VLOOKUP(A215,合同台帐!$A$4:$F$195,6,1))),0)</f>
        <v>20569.8</v>
      </c>
      <c r="G215" s="488">
        <f t="shared" si="74"/>
        <v>0.17677235126356936</v>
      </c>
      <c r="H215" s="486">
        <f ca="1">IF(A215&lt;&gt;0,IF($H$2="元",VLOOKUP(A215,合同台帐!$A$4:$K$1093,11,1),VLOOKUP(A215,合同台帐!$A$4:$K$1093,11,1)),0)</f>
        <v>0</v>
      </c>
      <c r="I215" s="503"/>
      <c r="J215" s="489"/>
      <c r="K215" s="504"/>
    </row>
    <row r="216" spans="1:11" s="491" customFormat="1" ht="12.75" outlineLevel="3">
      <c r="A216" s="508" t="s">
        <v>150</v>
      </c>
      <c r="B216" s="8" t="str">
        <f>IF(A216&lt;&gt;0,VLOOKUP(A216,合同台帐!$A$4:$D$195,4,1),"")</f>
        <v>房屋转让手续费（一期10个楼）</v>
      </c>
      <c r="C216" s="9"/>
      <c r="D216" s="10"/>
      <c r="E216" s="486"/>
      <c r="F216" s="487">
        <f>IF(A216&lt;&gt;0,IF(VLOOKUP(A216,合同台帐!$A$4:$G$195,7,1),IF($H$2="元",VLOOKUP(A216,合同台帐!$A$4:$G$195,7,1),VLOOKUP(A216,合同台帐!$A$4:$G$195,7,1)),IF($H$2="元",VLOOKUP(A216,合同台帐!$A$4:$F$195,6,1),VLOOKUP(A216,合同台帐!$A$4:$F$195,6,1))),0)</f>
        <v>30969.58</v>
      </c>
      <c r="G216" s="488">
        <f t="shared" si="74"/>
        <v>0.26614578042787063</v>
      </c>
      <c r="H216" s="486">
        <f ca="1">IF(A216&lt;&gt;0,IF($H$2="元",VLOOKUP(A216,合同台帐!$A$4:$K$1093,11,1),VLOOKUP(A216,合同台帐!$A$4:$K$1093,11,1)),0)</f>
        <v>0</v>
      </c>
      <c r="I216" s="503"/>
      <c r="J216" s="489"/>
      <c r="K216" s="504"/>
    </row>
    <row r="217" spans="1:11" s="484" customFormat="1" ht="12.75" outlineLevel="3">
      <c r="A217" s="405"/>
      <c r="B217" s="11"/>
      <c r="C217" s="12"/>
      <c r="D217" s="13"/>
      <c r="E217" s="492"/>
      <c r="F217" s="493"/>
      <c r="G217" s="494"/>
      <c r="H217" s="492"/>
      <c r="I217" s="500"/>
      <c r="J217" s="495"/>
      <c r="K217" s="479"/>
    </row>
    <row r="218" spans="1:11" ht="12.75" outlineLevel="1">
      <c r="A218" s="5"/>
      <c r="B218" s="6" t="s">
        <v>672</v>
      </c>
      <c r="C218" s="7" t="s">
        <v>642</v>
      </c>
      <c r="D218" s="14"/>
      <c r="E218" s="496">
        <v>0</v>
      </c>
      <c r="F218" s="497">
        <f t="shared" ref="F218:K218" si="75">SUM(F219:F226)</f>
        <v>1520</v>
      </c>
      <c r="G218" s="497">
        <f t="shared" si="75"/>
        <v>1.306254673942505E-2</v>
      </c>
      <c r="H218" s="497">
        <f t="shared" ca="1" si="75"/>
        <v>1520</v>
      </c>
      <c r="I218" s="497">
        <f t="shared" si="75"/>
        <v>0</v>
      </c>
      <c r="J218" s="497">
        <f t="shared" si="75"/>
        <v>0</v>
      </c>
      <c r="K218" s="497">
        <f t="shared" si="75"/>
        <v>0</v>
      </c>
    </row>
    <row r="219" spans="1:11" s="491" customFormat="1" ht="12.75" outlineLevel="3">
      <c r="A219" s="507" t="s">
        <v>28</v>
      </c>
      <c r="B219" s="21" t="str">
        <f>IF(A219&lt;&gt;0,VLOOKUP(A219,合同台帐!$A$4:$D$195,4,1),"")</f>
        <v>技术服务费《2014年造价信息参考》</v>
      </c>
      <c r="C219" s="9"/>
      <c r="D219" s="10"/>
      <c r="E219" s="486"/>
      <c r="F219" s="487">
        <f>IF(A219&lt;&gt;0,IF(VLOOKUP(A219,合同台帐!$A$4:$G$195,7,1),IF($H$2="元",VLOOKUP(A219,合同台帐!$A$4:$G$195,7,1),VLOOKUP(A219,合同台帐!$A$4:$G$195,7,1)),IF($H$2="元",VLOOKUP(A219,合同台帐!$A$4:$F$195,6,1),VLOOKUP(A219,合同台帐!$A$4:$F$195,6,1))),0)</f>
        <v>320</v>
      </c>
      <c r="G219" s="488">
        <f t="shared" ref="G219:G226" si="76">F219/K$2</f>
        <v>2.7500098398789584E-3</v>
      </c>
      <c r="H219" s="486">
        <f ca="1">IF(A219&lt;&gt;0,IF($H$2="元",VLOOKUP(A219,合同台帐!$A$4:$K$1093,11,1),VLOOKUP(A219,合同台帐!$A$4:$K$1093,11,1)),0)</f>
        <v>320</v>
      </c>
      <c r="I219" s="503"/>
      <c r="J219" s="489"/>
      <c r="K219" s="504"/>
    </row>
    <row r="220" spans="1:11" s="491" customFormat="1" ht="12.75" outlineLevel="3">
      <c r="A220" s="507" t="s">
        <v>29</v>
      </c>
      <c r="B220" s="21" t="str">
        <f>IF(A220&lt;&gt;0,VLOOKUP(A220,合同台帐!$A$4:$D$195,4,1),"")</f>
        <v>技术咨询费《2014年工程造价信息》</v>
      </c>
      <c r="C220" s="9"/>
      <c r="D220" s="10"/>
      <c r="E220" s="486"/>
      <c r="F220" s="487">
        <f>IF(A220&lt;&gt;0,IF(VLOOKUP(A220,合同台帐!$A$4:$G$195,7,1),IF($H$2="元",VLOOKUP(A220,合同台帐!$A$4:$G$195,7,1),VLOOKUP(A220,合同台帐!$A$4:$G$195,7,1)),IF($H$2="元",VLOOKUP(A220,合同台帐!$A$4:$F$195,6,1),VLOOKUP(A220,合同台帐!$A$4:$F$195,6,1))),0)</f>
        <v>840</v>
      </c>
      <c r="G220" s="488">
        <f t="shared" si="76"/>
        <v>7.2187758296822658E-3</v>
      </c>
      <c r="H220" s="486">
        <f ca="1">IF(A220&lt;&gt;0,IF($H$2="元",VLOOKUP(A220,合同台帐!$A$4:$K$1093,11,1),VLOOKUP(A220,合同台帐!$A$4:$K$1093,11,1)),0)</f>
        <v>840</v>
      </c>
      <c r="I220" s="503"/>
      <c r="J220" s="489"/>
      <c r="K220" s="504"/>
    </row>
    <row r="221" spans="1:11" s="491" customFormat="1" ht="12.75" outlineLevel="3">
      <c r="A221" s="507" t="s">
        <v>78</v>
      </c>
      <c r="B221" s="21" t="str">
        <f>IF(A221&lt;&gt;0,VLOOKUP(A221,合同台帐!$A$4:$D$195,4,1),"")</f>
        <v>图纸复印费</v>
      </c>
      <c r="C221" s="9"/>
      <c r="D221" s="10"/>
      <c r="E221" s="486"/>
      <c r="F221" s="487">
        <f>IF(A221&lt;&gt;0,IF(VLOOKUP(A221,合同台帐!$A$4:$G$195,7,1),IF($H$2="元",VLOOKUP(A221,合同台帐!$A$4:$G$195,7,1),VLOOKUP(A221,合同台帐!$A$4:$G$195,7,1)),IF($H$2="元",VLOOKUP(A221,合同台帐!$A$4:$F$195,6,1),VLOOKUP(A221,合同台帐!$A$4:$F$195,6,1))),0)</f>
        <v>240</v>
      </c>
      <c r="G221" s="488">
        <f t="shared" si="76"/>
        <v>2.0625073799092185E-3</v>
      </c>
      <c r="H221" s="486">
        <f ca="1">IF(A221&lt;&gt;0,IF($H$2="元",VLOOKUP(A221,合同台帐!$A$4:$K$1093,11,1),VLOOKUP(A221,合同台帐!$A$4:$K$1093,11,1)),0)</f>
        <v>240</v>
      </c>
      <c r="I221" s="503"/>
      <c r="J221" s="489"/>
      <c r="K221" s="504"/>
    </row>
    <row r="222" spans="1:11" s="491" customFormat="1" ht="12.75" outlineLevel="3">
      <c r="A222" s="507" t="s">
        <v>673</v>
      </c>
      <c r="B222" s="21" t="str">
        <f>IF(A222&lt;&gt;0,VLOOKUP(A222,合同台帐!$A$4:$D$195,4,1),"")</f>
        <v>图纸打印费</v>
      </c>
      <c r="C222" s="9"/>
      <c r="D222" s="10"/>
      <c r="E222" s="486"/>
      <c r="F222" s="487">
        <f>IF(A222&lt;&gt;0,IF(VLOOKUP(A222,合同台帐!$A$4:$G$195,7,1),IF($H$2="元",VLOOKUP(A222,合同台帐!$A$4:$G$195,7,1),VLOOKUP(A222,合同台帐!$A$4:$G$195,7,1)),IF($H$2="元",VLOOKUP(A222,合同台帐!$A$4:$F$195,6,1),VLOOKUP(A222,合同台帐!$A$4:$F$195,6,1))),0)</f>
        <v>120</v>
      </c>
      <c r="G222" s="488">
        <f t="shared" si="76"/>
        <v>1.0312536899546093E-3</v>
      </c>
      <c r="H222" s="486">
        <f ca="1">IF(A222&lt;&gt;0,IF($H$2="元",VLOOKUP(A222,合同台帐!$A$4:$K$1093,11,1),VLOOKUP(A222,合同台帐!$A$4:$K$1093,11,1)),0)</f>
        <v>120</v>
      </c>
      <c r="I222" s="503"/>
      <c r="J222" s="489"/>
      <c r="K222" s="504"/>
    </row>
    <row r="223" spans="1:11" s="491" customFormat="1" ht="12.75" outlineLevel="2">
      <c r="A223" s="509"/>
      <c r="B223" s="8" t="str">
        <f>IF(A223&lt;&gt;0,VLOOKUP(A223,合同台帐!$A$4:$D$195,4,1),"")</f>
        <v/>
      </c>
      <c r="C223" s="9"/>
      <c r="D223" s="10"/>
      <c r="E223" s="486"/>
      <c r="F223" s="487">
        <f>IF(A223&lt;&gt;0,IF(VLOOKUP(A223,合同台帐!$A$4:$G$195,7,1),IF($H$2="元",VLOOKUP(A223,合同台帐!$A$4:$G$195,7,1),VLOOKUP(A223,合同台帐!$A$4:$G$195,7,1)),IF($H$2="元",VLOOKUP(A223,合同台帐!$A$4:$F$195,6,1),VLOOKUP(A223,合同台帐!$A$4:$F$195,6,1))),0)</f>
        <v>0</v>
      </c>
      <c r="G223" s="488">
        <f t="shared" si="76"/>
        <v>0</v>
      </c>
      <c r="H223" s="486">
        <f>IF(A223&lt;&gt;0,IF($H$2="元",VLOOKUP(A223,合同台帐!$A$4:$K$1093,11,1),VLOOKUP(A223,合同台帐!$A$4:$K$1093,11,1)),0)</f>
        <v>0</v>
      </c>
      <c r="I223" s="503"/>
      <c r="J223" s="489"/>
      <c r="K223" s="504"/>
    </row>
    <row r="224" spans="1:11" s="491" customFormat="1" ht="12.75" outlineLevel="2">
      <c r="A224" s="509"/>
      <c r="B224" s="8" t="str">
        <f>IF(A224&lt;&gt;0,VLOOKUP(A224,合同台帐!$A$4:$D$195,4,1),"")</f>
        <v/>
      </c>
      <c r="C224" s="9"/>
      <c r="D224" s="10"/>
      <c r="E224" s="486"/>
      <c r="F224" s="487">
        <f>IF(A224&lt;&gt;0,IF(VLOOKUP(A224,合同台帐!$A$4:$G$195,7,1),IF($H$2="元",VLOOKUP(A224,合同台帐!$A$4:$G$195,7,1),VLOOKUP(A224,合同台帐!$A$4:$G$195,7,1)),IF($H$2="元",VLOOKUP(A224,合同台帐!$A$4:$F$195,6,1),VLOOKUP(A224,合同台帐!$A$4:$F$195,6,1))),0)</f>
        <v>0</v>
      </c>
      <c r="G224" s="488">
        <f t="shared" si="76"/>
        <v>0</v>
      </c>
      <c r="H224" s="486">
        <f>IF(A224&lt;&gt;0,IF($H$2="元",VLOOKUP(A224,合同台帐!$A$4:$K$1093,11,1),VLOOKUP(A224,合同台帐!$A$4:$K$1093,11,1)),0)</f>
        <v>0</v>
      </c>
      <c r="I224" s="503"/>
      <c r="J224" s="489"/>
      <c r="K224" s="504"/>
    </row>
    <row r="225" spans="1:11" s="491" customFormat="1" ht="12.75" outlineLevel="2">
      <c r="A225" s="509"/>
      <c r="B225" s="8" t="str">
        <f>IF(A225&lt;&gt;0,VLOOKUP(A225,合同台帐!$A$4:$D$195,4,1),"")</f>
        <v/>
      </c>
      <c r="C225" s="9"/>
      <c r="D225" s="10"/>
      <c r="E225" s="486"/>
      <c r="F225" s="487">
        <f>IF(A225&lt;&gt;0,IF(VLOOKUP(A225,合同台帐!$A$4:$G$195,7,1),IF($H$2="元",VLOOKUP(A225,合同台帐!$A$4:$G$195,7,1),VLOOKUP(A225,合同台帐!$A$4:$G$195,7,1)),IF($H$2="元",VLOOKUP(A225,合同台帐!$A$4:$F$195,6,1),VLOOKUP(A225,合同台帐!$A$4:$F$195,6,1))),0)</f>
        <v>0</v>
      </c>
      <c r="G225" s="488">
        <f t="shared" si="76"/>
        <v>0</v>
      </c>
      <c r="H225" s="486">
        <f>IF(A225&lt;&gt;0,IF($H$2="元",VLOOKUP(A225,合同台帐!$A$4:$K$1093,11,1),VLOOKUP(A225,合同台帐!$A$4:$K$1093,11,1)),0)</f>
        <v>0</v>
      </c>
      <c r="I225" s="503"/>
      <c r="J225" s="489"/>
      <c r="K225" s="504"/>
    </row>
    <row r="226" spans="1:11" s="491" customFormat="1" ht="12.75" outlineLevel="2">
      <c r="A226" s="509"/>
      <c r="B226" s="8" t="str">
        <f>IF(A226&lt;&gt;0,VLOOKUP(A226,合同台帐!$A$4:$D$195,4,1),"")</f>
        <v/>
      </c>
      <c r="C226" s="9"/>
      <c r="D226" s="10"/>
      <c r="E226" s="486"/>
      <c r="F226" s="487">
        <f>IF(A226&lt;&gt;0,IF(VLOOKUP(A226,合同台帐!$A$4:$G$195,7,1),IF($H$2="元",VLOOKUP(A226,合同台帐!$A$4:$G$195,7,1),VLOOKUP(A226,合同台帐!$A$4:$G$195,7,1)),IF($H$2="元",VLOOKUP(A226,合同台帐!$A$4:$F$195,6,1),VLOOKUP(A226,合同台帐!$A$4:$F$195,6,1))),0)</f>
        <v>0</v>
      </c>
      <c r="G226" s="488">
        <f t="shared" si="76"/>
        <v>0</v>
      </c>
      <c r="H226" s="486">
        <f>IF(A226&lt;&gt;0,IF($H$2="元",VLOOKUP(A226,合同台帐!$A$4:$K$1093,11,1),VLOOKUP(A226,合同台帐!$A$4:$K$1093,11,1)),0)</f>
        <v>0</v>
      </c>
      <c r="I226" s="503"/>
      <c r="J226" s="489"/>
      <c r="K226" s="504"/>
    </row>
    <row r="227" spans="1:11" s="480" customFormat="1" ht="12.75">
      <c r="A227" s="2"/>
      <c r="B227" s="3" t="s">
        <v>674</v>
      </c>
      <c r="C227" s="4" t="s">
        <v>675</v>
      </c>
      <c r="D227" s="478">
        <f t="shared" ref="D227:H227" si="77">D228+D257+D297+D322+D337+D344+D347</f>
        <v>3348.4060942968063</v>
      </c>
      <c r="E227" s="478">
        <f t="shared" si="77"/>
        <v>38963.131499999996</v>
      </c>
      <c r="F227" s="478">
        <f t="shared" si="77"/>
        <v>333158322</v>
      </c>
      <c r="G227" s="478">
        <f t="shared" si="77"/>
        <v>2863.0895741798822</v>
      </c>
      <c r="H227" s="478">
        <f t="shared" ca="1" si="77"/>
        <v>65824962.5</v>
      </c>
      <c r="I227" s="517">
        <f>F227-E227*10000</f>
        <v>-56472992.99999994</v>
      </c>
      <c r="J227" s="477">
        <f>G227-D227</f>
        <v>-485.31652011692404</v>
      </c>
      <c r="K227" s="479"/>
    </row>
    <row r="228" spans="1:11" ht="12.75" outlineLevel="1">
      <c r="A228" s="5"/>
      <c r="B228" s="6" t="s">
        <v>676</v>
      </c>
      <c r="C228" s="7" t="s">
        <v>677</v>
      </c>
      <c r="D228" s="497">
        <f t="shared" ref="D228:H228" si="78">D229+D232+D236+D239+D245+D248+D252</f>
        <v>101.4815849887963</v>
      </c>
      <c r="E228" s="497">
        <f t="shared" si="78"/>
        <v>1180.8724</v>
      </c>
      <c r="F228" s="497">
        <f t="shared" si="78"/>
        <v>8362141</v>
      </c>
      <c r="G228" s="497">
        <f t="shared" si="78"/>
        <v>71.86240635142272</v>
      </c>
      <c r="H228" s="497">
        <f t="shared" ca="1" si="78"/>
        <v>1899260</v>
      </c>
      <c r="I228" s="482">
        <f>F228-E228*10000</f>
        <v>-3446583</v>
      </c>
      <c r="J228" s="483">
        <f>G228-D228</f>
        <v>-29.619178637373579</v>
      </c>
      <c r="K228" s="479"/>
    </row>
    <row r="229" spans="1:11" ht="12.75" outlineLevel="2">
      <c r="A229" s="18"/>
      <c r="B229" s="11" t="s">
        <v>678</v>
      </c>
      <c r="C229" s="12"/>
      <c r="D229" s="13">
        <f>E229/K$2*10000</f>
        <v>8.9313702388091354</v>
      </c>
      <c r="E229" s="492">
        <v>103.92829999999999</v>
      </c>
      <c r="F229" s="493">
        <f t="shared" ref="F229:H229" si="79">SUM(F230:F231)</f>
        <v>5764660</v>
      </c>
      <c r="G229" s="493">
        <f t="shared" si="79"/>
        <v>49.540224136114489</v>
      </c>
      <c r="H229" s="493">
        <f t="shared" ca="1" si="79"/>
        <v>0</v>
      </c>
      <c r="I229" s="503"/>
      <c r="J229" s="495"/>
      <c r="K229" s="479"/>
    </row>
    <row r="230" spans="1:11" s="491" customFormat="1" ht="12.75" outlineLevel="3">
      <c r="A230" s="509" t="s">
        <v>138</v>
      </c>
      <c r="B230" s="8" t="str">
        <f>IF(A230&lt;&gt;0,VLOOKUP(A230,合同台帐!$A$4:$D$195,4,1),"")</f>
        <v>三期桩基工程</v>
      </c>
      <c r="C230" s="9"/>
      <c r="D230" s="10"/>
      <c r="E230" s="486"/>
      <c r="F230" s="487">
        <f>IF(A230&lt;&gt;0,IF(VLOOKUP(A230,合同台帐!$A$4:$G$195,7,1),IF($H$2="元",VLOOKUP(A230,合同台帐!$A$4:$G$195,7,1),VLOOKUP(A230,合同台帐!$A$4:$G$195,7,1)),IF($H$2="元",VLOOKUP(A230,合同台帐!$A$4:$F$195,6,1),VLOOKUP(A230,合同台帐!$A$4:$F$195,6,1))),0)</f>
        <v>5764660</v>
      </c>
      <c r="G230" s="488">
        <f>F230/K$2</f>
        <v>49.540224136114489</v>
      </c>
      <c r="H230" s="486">
        <f ca="1">IF(A230&lt;&gt;0,IF($H$2="元",VLOOKUP(A230,合同台帐!$A$4:$K$1093,11,1),VLOOKUP(A230,合同台帐!$A$4:$K$1093,11,1)),0)</f>
        <v>0</v>
      </c>
      <c r="I230" s="503"/>
      <c r="J230" s="489"/>
      <c r="K230" s="504"/>
    </row>
    <row r="231" spans="1:11" s="484" customFormat="1" ht="12.75" outlineLevel="3">
      <c r="A231" s="405"/>
      <c r="B231" s="11"/>
      <c r="C231" s="12"/>
      <c r="D231" s="13"/>
      <c r="E231" s="492"/>
      <c r="F231" s="493"/>
      <c r="G231" s="494"/>
      <c r="H231" s="492">
        <f>IF(A231&lt;&gt;0,IF($H$2="元",VLOOKUP(A231,合同台帐!$A$4:$K$1093,11,1),VLOOKUP(A231,合同台帐!$A$4:$K$1093,11,1)),0)</f>
        <v>0</v>
      </c>
      <c r="I231" s="500"/>
      <c r="J231" s="495"/>
      <c r="K231" s="479"/>
    </row>
    <row r="232" spans="1:11" ht="12.75" outlineLevel="2">
      <c r="A232" s="18"/>
      <c r="B232" s="11" t="s">
        <v>679</v>
      </c>
      <c r="C232" s="12"/>
      <c r="D232" s="13">
        <f>E232/K$2*10000</f>
        <v>0.534318318107732</v>
      </c>
      <c r="E232" s="492">
        <v>6.2175000000000002</v>
      </c>
      <c r="F232" s="493">
        <f>SUM(F233:F235)</f>
        <v>184940</v>
      </c>
      <c r="G232" s="493">
        <f t="shared" ref="G232:H232" si="80">SUM(G233:G235)</f>
        <v>1.5893338118350455</v>
      </c>
      <c r="H232" s="493">
        <f t="shared" ca="1" si="80"/>
        <v>0</v>
      </c>
      <c r="I232" s="503"/>
      <c r="J232" s="495"/>
      <c r="K232" s="479"/>
    </row>
    <row r="233" spans="1:11" s="491" customFormat="1" ht="12.75" outlineLevel="3">
      <c r="A233" s="508" t="s">
        <v>147</v>
      </c>
      <c r="B233" s="8" t="str">
        <f>IF(A233&lt;&gt;0,VLOOKUP(A233,合同台帐!$A$4:$D$195,4,1),"")</f>
        <v>三期桩基检测</v>
      </c>
      <c r="C233" s="9"/>
      <c r="D233" s="10"/>
      <c r="E233" s="486"/>
      <c r="F233" s="487">
        <f>IF(A233&lt;&gt;0,IF(VLOOKUP(A233,合同台帐!$A$4:$G$195,7,1),IF($H$2="元",VLOOKUP(A233,合同台帐!$A$4:$G$195,7,1),VLOOKUP(A233,合同台帐!$A$4:$G$195,7,1)),IF($H$2="元",VLOOKUP(A233,合同台帐!$A$4:$F$195,6,1),VLOOKUP(A233,合同台帐!$A$4:$F$195,6,1))),0)</f>
        <v>184940</v>
      </c>
      <c r="G233" s="488">
        <f>F233/K$2</f>
        <v>1.5893338118350455</v>
      </c>
      <c r="H233" s="486">
        <f ca="1">IF(A233&lt;&gt;0,IF($H$2="元",VLOOKUP(A233,合同台帐!$A$4:$K$1093,11,1),VLOOKUP(A233,合同台帐!$A$4:$K$1093,11,1)),0)</f>
        <v>0</v>
      </c>
      <c r="I233" s="503"/>
      <c r="J233" s="489"/>
      <c r="K233" s="504"/>
    </row>
    <row r="234" spans="1:11" ht="12.75" outlineLevel="3">
      <c r="A234" s="405"/>
      <c r="B234" s="11"/>
      <c r="C234" s="12"/>
      <c r="D234" s="13"/>
      <c r="E234" s="492"/>
      <c r="F234" s="493"/>
      <c r="G234" s="494"/>
      <c r="H234" s="492">
        <f>IF(A234&lt;&gt;0,IF($H$2="元",VLOOKUP(A234,合同台帐!$A$4:$K$1093,11,1),VLOOKUP(A234,合同台帐!$A$4:$K$1093,11,1)),0)</f>
        <v>0</v>
      </c>
      <c r="I234" s="500"/>
      <c r="J234" s="495"/>
      <c r="K234" s="479"/>
    </row>
    <row r="235" spans="1:11" ht="12.75" outlineLevel="3">
      <c r="A235" s="405"/>
      <c r="B235" s="11"/>
      <c r="C235" s="12"/>
      <c r="D235" s="13"/>
      <c r="E235" s="492"/>
      <c r="F235" s="493"/>
      <c r="G235" s="494"/>
      <c r="H235" s="492">
        <f>IF(A235&lt;&gt;0,IF($H$2="元",VLOOKUP(A235,合同台帐!$A$4:$K$1093,11,1),VLOOKUP(A235,合同台帐!$A$4:$K$1093,11,1)),0)</f>
        <v>0</v>
      </c>
      <c r="I235" s="500"/>
      <c r="J235" s="495"/>
      <c r="K235" s="479"/>
    </row>
    <row r="236" spans="1:11" ht="12.75" outlineLevel="2">
      <c r="A236" s="18"/>
      <c r="B236" s="11" t="s">
        <v>680</v>
      </c>
      <c r="C236" s="12"/>
      <c r="D236" s="13">
        <f>E236/K$2*10000</f>
        <v>19.999996562487702</v>
      </c>
      <c r="E236" s="492">
        <v>232.72640000000001</v>
      </c>
      <c r="F236" s="493">
        <f>SUM(F237:F238)</f>
        <v>0</v>
      </c>
      <c r="G236" s="493">
        <f t="shared" ref="G236:H236" si="81">SUM(G237:G238)</f>
        <v>0</v>
      </c>
      <c r="H236" s="493">
        <f t="shared" si="81"/>
        <v>0</v>
      </c>
      <c r="I236" s="503"/>
      <c r="J236" s="495"/>
      <c r="K236" s="479"/>
    </row>
    <row r="237" spans="1:11" s="484" customFormat="1" ht="16.5" customHeight="1" outlineLevel="3">
      <c r="A237" s="506"/>
      <c r="B237" s="11" t="str">
        <f>IF(A237&lt;&gt;0,VLOOKUP(A237,合同台帐!$A$4:$D$893,4,1),"")</f>
        <v/>
      </c>
      <c r="C237" s="12"/>
      <c r="D237" s="13"/>
      <c r="E237" s="492"/>
      <c r="F237" s="493" t="str">
        <f>IF(A237&lt;&gt;0,VLOOKUP(A237,合同台帐!$A$4:$J$893,6,1),"")</f>
        <v/>
      </c>
      <c r="G237" s="494"/>
      <c r="H237" s="492">
        <f>IF(A237&lt;&gt;0,IF($H$2="元",VLOOKUP(A237,合同台帐!$A$4:$K$1093,11,1),VLOOKUP(A237,合同台帐!$A$4:$K$1093,11,1)),0)</f>
        <v>0</v>
      </c>
      <c r="I237" s="493"/>
      <c r="J237" s="495"/>
      <c r="K237" s="479"/>
    </row>
    <row r="238" spans="1:11" s="484" customFormat="1" ht="16.5" customHeight="1" outlineLevel="3">
      <c r="A238" s="506"/>
      <c r="B238" s="11"/>
      <c r="C238" s="12"/>
      <c r="D238" s="13"/>
      <c r="E238" s="492"/>
      <c r="F238" s="493"/>
      <c r="G238" s="494"/>
      <c r="H238" s="492"/>
      <c r="I238" s="500"/>
      <c r="J238" s="495"/>
      <c r="K238" s="479"/>
    </row>
    <row r="239" spans="1:11" ht="12.75" outlineLevel="2">
      <c r="A239" s="18"/>
      <c r="B239" s="11" t="s">
        <v>681</v>
      </c>
      <c r="C239" s="12"/>
      <c r="D239" s="13">
        <f>E239/K$2*10000</f>
        <v>25.000004296890374</v>
      </c>
      <c r="E239" s="492">
        <v>290.90809999999999</v>
      </c>
      <c r="F239" s="493">
        <f>SUM(F240:F244)</f>
        <v>1916178</v>
      </c>
      <c r="G239" s="493">
        <f t="shared" ref="G239:H239" si="82">SUM(G240:G244)</f>
        <v>16.467213609248695</v>
      </c>
      <c r="H239" s="493">
        <f t="shared" ca="1" si="82"/>
        <v>1486000</v>
      </c>
      <c r="I239" s="503"/>
      <c r="J239" s="495"/>
      <c r="K239" s="479"/>
    </row>
    <row r="240" spans="1:11" s="491" customFormat="1" ht="12.75" outlineLevel="3">
      <c r="A240" s="507" t="s">
        <v>80</v>
      </c>
      <c r="B240" s="8" t="str">
        <f>IF(A240&lt;&gt;0,VLOOKUP(A240,合同台帐!$A$4:$D$195,4,1),"")</f>
        <v>示范区强夯工程合同</v>
      </c>
      <c r="C240" s="9"/>
      <c r="D240" s="10"/>
      <c r="E240" s="486"/>
      <c r="F240" s="487">
        <f>IF(A240&lt;&gt;0,IF(VLOOKUP(A240,合同台帐!$A$4:$G$195,7,1),IF($H$2="元",VLOOKUP(A240,合同台帐!$A$4:$G$195,7,1),VLOOKUP(A240,合同台帐!$A$4:$G$195,7,1)),IF($H$2="元",VLOOKUP(A240,合同台帐!$A$4:$F$195,6,1),VLOOKUP(A240,合同台帐!$A$4:$F$195,6,1))),0)</f>
        <v>748148</v>
      </c>
      <c r="G240" s="488">
        <f t="shared" ref="G240:G243" si="83">F240/K$2</f>
        <v>6.4294198802680089</v>
      </c>
      <c r="H240" s="486">
        <f ca="1">IF(A240&lt;&gt;0,IF($H$2="元",VLOOKUP(A240,合同台帐!$A$4:$K$1093,11,1),VLOOKUP(A240,合同台帐!$A$4:$K$1093,11,1)),0)</f>
        <v>678130</v>
      </c>
      <c r="I240" s="503"/>
      <c r="J240" s="489"/>
      <c r="K240" s="504"/>
    </row>
    <row r="241" spans="1:11" s="491" customFormat="1" ht="12.75" outlineLevel="3">
      <c r="A241" s="507" t="s">
        <v>682</v>
      </c>
      <c r="B241" s="8" t="str">
        <f>IF(A241&lt;&gt;0,VLOOKUP(A241,合同台帐!$A$4:$D$195,4,1),"")</f>
        <v>一期强夯工程补充合同</v>
      </c>
      <c r="C241" s="9"/>
      <c r="D241" s="10"/>
      <c r="E241" s="486"/>
      <c r="F241" s="487">
        <f>IF(A241&lt;&gt;0,IF(VLOOKUP(A241,合同台帐!$A$4:$G$195,7,1),IF($H$2="元",VLOOKUP(A241,合同台帐!$A$4:$G$195,7,1),VLOOKUP(A241,合同台帐!$A$4:$G$195,7,1)),IF($H$2="元",VLOOKUP(A241,合同台帐!$A$4:$F$195,6,1),VLOOKUP(A241,合同台帐!$A$4:$F$195,6,1))),0)</f>
        <v>967950</v>
      </c>
      <c r="G241" s="488">
        <f t="shared" si="83"/>
        <v>8.3183500765963672</v>
      </c>
      <c r="H241" s="486">
        <f ca="1">IF(A241&lt;&gt;0,IF($H$2="元",VLOOKUP(A241,合同台帐!$A$4:$K$1093,11,1),VLOOKUP(A241,合同台帐!$A$4:$K$1093,11,1)),0)</f>
        <v>807870</v>
      </c>
      <c r="I241" s="503"/>
      <c r="J241" s="489"/>
      <c r="K241" s="504"/>
    </row>
    <row r="242" spans="1:11" s="491" customFormat="1" ht="12.75" outlineLevel="3">
      <c r="A242" s="507" t="s">
        <v>129</v>
      </c>
      <c r="B242" s="8" t="str">
        <f>IF(A242&lt;&gt;0,VLOOKUP(A242,合同台帐!$A$4:$D$195,4,1),"")</f>
        <v>一期工程强夯检测（一期）</v>
      </c>
      <c r="C242" s="9"/>
      <c r="D242" s="10"/>
      <c r="E242" s="486"/>
      <c r="F242" s="487">
        <f>IF(A242&lt;&gt;0,IF(VLOOKUP(A242,合同台帐!$A$4:$G$195,7,1),IF($H$2="元",VLOOKUP(A242,合同台帐!$A$4:$G$195,7,1),VLOOKUP(A242,合同台帐!$A$4:$G$195,7,1)),IF($H$2="元",VLOOKUP(A242,合同台帐!$A$4:$F$195,6,1),VLOOKUP(A242,合同台帐!$A$4:$F$195,6,1))),0)</f>
        <v>150000</v>
      </c>
      <c r="G242" s="488">
        <f t="shared" si="83"/>
        <v>1.2890671124432618</v>
      </c>
      <c r="H242" s="486">
        <f ca="1">IF(A242&lt;&gt;0,IF($H$2="元",VLOOKUP(A242,合同台帐!$A$4:$K$1093,11,1),VLOOKUP(A242,合同台帐!$A$4:$K$1093,11,1)),0)</f>
        <v>0</v>
      </c>
      <c r="I242" s="503"/>
      <c r="J242" s="489"/>
      <c r="K242" s="504"/>
    </row>
    <row r="243" spans="1:11" s="491" customFormat="1" ht="12.75" outlineLevel="3">
      <c r="A243" s="507" t="s">
        <v>148</v>
      </c>
      <c r="B243" s="8" t="str">
        <f>IF(A243&lt;&gt;0,VLOOKUP(A243,合同台帐!$A$4:$D$195,4,1),"")</f>
        <v>二期强夯检测</v>
      </c>
      <c r="C243" s="9"/>
      <c r="D243" s="10"/>
      <c r="E243" s="486"/>
      <c r="F243" s="487">
        <f>IF(A243&lt;&gt;0,IF(VLOOKUP(A243,合同台帐!$A$4:$G$195,7,1),IF($H$2="元",VLOOKUP(A243,合同台帐!$A$4:$G$195,7,1),VLOOKUP(A243,合同台帐!$A$4:$G$195,7,1)),IF($H$2="元",VLOOKUP(A243,合同台帐!$A$4:$F$195,6,1),VLOOKUP(A243,合同台帐!$A$4:$F$195,6,1))),0)</f>
        <v>50080</v>
      </c>
      <c r="G243" s="488">
        <f t="shared" si="83"/>
        <v>0.43037653994105696</v>
      </c>
      <c r="H243" s="486">
        <f ca="1">IF(A243&lt;&gt;0,IF($H$2="元",VLOOKUP(A243,合同台帐!$A$4:$K$1093,11,1),VLOOKUP(A243,合同台帐!$A$4:$K$1093,11,1)),0)</f>
        <v>0</v>
      </c>
      <c r="I243" s="503"/>
      <c r="J243" s="489"/>
      <c r="K243" s="504"/>
    </row>
    <row r="244" spans="1:11" s="491" customFormat="1" ht="12.75" outlineLevel="3">
      <c r="A244" s="509"/>
      <c r="B244" s="8"/>
      <c r="C244" s="9"/>
      <c r="D244" s="10"/>
      <c r="E244" s="486"/>
      <c r="F244" s="487"/>
      <c r="G244" s="488"/>
      <c r="H244" s="513"/>
      <c r="I244" s="503"/>
      <c r="J244" s="489"/>
      <c r="K244" s="504"/>
    </row>
    <row r="245" spans="1:11" ht="12.75" outlineLevel="2">
      <c r="A245" s="18"/>
      <c r="B245" s="11" t="s">
        <v>683</v>
      </c>
      <c r="C245" s="12"/>
      <c r="D245" s="13">
        <f>E245/K$2*10000</f>
        <v>43.499999398435349</v>
      </c>
      <c r="E245" s="492">
        <v>506.18</v>
      </c>
      <c r="F245" s="493">
        <f>SUM(F246:F247)</f>
        <v>0</v>
      </c>
      <c r="G245" s="493">
        <f t="shared" ref="G245:H245" si="84">SUM(G246:G247)</f>
        <v>0</v>
      </c>
      <c r="H245" s="493">
        <f t="shared" si="84"/>
        <v>0</v>
      </c>
      <c r="I245" s="503"/>
      <c r="J245" s="495"/>
      <c r="K245" s="479"/>
    </row>
    <row r="246" spans="1:11" s="484" customFormat="1" ht="16.5" customHeight="1" outlineLevel="3">
      <c r="A246" s="506"/>
      <c r="B246" s="11" t="str">
        <f>IF(A246&lt;&gt;0,VLOOKUP(A246,合同台帐!$A$4:$D$893,4,1),"")</f>
        <v/>
      </c>
      <c r="C246" s="12"/>
      <c r="D246" s="13"/>
      <c r="E246" s="492"/>
      <c r="F246" s="493" t="str">
        <f>IF(A246&lt;&gt;0,VLOOKUP(A246,合同台帐!$A$4:$J$893,6,1),"")</f>
        <v/>
      </c>
      <c r="G246" s="494"/>
      <c r="H246" s="492">
        <f>IF(A246&lt;&gt;0,IF($H$2="元",VLOOKUP(A246,合同台帐!$A$4:$K$1093,11,1),VLOOKUP(A246,合同台帐!$A$4:$K$1093,11,1)),0)</f>
        <v>0</v>
      </c>
      <c r="I246" s="493"/>
      <c r="J246" s="495"/>
      <c r="K246" s="479"/>
    </row>
    <row r="247" spans="1:11" s="484" customFormat="1" ht="12.75" outlineLevel="3">
      <c r="A247" s="405"/>
      <c r="B247" s="11"/>
      <c r="C247" s="12"/>
      <c r="D247" s="13"/>
      <c r="E247" s="492"/>
      <c r="F247" s="493"/>
      <c r="G247" s="494"/>
      <c r="H247" s="492">
        <f>IF(A247&lt;&gt;0,IF($H$2="元",VLOOKUP(A247,合同台帐!$A$4:$K$1093,11,1),VLOOKUP(A247,合同台帐!$A$4:$K$1093,11,1)),0)</f>
        <v>0</v>
      </c>
      <c r="I247" s="500"/>
      <c r="J247" s="495"/>
      <c r="K247" s="479"/>
    </row>
    <row r="248" spans="1:11" ht="12.75" outlineLevel="2">
      <c r="A248" s="18"/>
      <c r="B248" s="11" t="s">
        <v>684</v>
      </c>
      <c r="C248" s="12"/>
      <c r="D248" s="13">
        <f>E248/K$2*10000</f>
        <v>0.71589631156648981</v>
      </c>
      <c r="E248" s="492">
        <v>8.3303999999999991</v>
      </c>
      <c r="F248" s="493">
        <f>SUM(F249:F251)</f>
        <v>83103</v>
      </c>
      <c r="G248" s="493">
        <f t="shared" ref="G248:H248" si="85">SUM(G249:G251)</f>
        <v>0.71416896163581589</v>
      </c>
      <c r="H248" s="493">
        <f t="shared" ca="1" si="85"/>
        <v>0</v>
      </c>
      <c r="I248" s="503"/>
      <c r="J248" s="495"/>
      <c r="K248" s="479"/>
    </row>
    <row r="249" spans="1:11" s="491" customFormat="1" ht="12.75" outlineLevel="3">
      <c r="A249" s="507" t="s">
        <v>130</v>
      </c>
      <c r="B249" s="8" t="str">
        <f>IF(A249&lt;&gt;0,VLOOKUP(A249,合同台帐!$A$4:$D$195,4,1),"")</f>
        <v>沉降观测合同</v>
      </c>
      <c r="C249" s="9"/>
      <c r="D249" s="10"/>
      <c r="E249" s="486"/>
      <c r="F249" s="487">
        <f>IF(A249&lt;&gt;0,IF(VLOOKUP(A249,合同台帐!$A$4:$G$195,7,1),IF($H$2="元",VLOOKUP(A249,合同台帐!$A$4:$G$195,7,1),VLOOKUP(A249,合同台帐!$A$4:$G$195,7,1)),IF($H$2="元",VLOOKUP(A249,合同台帐!$A$4:$F$195,6,1),VLOOKUP(A249,合同台帐!$A$4:$F$195,6,1))),0)</f>
        <v>83103</v>
      </c>
      <c r="G249" s="488">
        <f t="shared" ref="G249" si="86">F249/K$2</f>
        <v>0.71416896163581589</v>
      </c>
      <c r="H249" s="486">
        <f ca="1">IF(A249&lt;&gt;0,IF($H$2="元",VLOOKUP(A249,合同台帐!$A$4:$K$1093,11,1),VLOOKUP(A249,合同台帐!$A$4:$K$1093,11,1)),0)</f>
        <v>0</v>
      </c>
      <c r="I249" s="503"/>
      <c r="J249" s="489"/>
      <c r="K249" s="504"/>
    </row>
    <row r="250" spans="1:11" ht="12.75" outlineLevel="2">
      <c r="A250" s="18"/>
      <c r="B250" s="11"/>
      <c r="C250" s="12"/>
      <c r="D250" s="13"/>
      <c r="E250" s="492"/>
      <c r="F250" s="493"/>
      <c r="G250" s="494"/>
      <c r="H250" s="518"/>
      <c r="I250" s="503"/>
      <c r="J250" s="495"/>
      <c r="K250" s="479"/>
    </row>
    <row r="251" spans="1:11" ht="12.75" outlineLevel="2">
      <c r="A251" s="18"/>
      <c r="B251" s="11"/>
      <c r="C251" s="12"/>
      <c r="D251" s="13"/>
      <c r="E251" s="492"/>
      <c r="F251" s="493"/>
      <c r="G251" s="494"/>
      <c r="H251" s="518"/>
      <c r="I251" s="503"/>
      <c r="J251" s="495"/>
      <c r="K251" s="479"/>
    </row>
    <row r="252" spans="1:11" ht="24" outlineLevel="2">
      <c r="A252" s="18"/>
      <c r="B252" s="11" t="s">
        <v>685</v>
      </c>
      <c r="C252" s="12"/>
      <c r="D252" s="13">
        <f>E252/K$2*10000</f>
        <v>2.7999998624995075</v>
      </c>
      <c r="E252" s="492">
        <v>32.581699999999998</v>
      </c>
      <c r="F252" s="493">
        <f>SUM(F253:F256)</f>
        <v>413260</v>
      </c>
      <c r="G252" s="493">
        <f t="shared" ref="G252:H252" si="87">SUM(G253:G256)</f>
        <v>3.5514658325886823</v>
      </c>
      <c r="H252" s="493">
        <f t="shared" ca="1" si="87"/>
        <v>413260</v>
      </c>
      <c r="I252" s="503"/>
      <c r="J252" s="495"/>
      <c r="K252" s="479"/>
    </row>
    <row r="253" spans="1:11" s="491" customFormat="1" ht="12.75" outlineLevel="3">
      <c r="A253" s="507" t="s">
        <v>686</v>
      </c>
      <c r="B253" s="8" t="str">
        <f>IF(A253&lt;&gt;0,VLOOKUP(A253,合同台帐!$A$4:$D$195,4,1),"")</f>
        <v>建筑物放线（一期楼座测绘）</v>
      </c>
      <c r="C253" s="9"/>
      <c r="D253" s="10"/>
      <c r="E253" s="486"/>
      <c r="F253" s="487">
        <f>IF(A253&lt;&gt;0,IF(VLOOKUP(A253,合同台帐!$A$4:$G$195,7,1),IF($H$2="元",VLOOKUP(A253,合同台帐!$A$4:$G$195,7,1),VLOOKUP(A253,合同台帐!$A$4:$G$195,7,1)),IF($H$2="元",VLOOKUP(A253,合同台帐!$A$4:$F$195,6,1),VLOOKUP(A253,合同台帐!$A$4:$F$195,6,1))),0)</f>
        <v>137711</v>
      </c>
      <c r="G253" s="488">
        <f t="shared" ref="G253:G255" si="88">F253/K$2</f>
        <v>1.1834581408111602</v>
      </c>
      <c r="H253" s="486">
        <f ca="1">IF(A253&lt;&gt;0,IF($H$2="元",VLOOKUP(A253,合同台帐!$A$4:$K$1093,11,1),VLOOKUP(A253,合同台帐!$A$4:$K$1093,11,1)),0)</f>
        <v>137711</v>
      </c>
      <c r="I253" s="503"/>
      <c r="J253" s="489"/>
      <c r="K253" s="504"/>
    </row>
    <row r="254" spans="1:11" s="491" customFormat="1" ht="12.75" outlineLevel="3">
      <c r="A254" s="507" t="s">
        <v>687</v>
      </c>
      <c r="B254" s="8" t="str">
        <f>IF(A254&lt;&gt;0,VLOOKUP(A254,合同台帐!$A$4:$D$195,4,1),"")</f>
        <v>二期放线、检线报告</v>
      </c>
      <c r="C254" s="9"/>
      <c r="D254" s="10"/>
      <c r="E254" s="486"/>
      <c r="F254" s="487">
        <f>IF(A254&lt;&gt;0,IF(VLOOKUP(A254,合同台帐!$A$4:$G$195,7,1),IF($H$2="元",VLOOKUP(A254,合同台帐!$A$4:$G$195,7,1),VLOOKUP(A254,合同台帐!$A$4:$G$195,7,1)),IF($H$2="元",VLOOKUP(A254,合同台帐!$A$4:$F$195,6,1),VLOOKUP(A254,合同台帐!$A$4:$F$195,6,1))),0)</f>
        <v>37738</v>
      </c>
      <c r="G254" s="488">
        <f t="shared" si="88"/>
        <v>0.32431209792922538</v>
      </c>
      <c r="H254" s="486">
        <f ca="1">IF(A254&lt;&gt;0,IF($H$2="元",VLOOKUP(A254,合同台帐!$A$4:$K$1093,11,1),VLOOKUP(A254,合同台帐!$A$4:$K$1093,11,1)),0)</f>
        <v>37738</v>
      </c>
      <c r="I254" s="503"/>
      <c r="J254" s="489"/>
      <c r="K254" s="504"/>
    </row>
    <row r="255" spans="1:11" s="491" customFormat="1" ht="12.75" outlineLevel="3">
      <c r="A255" s="507" t="s">
        <v>688</v>
      </c>
      <c r="B255" s="8" t="str">
        <f>IF(A255&lt;&gt;0,VLOOKUP(A255,合同台帐!$A$4:$D$195,4,1),"")</f>
        <v>三期放、验线报告</v>
      </c>
      <c r="C255" s="9"/>
      <c r="D255" s="10"/>
      <c r="E255" s="486"/>
      <c r="F255" s="487">
        <f>IF(A255&lt;&gt;0,IF(VLOOKUP(A255,合同台帐!$A$4:$G$195,7,1),IF($H$2="元",VLOOKUP(A255,合同台帐!$A$4:$G$195,7,1),VLOOKUP(A255,合同台帐!$A$4:$G$195,7,1)),IF($H$2="元",VLOOKUP(A255,合同台帐!$A$4:$F$195,6,1),VLOOKUP(A255,合同台帐!$A$4:$F$195,6,1))),0)</f>
        <v>237811</v>
      </c>
      <c r="G255" s="488">
        <f t="shared" si="88"/>
        <v>2.0436955938482968</v>
      </c>
      <c r="H255" s="486">
        <f ca="1">IF(A255&lt;&gt;0,IF($H$2="元",VLOOKUP(A255,合同台帐!$A$4:$K$1093,11,1),VLOOKUP(A255,合同台帐!$A$4:$K$1093,11,1)),0)</f>
        <v>237811</v>
      </c>
      <c r="I255" s="503"/>
      <c r="J255" s="489"/>
      <c r="K255" s="504"/>
    </row>
    <row r="256" spans="1:11" ht="12.75" outlineLevel="2">
      <c r="A256" s="18"/>
      <c r="B256" s="11"/>
      <c r="C256" s="12"/>
      <c r="D256" s="13"/>
      <c r="E256" s="492"/>
      <c r="F256" s="493"/>
      <c r="G256" s="494"/>
      <c r="H256" s="518"/>
      <c r="I256" s="503"/>
      <c r="J256" s="495"/>
      <c r="K256" s="479"/>
    </row>
    <row r="257" spans="1:11" ht="12.75" outlineLevel="1">
      <c r="A257" s="5"/>
      <c r="B257" s="6" t="s">
        <v>689</v>
      </c>
      <c r="C257" s="7" t="s">
        <v>690</v>
      </c>
      <c r="D257" s="497">
        <f t="shared" ref="D257:H257" si="89">D258+D266+D270+D274+D279+D282+D285+D292</f>
        <v>2680.9616217220528</v>
      </c>
      <c r="E257" s="497">
        <f t="shared" si="89"/>
        <v>31196.5327</v>
      </c>
      <c r="F257" s="497">
        <f t="shared" si="89"/>
        <v>289611669</v>
      </c>
      <c r="G257" s="497">
        <f t="shared" si="89"/>
        <v>2488.8591859180242</v>
      </c>
      <c r="H257" s="497">
        <f t="shared" ca="1" si="89"/>
        <v>48110654</v>
      </c>
      <c r="I257" s="497" t="e">
        <f>I258+I266+I270+I274+#REF!+I279+#REF!+#REF!+I282+I285+I292+#REF!</f>
        <v>#REF!</v>
      </c>
      <c r="J257" s="497" t="e">
        <f>J258+J266+J270+J274+#REF!+J279+#REF!+#REF!+J282+J285+J292+#REF!</f>
        <v>#REF!</v>
      </c>
      <c r="K257" s="479"/>
    </row>
    <row r="258" spans="1:11" s="484" customFormat="1" ht="12.75" outlineLevel="2">
      <c r="A258" s="15"/>
      <c r="B258" s="11" t="s">
        <v>691</v>
      </c>
      <c r="C258" s="12"/>
      <c r="D258" s="13">
        <f>E258/K$2*10000</f>
        <v>1917.3951614608122</v>
      </c>
      <c r="E258" s="492">
        <v>22311.427500000002</v>
      </c>
      <c r="F258" s="493">
        <f>SUM(F259:F265)</f>
        <v>239900072</v>
      </c>
      <c r="G258" s="493">
        <f t="shared" ref="G258:H258" si="90">SUM(G259:G265)</f>
        <v>2061.6486205864703</v>
      </c>
      <c r="H258" s="493">
        <f t="shared" ca="1" si="90"/>
        <v>34122692</v>
      </c>
      <c r="I258" s="482">
        <f>F258-E258*10000</f>
        <v>16785796.99999997</v>
      </c>
      <c r="J258" s="495"/>
      <c r="K258" s="479"/>
    </row>
    <row r="259" spans="1:11" s="491" customFormat="1" ht="12" customHeight="1" outlineLevel="3">
      <c r="A259" s="509" t="s">
        <v>77</v>
      </c>
      <c r="B259" s="8" t="str">
        <f>IF(A259&lt;&gt;0,VLOOKUP(A259,合同台帐!$A$4:$D$195,4,1),"")</f>
        <v>总包一期工程</v>
      </c>
      <c r="C259" s="9"/>
      <c r="D259" s="10"/>
      <c r="E259" s="486"/>
      <c r="F259" s="487">
        <f>IF(A259&lt;&gt;0,IF(VLOOKUP(A259,合同台帐!$A$4:$G$195,7,1),IF($H$2="元",VLOOKUP(A259,合同台帐!$A$4:$G$195,7,1),VLOOKUP(A259,合同台帐!$A$4:$G$195,7,1)),IF($H$2="元",VLOOKUP(A259,合同台帐!$A$4:$F$195,6,1),VLOOKUP(A259,合同台帐!$A$4:$F$195,6,1))),0)</f>
        <v>110000000</v>
      </c>
      <c r="G259" s="488">
        <f t="shared" ref="G259:G264" si="91">F259/K$2</f>
        <v>945.31588245839191</v>
      </c>
      <c r="H259" s="486">
        <f ca="1">IF(A259&lt;&gt;0,IF($H$2="元",VLOOKUP(A259,合同台帐!$A$4:$K$1093,11,1),VLOOKUP(A259,合同台帐!$A$4:$K$1093,11,1)),0)</f>
        <v>33863610</v>
      </c>
      <c r="I259" s="503"/>
      <c r="J259" s="489"/>
      <c r="K259" s="504"/>
    </row>
    <row r="260" spans="1:11" s="491" customFormat="1" ht="12" customHeight="1" outlineLevel="3">
      <c r="A260" s="507" t="s">
        <v>692</v>
      </c>
      <c r="B260" s="8" t="str">
        <f>IF(A260&lt;&gt;0,VLOOKUP(A260,合同台帐!$A$4:$D$195,4,1),"")</f>
        <v>清运拉圾（三期）</v>
      </c>
      <c r="C260" s="9"/>
      <c r="D260" s="10"/>
      <c r="E260" s="486"/>
      <c r="F260" s="487">
        <f>IF(A260&lt;&gt;0,IF(VLOOKUP(A260,合同台帐!$A$4:$G$195,7,1),IF($H$2="元",VLOOKUP(A260,合同台帐!$A$4:$G$195,7,1),VLOOKUP(A260,合同台帐!$A$4:$G$195,7,1)),IF($H$2="元",VLOOKUP(A260,合同台帐!$A$4:$F$195,6,1),VLOOKUP(A260,合同台帐!$A$4:$F$195,6,1))),0)</f>
        <v>135990</v>
      </c>
      <c r="G260" s="488">
        <f t="shared" si="91"/>
        <v>1.168668244141061</v>
      </c>
      <c r="H260" s="486">
        <f ca="1">IF(A260&lt;&gt;0,IF($H$2="元",VLOOKUP(A260,合同台帐!$A$4:$K$1093,11,1),VLOOKUP(A260,合同台帐!$A$4:$K$1093,11,1)),0)</f>
        <v>95000</v>
      </c>
      <c r="I260" s="503"/>
      <c r="J260" s="489"/>
      <c r="K260" s="504"/>
    </row>
    <row r="261" spans="1:11" s="491" customFormat="1" ht="12" customHeight="1" outlineLevel="3">
      <c r="A261" s="507" t="s">
        <v>693</v>
      </c>
      <c r="B261" s="8" t="str">
        <f>IF(A261&lt;&gt;0,VLOOKUP(A261,合同台帐!$A$4:$D$195,4,1),"")</f>
        <v>示范区现场垃圾清运（结签证）</v>
      </c>
      <c r="C261" s="9"/>
      <c r="D261" s="10"/>
      <c r="E261" s="486"/>
      <c r="F261" s="487">
        <f>IF(A261&lt;&gt;0,IF(VLOOKUP(A261,合同台帐!$A$4:$G$195,7,1),IF($H$2="元",VLOOKUP(A261,合同台帐!$A$4:$G$195,7,1),VLOOKUP(A261,合同台帐!$A$4:$G$195,7,1)),IF($H$2="元",VLOOKUP(A261,合同台帐!$A$4:$F$195,6,1),VLOOKUP(A261,合同台帐!$A$4:$F$195,6,1))),0)</f>
        <v>164082</v>
      </c>
      <c r="G261" s="488">
        <f t="shared" si="91"/>
        <v>1.410084732959435</v>
      </c>
      <c r="H261" s="486">
        <f ca="1">IF(A261&lt;&gt;0,IF($H$2="元",VLOOKUP(A261,合同台帐!$A$4:$K$1093,11,1),VLOOKUP(A261,合同台帐!$A$4:$K$1093,11,1)),0)</f>
        <v>164082</v>
      </c>
      <c r="I261" s="503"/>
      <c r="J261" s="489"/>
      <c r="K261" s="504"/>
    </row>
    <row r="262" spans="1:11" s="491" customFormat="1" ht="12" customHeight="1" outlineLevel="3">
      <c r="A262" s="509" t="s">
        <v>139</v>
      </c>
      <c r="B262" s="8" t="str">
        <f>IF(A262&lt;&gt;0,VLOOKUP(A262,合同台帐!$A$4:$D$195,4,1),"")</f>
        <v>东侧挡土墙</v>
      </c>
      <c r="C262" s="9"/>
      <c r="D262" s="10"/>
      <c r="E262" s="486"/>
      <c r="F262" s="487">
        <f>IF(A262&lt;&gt;0,IF(VLOOKUP(A262,合同台帐!$A$4:$G$195,7,1),IF($H$2="元",VLOOKUP(A262,合同台帐!$A$4:$G$195,7,1),VLOOKUP(A262,合同台帐!$A$4:$G$195,7,1)),IF($H$2="元",VLOOKUP(A262,合同台帐!$A$4:$F$195,6,1),VLOOKUP(A262,合同台帐!$A$4:$F$195,6,1))),0)</f>
        <v>4700000</v>
      </c>
      <c r="G262" s="488">
        <f t="shared" si="91"/>
        <v>40.390769523222197</v>
      </c>
      <c r="H262" s="486">
        <f ca="1">IF(A262&lt;&gt;0,IF($H$2="元",VLOOKUP(A262,合同台帐!$A$4:$K$1093,11,1),VLOOKUP(A262,合同台帐!$A$4:$K$1093,11,1)),0)</f>
        <v>0</v>
      </c>
      <c r="I262" s="503"/>
      <c r="J262" s="489"/>
      <c r="K262" s="504"/>
    </row>
    <row r="263" spans="1:11" s="491" customFormat="1" ht="12" customHeight="1" outlineLevel="3">
      <c r="A263" s="509" t="s">
        <v>140</v>
      </c>
      <c r="B263" s="8" t="str">
        <f>IF(A263&lt;&gt;0,VLOOKUP(A263,合同台帐!$A$4:$D$195,4,1),"")</f>
        <v>二期总包工程</v>
      </c>
      <c r="C263" s="9"/>
      <c r="D263" s="10"/>
      <c r="E263" s="486"/>
      <c r="F263" s="487">
        <f>IF(A263&lt;&gt;0,IF(VLOOKUP(A263,合同台帐!$A$4:$G$195,7,1),IF($H$2="元",VLOOKUP(A263,合同台帐!$A$4:$G$195,7,1),VLOOKUP(A263,合同台帐!$A$4:$G$195,7,1)),IF($H$2="元",VLOOKUP(A263,合同台帐!$A$4:$F$195,6,1),VLOOKUP(A263,合同台帐!$A$4:$F$195,6,1))),0)</f>
        <v>46454897</v>
      </c>
      <c r="G263" s="488">
        <f t="shared" si="91"/>
        <v>399.22319956426094</v>
      </c>
      <c r="H263" s="486">
        <f ca="1">IF(A263&lt;&gt;0,IF($H$2="元",VLOOKUP(A263,合同台帐!$A$4:$K$1093,11,1),VLOOKUP(A263,合同台帐!$A$4:$K$1093,11,1)),0)</f>
        <v>0</v>
      </c>
      <c r="I263" s="503"/>
      <c r="J263" s="489"/>
      <c r="K263" s="504"/>
    </row>
    <row r="264" spans="1:11" s="491" customFormat="1" ht="12" customHeight="1" outlineLevel="3">
      <c r="A264" s="509" t="s">
        <v>141</v>
      </c>
      <c r="B264" s="8" t="str">
        <f>IF(A264&lt;&gt;0,VLOOKUP(A264,合同台帐!$A$4:$D$195,4,1),"")</f>
        <v>三期总包工程</v>
      </c>
      <c r="C264" s="9"/>
      <c r="D264" s="10"/>
      <c r="E264" s="486"/>
      <c r="F264" s="487">
        <f>IF(A264&lt;&gt;0,IF(VLOOKUP(A264,合同台帐!$A$4:$G$195,7,1),IF($H$2="元",VLOOKUP(A264,合同台帐!$A$4:$G$195,7,1),VLOOKUP(A264,合同台帐!$A$4:$G$195,7,1)),IF($H$2="元",VLOOKUP(A264,合同台帐!$A$4:$F$195,6,1),VLOOKUP(A264,合同台帐!$A$4:$F$195,6,1))),0)</f>
        <v>78445103</v>
      </c>
      <c r="G264" s="488">
        <f t="shared" si="91"/>
        <v>674.14001606349495</v>
      </c>
      <c r="H264" s="486">
        <f ca="1">IF(A264&lt;&gt;0,IF($H$2="元",VLOOKUP(A264,合同台帐!$A$4:$K$1093,11,1),VLOOKUP(A264,合同台帐!$A$4:$K$1093,11,1)),0)</f>
        <v>0</v>
      </c>
      <c r="I264" s="503"/>
      <c r="J264" s="489"/>
      <c r="K264" s="504"/>
    </row>
    <row r="265" spans="1:11" s="484" customFormat="1" ht="12.75" outlineLevel="3">
      <c r="A265" s="18"/>
      <c r="B265" s="11"/>
      <c r="C265" s="12"/>
      <c r="D265" s="13"/>
      <c r="E265" s="492"/>
      <c r="F265" s="493"/>
      <c r="G265" s="494"/>
      <c r="H265" s="492">
        <f>IF(A265&lt;&gt;0,IF($H$2="元",VLOOKUP(A265,合同台帐!$A$4:$K$1093,11,1),VLOOKUP(A265,合同台帐!$A$4:$K$1093,11,1)),0)</f>
        <v>0</v>
      </c>
      <c r="I265" s="493"/>
      <c r="J265" s="495"/>
      <c r="K265" s="479"/>
    </row>
    <row r="266" spans="1:11" s="484" customFormat="1" ht="12.75" outlineLevel="2">
      <c r="A266" s="15"/>
      <c r="B266" s="11" t="s">
        <v>694</v>
      </c>
      <c r="C266" s="12"/>
      <c r="D266" s="13">
        <f>E266/K$2*10000</f>
        <v>0</v>
      </c>
      <c r="E266" s="492">
        <v>0</v>
      </c>
      <c r="F266" s="493">
        <f>SUM(F267:F269)</f>
        <v>149014</v>
      </c>
      <c r="G266" s="493">
        <f t="shared" ref="G266:H266" si="92">SUM(G267:G269)</f>
        <v>1.2805936446241346</v>
      </c>
      <c r="H266" s="493">
        <f t="shared" ca="1" si="92"/>
        <v>124507</v>
      </c>
      <c r="I266" s="482">
        <f>F266-E266*10000</f>
        <v>149014</v>
      </c>
      <c r="J266" s="495"/>
      <c r="K266" s="479"/>
    </row>
    <row r="267" spans="1:11" s="491" customFormat="1" ht="12.75" outlineLevel="3">
      <c r="A267" s="507" t="s">
        <v>695</v>
      </c>
      <c r="B267" s="8" t="str">
        <f>IF(A267&lt;&gt;0,VLOOKUP(A267,合同台帐!$A$4:$D$195,4,1),"")</f>
        <v>33#楼公共部位精装修、门卫精装修</v>
      </c>
      <c r="C267" s="9"/>
      <c r="D267" s="10"/>
      <c r="E267" s="486"/>
      <c r="F267" s="487">
        <f>IF(A267&lt;&gt;0,IF(VLOOKUP(A267,合同台帐!$A$4:$G$195,7,1),IF($H$2="元",VLOOKUP(A267,合同台帐!$A$4:$G$195,7,1),VLOOKUP(A267,合同台帐!$A$4:$G$195,7,1)),IF($H$2="元",VLOOKUP(A267,合同台帐!$A$4:$F$195,6,1),VLOOKUP(A267,合同台帐!$A$4:$F$195,6,1))),0)</f>
        <v>149014</v>
      </c>
      <c r="G267" s="488">
        <f>F267/K$2</f>
        <v>1.2805936446241346</v>
      </c>
      <c r="H267" s="486">
        <f ca="1">IF(A267&lt;&gt;0,IF($H$2="元",VLOOKUP(A267,合同台帐!$A$4:$K$1093,11,1),VLOOKUP(A267,合同台帐!$A$4:$K$1093,11,1)),0)</f>
        <v>124507</v>
      </c>
      <c r="I267" s="503"/>
      <c r="J267" s="489"/>
      <c r="K267" s="504"/>
    </row>
    <row r="268" spans="1:11" s="484" customFormat="1" ht="12.75" outlineLevel="3">
      <c r="A268" s="18"/>
      <c r="B268" s="11"/>
      <c r="C268" s="12"/>
      <c r="D268" s="13"/>
      <c r="E268" s="492"/>
      <c r="F268" s="493"/>
      <c r="G268" s="494"/>
      <c r="H268" s="492">
        <f>IF(A268&lt;&gt;0,IF($H$2="元",VLOOKUP(A268,合同台帐!$A$4:$K$1093,11,1),VLOOKUP(A268,合同台帐!$A$4:$K$1093,11,1)),0)</f>
        <v>0</v>
      </c>
      <c r="I268" s="495"/>
      <c r="J268" s="495"/>
      <c r="K268" s="479"/>
    </row>
    <row r="269" spans="1:11" s="484" customFormat="1" ht="12.75" outlineLevel="3">
      <c r="A269" s="15"/>
      <c r="B269" s="11"/>
      <c r="C269" s="12"/>
      <c r="D269" s="13"/>
      <c r="E269" s="492"/>
      <c r="F269" s="493"/>
      <c r="G269" s="494"/>
      <c r="H269" s="492">
        <f>IF(A269&lt;&gt;0,IF($H$2="元",VLOOKUP(A269,合同台帐!$A$4:$K$1093,11,1),VLOOKUP(A269,合同台帐!$A$4:$K$1093,11,1)),0)</f>
        <v>0</v>
      </c>
      <c r="I269" s="495"/>
      <c r="J269" s="495"/>
      <c r="K269" s="479"/>
    </row>
    <row r="270" spans="1:11" s="484" customFormat="1" ht="21.75" customHeight="1" outlineLevel="2">
      <c r="A270" s="15"/>
      <c r="B270" s="11" t="s">
        <v>696</v>
      </c>
      <c r="C270" s="12"/>
      <c r="D270" s="13">
        <f>E270/K$2*10000</f>
        <v>35.329427975609477</v>
      </c>
      <c r="E270" s="492">
        <v>411.1046</v>
      </c>
      <c r="F270" s="493">
        <f t="shared" ref="F270:H270" si="93">SUM(F271:F273)</f>
        <v>4210474</v>
      </c>
      <c r="G270" s="493">
        <f t="shared" si="93"/>
        <v>36.183890407982865</v>
      </c>
      <c r="H270" s="493">
        <f t="shared" ca="1" si="93"/>
        <v>2480397</v>
      </c>
      <c r="I270" s="482">
        <f>F270-E270*10000</f>
        <v>99428</v>
      </c>
      <c r="J270" s="495"/>
      <c r="K270" s="479"/>
    </row>
    <row r="271" spans="1:11" s="491" customFormat="1" ht="12.75" outlineLevel="3">
      <c r="A271" s="507" t="s">
        <v>697</v>
      </c>
      <c r="B271" s="8" t="str">
        <f>IF(A271&lt;&gt;0,VLOOKUP(A271,合同台帐!$A$4:$D$195,4,1),"")</f>
        <v>售楼处样板间精装修工程</v>
      </c>
      <c r="C271" s="9"/>
      <c r="D271" s="10"/>
      <c r="E271" s="486"/>
      <c r="F271" s="487">
        <f>IF(A271&lt;&gt;0,IF(VLOOKUP(A271,合同台帐!$A$4:$G$195,7,1),IF($H$2="元",VLOOKUP(A271,合同台帐!$A$4:$G$195,7,1),VLOOKUP(A271,合同台帐!$A$4:$G$195,7,1)),IF($H$2="元",VLOOKUP(A271,合同台帐!$A$4:$F$195,6,1),VLOOKUP(A271,合同台帐!$A$4:$F$195,6,1))),0)</f>
        <v>3760794</v>
      </c>
      <c r="G271" s="488">
        <f t="shared" ref="G271:G273" si="94">F271/K$2</f>
        <v>32.319439080492963</v>
      </c>
      <c r="H271" s="486">
        <f ca="1">IF(A271&lt;&gt;0,IF($H$2="元",VLOOKUP(A271,合同台帐!$A$4:$K$1093,11,1),VLOOKUP(A271,合同台帐!$A$4:$K$1093,11,1)),0)</f>
        <v>2130397</v>
      </c>
      <c r="I271" s="503"/>
      <c r="J271" s="489"/>
      <c r="K271" s="504"/>
    </row>
    <row r="272" spans="1:11" s="491" customFormat="1" ht="12.75" outlineLevel="3">
      <c r="A272" s="507" t="s">
        <v>698</v>
      </c>
      <c r="B272" s="8" t="str">
        <f>IF(A272&lt;&gt;0,VLOOKUP(A272,合同台帐!$A$4:$D$195,4,1),"")</f>
        <v>售楼处、样板间钢结构工程</v>
      </c>
      <c r="C272" s="9"/>
      <c r="D272" s="10"/>
      <c r="E272" s="486"/>
      <c r="F272" s="487">
        <f>IF(A272&lt;&gt;0,IF(VLOOKUP(A272,合同台帐!$A$4:$G$195,7,1),IF($H$2="元",VLOOKUP(A272,合同台帐!$A$4:$G$195,7,1),VLOOKUP(A272,合同台帐!$A$4:$G$195,7,1)),IF($H$2="元",VLOOKUP(A272,合同台帐!$A$4:$F$195,6,1),VLOOKUP(A272,合同台帐!$A$4:$F$195,6,1))),0)</f>
        <v>349680</v>
      </c>
      <c r="G272" s="488">
        <f t="shared" si="94"/>
        <v>3.0050732525277315</v>
      </c>
      <c r="H272" s="486">
        <f ca="1">IF(A272&lt;&gt;0,IF($H$2="元",VLOOKUP(A272,合同台帐!$A$4:$K$1093,11,1),VLOOKUP(A272,合同台帐!$A$4:$K$1093,11,1)),0)</f>
        <v>250000</v>
      </c>
      <c r="I272" s="503"/>
      <c r="J272" s="489"/>
      <c r="K272" s="504"/>
    </row>
    <row r="273" spans="1:11" s="491" customFormat="1" ht="12.75" outlineLevel="3">
      <c r="A273" s="507" t="s">
        <v>699</v>
      </c>
      <c r="B273" s="8" t="str">
        <f>IF(A273&lt;&gt;0,VLOOKUP(A273,合同台帐!$A$4:$D$195,4,1),"")</f>
        <v>维修改建工程（集团办公室精装）</v>
      </c>
      <c r="C273" s="9"/>
      <c r="D273" s="10"/>
      <c r="E273" s="486"/>
      <c r="F273" s="487">
        <f>IF(A273&lt;&gt;0,IF(VLOOKUP(A273,合同台帐!$A$4:$G$195,7,1),IF($H$2="元",VLOOKUP(A273,合同台帐!$A$4:$G$195,7,1),VLOOKUP(A273,合同台帐!$A$4:$G$195,7,1)),IF($H$2="元",VLOOKUP(A273,合同台帐!$A$4:$F$195,6,1),VLOOKUP(A273,合同台帐!$A$4:$F$195,6,1))),0)</f>
        <v>100000</v>
      </c>
      <c r="G273" s="488">
        <f t="shared" si="94"/>
        <v>0.85937807496217444</v>
      </c>
      <c r="H273" s="486">
        <f ca="1">IF(A273&lt;&gt;0,IF($H$2="元",VLOOKUP(A273,合同台帐!$A$4:$K$1093,11,1),VLOOKUP(A273,合同台帐!$A$4:$K$1093,11,1)),0)</f>
        <v>100000</v>
      </c>
      <c r="I273" s="503"/>
      <c r="J273" s="489"/>
      <c r="K273" s="504"/>
    </row>
    <row r="274" spans="1:11" s="484" customFormat="1" ht="12.75" outlineLevel="2">
      <c r="A274" s="15"/>
      <c r="B274" s="11" t="s">
        <v>700</v>
      </c>
      <c r="C274" s="12"/>
      <c r="D274" s="13">
        <f>E274/K$2*10000</f>
        <v>542.14585158437524</v>
      </c>
      <c r="E274" s="492">
        <v>6308.5837000000001</v>
      </c>
      <c r="F274" s="493">
        <f>F275+F276+F277+F278</f>
        <v>34438905</v>
      </c>
      <c r="G274" s="493">
        <f t="shared" ref="G274:H274" si="95">G275+G276+G277+G278</f>
        <v>295.96039882705207</v>
      </c>
      <c r="H274" s="493">
        <f t="shared" ca="1" si="95"/>
        <v>9635504</v>
      </c>
      <c r="I274" s="482">
        <f>F274-E274*10000</f>
        <v>-28646932</v>
      </c>
      <c r="J274" s="495"/>
      <c r="K274" s="479"/>
    </row>
    <row r="275" spans="1:11" s="491" customFormat="1" ht="12.75" outlineLevel="3">
      <c r="A275" s="507" t="s">
        <v>701</v>
      </c>
      <c r="B275" s="8" t="str">
        <f>IF(A275&lt;&gt;0,VLOOKUP(A275,合同台帐!$A$4:$D$195,4,1),"")</f>
        <v>一期保温涂料线条线角</v>
      </c>
      <c r="C275" s="9"/>
      <c r="D275" s="10"/>
      <c r="E275" s="486"/>
      <c r="F275" s="487">
        <f>IF(A275&lt;&gt;0,IF(VLOOKUP(A275,合同台帐!$A$4:$G$195,7,1),IF($H$2="元",VLOOKUP(A275,合同台帐!$A$4:$G$195,7,1),VLOOKUP(A275,合同台帐!$A$4:$G$195,7,1)),IF($H$2="元",VLOOKUP(A275,合同台帐!$A$4:$F$195,6,1),VLOOKUP(A275,合同台帐!$A$4:$F$195,6,1))),0)</f>
        <v>22594696</v>
      </c>
      <c r="G275" s="488">
        <f t="shared" ref="G275:G277" si="96">F275/K$2</f>
        <v>194.17386352835544</v>
      </c>
      <c r="H275" s="486">
        <f ca="1">IF(A275&lt;&gt;0,IF($H$2="元",VLOOKUP(A275,合同台帐!$A$4:$K$1093,11,1),VLOOKUP(A275,合同台帐!$A$4:$K$1093,11,1)),0)</f>
        <v>5505504</v>
      </c>
      <c r="I275" s="503"/>
      <c r="J275" s="489"/>
      <c r="K275" s="504"/>
    </row>
    <row r="276" spans="1:11" s="491" customFormat="1" ht="12.75" outlineLevel="3">
      <c r="A276" s="509" t="s">
        <v>702</v>
      </c>
      <c r="B276" s="8" t="str">
        <f>IF(A276&lt;&gt;0,VLOOKUP(A276,合同台帐!$A$4:$D$195,4,1),"")</f>
        <v>外檐石材一体板及保温（一期）</v>
      </c>
      <c r="C276" s="9"/>
      <c r="D276" s="10"/>
      <c r="E276" s="486"/>
      <c r="F276" s="487">
        <f>IF(A276&lt;&gt;0,IF(VLOOKUP(A276,合同台帐!$A$4:$G$195,7,1),IF($H$2="元",VLOOKUP(A276,合同台帐!$A$4:$G$195,7,1),VLOOKUP(A276,合同台帐!$A$4:$G$195,7,1)),IF($H$2="元",VLOOKUP(A276,合同台帐!$A$4:$F$195,6,1),VLOOKUP(A276,合同台帐!$A$4:$F$195,6,1))),0)</f>
        <v>11284542</v>
      </c>
      <c r="G276" s="488">
        <f t="shared" si="96"/>
        <v>96.976879807898058</v>
      </c>
      <c r="H276" s="486">
        <f ca="1">IF(A276&lt;&gt;0,IF($H$2="元",VLOOKUP(A276,合同台帐!$A$4:$K$1093,11,1),VLOOKUP(A276,合同台帐!$A$4:$K$1093,11,1)),0)</f>
        <v>3600000</v>
      </c>
      <c r="I276" s="503"/>
      <c r="J276" s="489"/>
      <c r="K276" s="504"/>
    </row>
    <row r="277" spans="1:11" s="491" customFormat="1" ht="12.75" outlineLevel="3">
      <c r="A277" s="507" t="s">
        <v>703</v>
      </c>
      <c r="B277" s="8" t="str">
        <f>IF(A277&lt;&gt;0,VLOOKUP(A277,合同台帐!$A$4:$D$195,4,1),"")</f>
        <v>大门入口外檐装饰</v>
      </c>
      <c r="C277" s="9"/>
      <c r="D277" s="10"/>
      <c r="E277" s="486"/>
      <c r="F277" s="487">
        <f>IF(A277&lt;&gt;0,IF(VLOOKUP(A277,合同台帐!$A$4:$G$195,7,1),IF($H$2="元",VLOOKUP(A277,合同台帐!$A$4:$G$195,7,1),VLOOKUP(A277,合同台帐!$A$4:$G$195,7,1)),IF($H$2="元",VLOOKUP(A277,合同台帐!$A$4:$F$195,6,1),VLOOKUP(A277,合同台帐!$A$4:$F$195,6,1))),0)</f>
        <v>559667</v>
      </c>
      <c r="G277" s="488">
        <f t="shared" si="96"/>
        <v>4.8096554907985531</v>
      </c>
      <c r="H277" s="486">
        <f ca="1">IF(A277&lt;&gt;0,IF($H$2="元",VLOOKUP(A277,合同台帐!$A$4:$K$1093,11,1),VLOOKUP(A277,合同台帐!$A$4:$K$1093,11,1)),0)</f>
        <v>530000</v>
      </c>
      <c r="I277" s="503"/>
      <c r="J277" s="489"/>
      <c r="K277" s="504"/>
    </row>
    <row r="278" spans="1:11" s="484" customFormat="1" ht="12.75" outlineLevel="3">
      <c r="A278" s="15"/>
      <c r="B278" s="11"/>
      <c r="C278" s="12"/>
      <c r="D278" s="13"/>
      <c r="E278" s="492"/>
      <c r="F278" s="493"/>
      <c r="G278" s="494"/>
      <c r="H278" s="492">
        <f>IF(A278&lt;&gt;0,IF($H$2="元",VLOOKUP(A278,合同台帐!$A$4:$K$1093,11,1),VLOOKUP(A278,合同台帐!$A$4:$K$1093,11,1)),0)</f>
        <v>0</v>
      </c>
      <c r="I278" s="495"/>
      <c r="J278" s="495"/>
      <c r="K278" s="479"/>
    </row>
    <row r="279" spans="1:11" s="484" customFormat="1" ht="12.75" outlineLevel="2">
      <c r="A279" s="15"/>
      <c r="B279" s="11" t="s">
        <v>704</v>
      </c>
      <c r="C279" s="12"/>
      <c r="D279" s="13">
        <f>E279/K$2*10000</f>
        <v>108.58183539437975</v>
      </c>
      <c r="E279" s="492">
        <v>1263.4931999999999</v>
      </c>
      <c r="F279" s="493">
        <f>SUM(F280:F281)</f>
        <v>6801387</v>
      </c>
      <c r="G279" s="493">
        <f t="shared" ref="G279:H279" si="97">SUM(G280:G281)</f>
        <v>58.449628671327588</v>
      </c>
      <c r="H279" s="493">
        <f t="shared" ca="1" si="97"/>
        <v>1232374</v>
      </c>
      <c r="I279" s="482">
        <f>F279-E279*10000</f>
        <v>-5833544.9999999981</v>
      </c>
      <c r="J279" s="495"/>
      <c r="K279" s="479"/>
    </row>
    <row r="280" spans="1:11" s="491" customFormat="1" ht="12.75" outlineLevel="3">
      <c r="A280" s="507" t="s">
        <v>705</v>
      </c>
      <c r="B280" s="8" t="str">
        <f>IF(A280&lt;&gt;0,VLOOKUP(A280,合同台帐!$A$4:$D$195,4,1),"")</f>
        <v>一期断桥铝合金门窗安装</v>
      </c>
      <c r="C280" s="9"/>
      <c r="D280" s="10"/>
      <c r="E280" s="486"/>
      <c r="F280" s="487">
        <f>IF(A280&lt;&gt;0,IF(VLOOKUP(A280,合同台帐!$A$4:$G$195,7,1),IF($H$2="元",VLOOKUP(A280,合同台帐!$A$4:$G$195,7,1),VLOOKUP(A280,合同台帐!$A$4:$G$195,7,1)),IF($H$2="元",VLOOKUP(A280,合同台帐!$A$4:$F$195,6,1),VLOOKUP(A280,合同台帐!$A$4:$F$195,6,1))),0)</f>
        <v>6801387</v>
      </c>
      <c r="G280" s="488">
        <f t="shared" ref="G280" si="98">F280/K$2</f>
        <v>58.449628671327588</v>
      </c>
      <c r="H280" s="486">
        <f ca="1">IF(A280&lt;&gt;0,IF($H$2="元",VLOOKUP(A280,合同台帐!$A$4:$K$1093,11,1),VLOOKUP(A280,合同台帐!$A$4:$K$1093,11,1)),0)</f>
        <v>1232374</v>
      </c>
      <c r="I280" s="503"/>
      <c r="J280" s="489"/>
      <c r="K280" s="504"/>
    </row>
    <row r="281" spans="1:11" s="484" customFormat="1" ht="12.75" outlineLevel="3">
      <c r="A281" s="15"/>
      <c r="B281" s="11"/>
      <c r="C281" s="12"/>
      <c r="D281" s="13"/>
      <c r="E281" s="492"/>
      <c r="F281" s="493"/>
      <c r="G281" s="494"/>
      <c r="H281" s="492">
        <f>IF(A281&lt;&gt;0,IF($H$2="元",VLOOKUP(A281,合同台帐!$A$4:$K$1093,11,1),VLOOKUP(A281,合同台帐!$A$4:$K$1093,11,1)),0)</f>
        <v>0</v>
      </c>
      <c r="I281" s="495"/>
      <c r="J281" s="495"/>
      <c r="K281" s="479"/>
    </row>
    <row r="282" spans="1:11" s="484" customFormat="1" ht="12.75" outlineLevel="2">
      <c r="A282" s="15"/>
      <c r="B282" s="11" t="s">
        <v>706</v>
      </c>
      <c r="C282" s="12"/>
      <c r="D282" s="13">
        <f>E282/K$2*10000</f>
        <v>4.0279737875937087</v>
      </c>
      <c r="E282" s="492">
        <v>46.870800000000003</v>
      </c>
      <c r="F282" s="493">
        <f>SUM(F283:F284)</f>
        <v>12235</v>
      </c>
      <c r="G282" s="493">
        <f t="shared" ref="G282:H282" si="99">SUM(G283:G284)</f>
        <v>0.10514490747162204</v>
      </c>
      <c r="H282" s="493">
        <f t="shared" ca="1" si="99"/>
        <v>11623</v>
      </c>
      <c r="I282" s="482">
        <f>F282-E282*10000</f>
        <v>-456473</v>
      </c>
      <c r="J282" s="495"/>
      <c r="K282" s="479"/>
    </row>
    <row r="283" spans="1:11" s="491" customFormat="1" ht="12.75" outlineLevel="3">
      <c r="A283" s="507" t="s">
        <v>707</v>
      </c>
      <c r="B283" s="8" t="str">
        <f>IF(A283&lt;&gt;0,VLOOKUP(A283,合同台帐!$A$4:$D$195,4,1),"")</f>
        <v>33#楼空调铁艺护栏</v>
      </c>
      <c r="C283" s="9"/>
      <c r="D283" s="10"/>
      <c r="E283" s="486"/>
      <c r="F283" s="487">
        <f>IF(A283&lt;&gt;0,IF(VLOOKUP(A283,合同台帐!$A$4:$G$195,7,1),IF($H$2="元",VLOOKUP(A283,合同台帐!$A$4:$G$195,7,1),VLOOKUP(A283,合同台帐!$A$4:$G$195,7,1)),IF($H$2="元",VLOOKUP(A283,合同台帐!$A$4:$F$195,6,1),VLOOKUP(A283,合同台帐!$A$4:$F$195,6,1))),0)</f>
        <v>12235</v>
      </c>
      <c r="G283" s="488">
        <f t="shared" ref="G283" si="100">F283/K$2</f>
        <v>0.10514490747162204</v>
      </c>
      <c r="H283" s="486">
        <f ca="1">IF(A283&lt;&gt;0,IF($H$2="元",VLOOKUP(A283,合同台帐!$A$4:$K$1093,11,1),VLOOKUP(A283,合同台帐!$A$4:$K$1093,11,1)),0)</f>
        <v>11623</v>
      </c>
      <c r="I283" s="503"/>
      <c r="J283" s="489"/>
      <c r="K283" s="504"/>
    </row>
    <row r="284" spans="1:11" s="484" customFormat="1" ht="12.75" outlineLevel="3">
      <c r="A284" s="15"/>
      <c r="B284" s="11"/>
      <c r="C284" s="12"/>
      <c r="D284" s="13"/>
      <c r="E284" s="492"/>
      <c r="F284" s="493"/>
      <c r="G284" s="494"/>
      <c r="H284" s="492">
        <f>IF(A284&lt;&gt;0,IF($H$2="元",VLOOKUP(A284,合同台帐!$A$4:$K$1093,11,1),VLOOKUP(A284,合同台帐!$A$4:$K$1093,11,1)),0)</f>
        <v>0</v>
      </c>
      <c r="I284" s="495"/>
      <c r="J284" s="495"/>
      <c r="K284" s="479"/>
    </row>
    <row r="285" spans="1:11" s="484" customFormat="1" ht="12.75" outlineLevel="2">
      <c r="A285" s="15"/>
      <c r="B285" s="11" t="s">
        <v>708</v>
      </c>
      <c r="C285" s="12"/>
      <c r="D285" s="13">
        <f>E285/K$2*10000</f>
        <v>33.481369800526316</v>
      </c>
      <c r="E285" s="492">
        <v>389.6</v>
      </c>
      <c r="F285" s="493">
        <f>SUM(F286:F288)</f>
        <v>2049582</v>
      </c>
      <c r="G285" s="493">
        <f t="shared" ref="G285:H285" si="101">SUM(G286:G288)</f>
        <v>17.613658336371234</v>
      </c>
      <c r="H285" s="493">
        <f t="shared" ca="1" si="101"/>
        <v>103557</v>
      </c>
      <c r="I285" s="482">
        <f>F285-E285*10000</f>
        <v>-1846418</v>
      </c>
      <c r="J285" s="495"/>
      <c r="K285" s="479"/>
    </row>
    <row r="286" spans="1:11" s="491" customFormat="1" ht="12.75" outlineLevel="3">
      <c r="A286" s="507" t="s">
        <v>709</v>
      </c>
      <c r="B286" s="8" t="str">
        <f>IF(A286&lt;&gt;0,VLOOKUP(A286,合同台帐!$A$4:$D$195,4,1),"")</f>
        <v>一期入户门感应密码锁采购安装</v>
      </c>
      <c r="C286" s="9"/>
      <c r="D286" s="10"/>
      <c r="E286" s="486"/>
      <c r="F286" s="487">
        <f>IF(A286&lt;&gt;0,IF(VLOOKUP(A286,合同台帐!$A$4:$G$195,7,1),IF($H$2="元",VLOOKUP(A286,合同台帐!$A$4:$G$195,7,1),VLOOKUP(A286,合同台帐!$A$4:$G$195,7,1)),IF($H$2="元",VLOOKUP(A286,合同台帐!$A$4:$F$195,6,1),VLOOKUP(A286,合同台帐!$A$4:$F$195,6,1))),0)</f>
        <v>250325</v>
      </c>
      <c r="G286" s="488">
        <f t="shared" ref="G286:G289" si="102">F286/K$2</f>
        <v>2.1512381661490632</v>
      </c>
      <c r="H286" s="486">
        <f ca="1">IF(A286&lt;&gt;0,IF($H$2="元",VLOOKUP(A286,合同台帐!$A$4:$K$1093,11,1),VLOOKUP(A286,合同台帐!$A$4:$K$1093,11,1)),0)</f>
        <v>0</v>
      </c>
      <c r="I286" s="503"/>
      <c r="J286" s="489"/>
      <c r="K286" s="504"/>
    </row>
    <row r="287" spans="1:11" s="491" customFormat="1" ht="12.75" outlineLevel="3">
      <c r="A287" s="507" t="s">
        <v>710</v>
      </c>
      <c r="B287" s="8" t="str">
        <f>IF(A287&lt;&gt;0,VLOOKUP(A287,合同台帐!$A$4:$D$195,4,1),"")</f>
        <v>一期入户门采购安装合同</v>
      </c>
      <c r="C287" s="9"/>
      <c r="D287" s="10"/>
      <c r="E287" s="486"/>
      <c r="F287" s="487">
        <f>IF(A287&lt;&gt;0,IF(VLOOKUP(A287,合同台帐!$A$4:$G$195,7,1),IF($H$2="元",VLOOKUP(A287,合同台帐!$A$4:$G$195,7,1),VLOOKUP(A287,合同台帐!$A$4:$G$195,7,1)),IF($H$2="元",VLOOKUP(A287,合同台帐!$A$4:$F$195,6,1),VLOOKUP(A287,合同台帐!$A$4:$F$195,6,1))),0)</f>
        <v>1774697</v>
      </c>
      <c r="G287" s="488">
        <f t="shared" si="102"/>
        <v>15.251356915011462</v>
      </c>
      <c r="H287" s="486">
        <f ca="1">IF(A287&lt;&gt;0,IF($H$2="元",VLOOKUP(A287,合同台帐!$A$4:$K$1093,11,1),VLOOKUP(A287,合同台帐!$A$4:$K$1093,11,1)),0)</f>
        <v>80225</v>
      </c>
      <c r="I287" s="503"/>
      <c r="J287" s="489"/>
      <c r="K287" s="504"/>
    </row>
    <row r="288" spans="1:11" s="491" customFormat="1" ht="24" outlineLevel="3">
      <c r="A288" s="507" t="s">
        <v>711</v>
      </c>
      <c r="B288" s="8" t="str">
        <f>IF(A288&lt;&gt;0,VLOOKUP(A288,合同台帐!$A$4:$D$195,4,1),"")</f>
        <v>33#楼宇门及样板单元首层楼梯间户门采购安装</v>
      </c>
      <c r="C288" s="9"/>
      <c r="D288" s="10"/>
      <c r="E288" s="486"/>
      <c r="F288" s="487">
        <f>IF(A288&lt;&gt;0,IF(VLOOKUP(A288,合同台帐!$A$4:$G$195,7,1),IF($H$2="元",VLOOKUP(A288,合同台帐!$A$4:$G$195,7,1),VLOOKUP(A288,合同台帐!$A$4:$G$195,7,1)),IF($H$2="元",VLOOKUP(A288,合同台帐!$A$4:$F$195,6,1),VLOOKUP(A288,合同台帐!$A$4:$F$195,6,1))),0)</f>
        <v>24560</v>
      </c>
      <c r="G288" s="488">
        <f t="shared" si="102"/>
        <v>0.21106325521071004</v>
      </c>
      <c r="H288" s="486">
        <f ca="1">IF(A288&lt;&gt;0,IF($H$2="元",VLOOKUP(A288,合同台帐!$A$4:$K$1093,11,1),VLOOKUP(A288,合同台帐!$A$4:$K$1093,11,1)),0)</f>
        <v>23332</v>
      </c>
      <c r="I288" s="503"/>
      <c r="J288" s="489"/>
      <c r="K288" s="504"/>
    </row>
    <row r="289" spans="1:11" s="491" customFormat="1" ht="24" outlineLevel="3">
      <c r="A289" s="507" t="s">
        <v>712</v>
      </c>
      <c r="B289" s="8" t="str">
        <f>IF(A289&lt;&gt;0,VLOOKUP(A289,合同台帐!$A$4:$D$195,4,1),"")</f>
        <v>一期（复式）钢质防盗门采购安装（不含33#楼6樘门）</v>
      </c>
      <c r="C289" s="9"/>
      <c r="D289" s="10"/>
      <c r="E289" s="486"/>
      <c r="F289" s="487">
        <f>IF(A289&lt;&gt;0,IF(VLOOKUP(A289,合同台帐!$A$4:$G$195,7,1),IF($H$2="元",VLOOKUP(A289,合同台帐!$A$4:$G$195,7,1),VLOOKUP(A289,合同台帐!$A$4:$G$195,7,1)),IF($H$2="元",VLOOKUP(A289,合同台帐!$A$4:$F$195,6,1),VLOOKUP(A289,合同台帐!$A$4:$F$195,6,1))),0)</f>
        <v>644860</v>
      </c>
      <c r="G289" s="488">
        <f t="shared" si="102"/>
        <v>5.5417854542010785</v>
      </c>
      <c r="H289" s="486">
        <f ca="1">IF(A289&lt;&gt;0,IF($H$2="元",VLOOKUP(A289,合同台帐!$A$4:$K$1093,11,1),VLOOKUP(A289,合同台帐!$A$4:$K$1093,11,1)),0)</f>
        <v>0</v>
      </c>
      <c r="I289" s="503"/>
      <c r="J289" s="489"/>
      <c r="K289" s="504"/>
    </row>
    <row r="290" spans="1:11" s="484" customFormat="1" ht="12.75" outlineLevel="3">
      <c r="A290" s="18"/>
      <c r="B290" s="11"/>
      <c r="C290" s="12"/>
      <c r="D290" s="13"/>
      <c r="E290" s="492"/>
      <c r="F290" s="493"/>
      <c r="G290" s="494"/>
      <c r="H290" s="492"/>
      <c r="I290" s="495"/>
      <c r="J290" s="495"/>
      <c r="K290" s="479"/>
    </row>
    <row r="291" spans="1:11" s="484" customFormat="1" ht="12.75" outlineLevel="3">
      <c r="A291" s="18"/>
      <c r="B291" s="11"/>
      <c r="C291" s="12"/>
      <c r="D291" s="13"/>
      <c r="E291" s="492"/>
      <c r="F291" s="493"/>
      <c r="G291" s="494"/>
      <c r="H291" s="492">
        <f>IF(A291&lt;&gt;0,IF($H$2="元",VLOOKUP(A291,合同台帐!$A$4:$K$1093,11,1),VLOOKUP(A291,合同台帐!$A$4:$K$1093,11,1)),0)</f>
        <v>0</v>
      </c>
      <c r="I291" s="495"/>
      <c r="J291" s="495"/>
      <c r="K291" s="479"/>
    </row>
    <row r="292" spans="1:11" s="484" customFormat="1" ht="12.75" outlineLevel="2">
      <c r="A292" s="15"/>
      <c r="B292" s="11" t="s">
        <v>713</v>
      </c>
      <c r="C292" s="12"/>
      <c r="D292" s="13">
        <f>E292/K$2*10000</f>
        <v>40.000001718756145</v>
      </c>
      <c r="E292" s="492">
        <v>465.4529</v>
      </c>
      <c r="F292" s="493">
        <f>SUM(F293:F296)</f>
        <v>2050000</v>
      </c>
      <c r="G292" s="493">
        <f t="shared" ref="G292:H292" si="103">SUM(G293:G296)</f>
        <v>17.617250536724576</v>
      </c>
      <c r="H292" s="493">
        <f t="shared" ca="1" si="103"/>
        <v>400000</v>
      </c>
      <c r="I292" s="482">
        <f>F292-E292*10000</f>
        <v>-2604529</v>
      </c>
      <c r="J292" s="495"/>
      <c r="K292" s="479"/>
    </row>
    <row r="293" spans="1:11" s="491" customFormat="1" ht="12.75" outlineLevel="3">
      <c r="A293" s="507" t="s">
        <v>714</v>
      </c>
      <c r="B293" s="8" t="str">
        <f>IF(A293&lt;&gt;0,VLOOKUP(A293,合同台帐!$A$4:$D$195,4,1),"")</f>
        <v>一期配电箱采购合同（含电表箱）</v>
      </c>
      <c r="C293" s="9"/>
      <c r="D293" s="10"/>
      <c r="E293" s="486"/>
      <c r="F293" s="487">
        <f>IF(A293&lt;&gt;0,IF(VLOOKUP(A293,合同台帐!$A$4:$G$195,7,1),IF($H$2="元",VLOOKUP(A293,合同台帐!$A$4:$G$195,7,1),VLOOKUP(A293,合同台帐!$A$4:$G$195,7,1)),IF($H$2="元",VLOOKUP(A293,合同台帐!$A$4:$F$195,6,1),VLOOKUP(A293,合同台帐!$A$4:$F$195,6,1))),0)</f>
        <v>2050000</v>
      </c>
      <c r="G293" s="488">
        <f t="shared" ref="G293" si="104">F293/K$2</f>
        <v>17.617250536724576</v>
      </c>
      <c r="H293" s="486">
        <f ca="1">IF(A293&lt;&gt;0,IF($H$2="元",VLOOKUP(A293,合同台帐!$A$4:$K$1093,11,1),VLOOKUP(A293,合同台帐!$A$4:$K$1093,11,1)),0)</f>
        <v>400000</v>
      </c>
      <c r="I293" s="503"/>
      <c r="J293" s="489"/>
      <c r="K293" s="504"/>
    </row>
    <row r="294" spans="1:11" s="484" customFormat="1" ht="12.75" outlineLevel="3">
      <c r="A294" s="18"/>
      <c r="B294" s="11"/>
      <c r="C294" s="12"/>
      <c r="D294" s="13"/>
      <c r="E294" s="492"/>
      <c r="F294" s="493"/>
      <c r="G294" s="494"/>
      <c r="H294" s="492">
        <f>IF(A294&lt;&gt;0,IF($H$2="元",VLOOKUP(A294,合同台帐!$A$4:$K$1093,11,1),VLOOKUP(A294,合同台帐!$A$4:$K$1093,11,1)),0)</f>
        <v>0</v>
      </c>
      <c r="I294" s="495"/>
      <c r="J294" s="495"/>
      <c r="K294" s="479"/>
    </row>
    <row r="295" spans="1:11" s="484" customFormat="1" ht="12.75" outlineLevel="3">
      <c r="A295" s="18"/>
      <c r="B295" s="16"/>
      <c r="C295" s="12"/>
      <c r="D295" s="13"/>
      <c r="E295" s="492"/>
      <c r="F295" s="493"/>
      <c r="G295" s="494"/>
      <c r="H295" s="492"/>
      <c r="I295" s="495"/>
      <c r="J295" s="495"/>
      <c r="K295" s="479"/>
    </row>
    <row r="296" spans="1:11" s="484" customFormat="1" ht="12.75" outlineLevel="3">
      <c r="A296" s="18"/>
      <c r="B296" s="11"/>
      <c r="C296" s="12"/>
      <c r="D296" s="13"/>
      <c r="E296" s="492"/>
      <c r="F296" s="493"/>
      <c r="G296" s="494"/>
      <c r="H296" s="492">
        <f>IF(A296&lt;&gt;0,IF($H$2="元",VLOOKUP(A296,合同台帐!$A$4:$K$1093,11,1),VLOOKUP(A296,合同台帐!$A$4:$K$1093,11,1)),0)</f>
        <v>0</v>
      </c>
      <c r="I296" s="495"/>
      <c r="J296" s="495"/>
      <c r="K296" s="479"/>
    </row>
    <row r="297" spans="1:11" ht="12.75" outlineLevel="1">
      <c r="A297" s="5"/>
      <c r="B297" s="6" t="s">
        <v>715</v>
      </c>
      <c r="C297" s="7" t="s">
        <v>690</v>
      </c>
      <c r="D297" s="497">
        <f>D298+D301+D304+D307+D310+D313+D316+D319</f>
        <v>100.95151199837888</v>
      </c>
      <c r="E297" s="497">
        <f t="shared" ref="E297:H297" si="105">E298+E301+E304+E307+E310+E313+E316+E319</f>
        <v>1174.7043000000001</v>
      </c>
      <c r="F297" s="497">
        <f t="shared" si="105"/>
        <v>1043196</v>
      </c>
      <c r="G297" s="497">
        <f t="shared" si="105"/>
        <v>8.9649977028824068</v>
      </c>
      <c r="H297" s="497">
        <f t="shared" ca="1" si="105"/>
        <v>609915</v>
      </c>
      <c r="I297" s="482">
        <f t="shared" ref="I297:I301" si="106">F297-E297*10000</f>
        <v>-10703847.000000002</v>
      </c>
      <c r="J297" s="483">
        <f>G297-D297</f>
        <v>-91.986514295496477</v>
      </c>
      <c r="K297" s="479"/>
    </row>
    <row r="298" spans="1:11" s="484" customFormat="1" ht="12.75" outlineLevel="2">
      <c r="A298" s="15"/>
      <c r="B298" s="11" t="s">
        <v>716</v>
      </c>
      <c r="C298" s="12"/>
      <c r="D298" s="13">
        <f>E298/K$2*10000</f>
        <v>2.320320802397871</v>
      </c>
      <c r="E298" s="492">
        <v>27</v>
      </c>
      <c r="F298" s="493">
        <f>SUM(F299:F300)</f>
        <v>0</v>
      </c>
      <c r="G298" s="493">
        <f t="shared" ref="G298:H298" si="107">SUM(G299:G300)</f>
        <v>0</v>
      </c>
      <c r="H298" s="493">
        <f t="shared" si="107"/>
        <v>0</v>
      </c>
      <c r="I298" s="482">
        <f t="shared" si="106"/>
        <v>-270000</v>
      </c>
      <c r="J298" s="495"/>
      <c r="K298" s="479"/>
    </row>
    <row r="299" spans="1:11" s="484" customFormat="1" ht="12.75" outlineLevel="3">
      <c r="A299" s="18"/>
      <c r="B299" s="11"/>
      <c r="C299" s="12"/>
      <c r="D299" s="13"/>
      <c r="E299" s="492"/>
      <c r="F299" s="493"/>
      <c r="G299" s="494"/>
      <c r="H299" s="492"/>
      <c r="I299" s="493"/>
      <c r="J299" s="495"/>
      <c r="K299" s="479"/>
    </row>
    <row r="300" spans="1:11" s="484" customFormat="1" ht="12.75" outlineLevel="3">
      <c r="A300" s="18"/>
      <c r="B300" s="11"/>
      <c r="C300" s="12"/>
      <c r="D300" s="13"/>
      <c r="E300" s="492"/>
      <c r="F300" s="493"/>
      <c r="G300" s="494"/>
      <c r="H300" s="492"/>
      <c r="I300" s="493"/>
      <c r="J300" s="495"/>
      <c r="K300" s="479"/>
    </row>
    <row r="301" spans="1:11" s="484" customFormat="1" ht="12.75" outlineLevel="2">
      <c r="A301" s="15"/>
      <c r="B301" s="11" t="s">
        <v>717</v>
      </c>
      <c r="C301" s="12"/>
      <c r="D301" s="13">
        <f>E301/K$2*10000</f>
        <v>15.030522531088433</v>
      </c>
      <c r="E301" s="492">
        <v>174.9</v>
      </c>
      <c r="F301" s="493">
        <f>SUM(F302:F303)</f>
        <v>513000</v>
      </c>
      <c r="G301" s="493">
        <f t="shared" ref="G301:H301" si="108">SUM(G302:G303)</f>
        <v>4.4086095245559553</v>
      </c>
      <c r="H301" s="493">
        <f t="shared" ca="1" si="108"/>
        <v>150000</v>
      </c>
      <c r="I301" s="482">
        <f t="shared" si="106"/>
        <v>-1236000</v>
      </c>
      <c r="J301" s="495"/>
      <c r="K301" s="479"/>
    </row>
    <row r="302" spans="1:11" s="491" customFormat="1" ht="16.5" customHeight="1" outlineLevel="3">
      <c r="A302" s="485" t="s">
        <v>119</v>
      </c>
      <c r="B302" s="8" t="str">
        <f>IF(A302&lt;&gt;0,VLOOKUP(A302,合同台帐!$A$4:$D$893,4,1),"")</f>
        <v>示范区智能化工程</v>
      </c>
      <c r="C302" s="9"/>
      <c r="D302" s="10"/>
      <c r="E302" s="486"/>
      <c r="F302" s="487">
        <f>IF(A302&lt;&gt;0,VLOOKUP(A302,合同台帐!$A$4:$J$893,6,1),"")</f>
        <v>513000</v>
      </c>
      <c r="G302" s="488">
        <f>F302/K2</f>
        <v>4.4086095245559553</v>
      </c>
      <c r="H302" s="486">
        <f ca="1">IF(A302&lt;&gt;0,IF($H$2="元",VLOOKUP(A302,合同台帐!$A$4:$K$1093,11,1),VLOOKUP(A302,合同台帐!$A$4:$K$1093,11,1)),0)</f>
        <v>150000</v>
      </c>
      <c r="I302" s="487"/>
      <c r="J302" s="489"/>
      <c r="K302" s="490"/>
    </row>
    <row r="303" spans="1:11" s="484" customFormat="1" ht="12.75" outlineLevel="3">
      <c r="A303" s="15"/>
      <c r="B303" s="11"/>
      <c r="C303" s="12"/>
      <c r="D303" s="13"/>
      <c r="E303" s="492"/>
      <c r="F303" s="493"/>
      <c r="G303" s="494"/>
      <c r="H303" s="492"/>
      <c r="I303" s="495"/>
      <c r="J303" s="495"/>
      <c r="K303" s="479"/>
    </row>
    <row r="304" spans="1:11" s="484" customFormat="1" ht="12.75" outlineLevel="2">
      <c r="A304" s="15"/>
      <c r="B304" s="11" t="s">
        <v>718</v>
      </c>
      <c r="C304" s="12"/>
      <c r="D304" s="13">
        <f>E304/K$2*10000</f>
        <v>21.773254469926151</v>
      </c>
      <c r="E304" s="492">
        <v>253.36060000000001</v>
      </c>
      <c r="F304" s="493">
        <f>SUM(F305:F306)</f>
        <v>0</v>
      </c>
      <c r="G304" s="493">
        <f t="shared" ref="G304:H304" si="109">SUM(G305:G306)</f>
        <v>0</v>
      </c>
      <c r="H304" s="493">
        <f t="shared" si="109"/>
        <v>0</v>
      </c>
      <c r="I304" s="482">
        <f>F304-E304*10000</f>
        <v>-2533606</v>
      </c>
      <c r="J304" s="495"/>
      <c r="K304" s="479"/>
    </row>
    <row r="305" spans="1:11" s="484" customFormat="1" ht="12.75" outlineLevel="3">
      <c r="A305" s="18"/>
      <c r="B305" s="11"/>
      <c r="C305" s="12"/>
      <c r="D305" s="13"/>
      <c r="E305" s="492"/>
      <c r="F305" s="493"/>
      <c r="G305" s="494"/>
      <c r="H305" s="492"/>
      <c r="I305" s="495"/>
      <c r="J305" s="495"/>
      <c r="K305" s="479"/>
    </row>
    <row r="306" spans="1:11" s="484" customFormat="1" ht="12.75" outlineLevel="3">
      <c r="A306" s="15"/>
      <c r="B306" s="11"/>
      <c r="C306" s="12"/>
      <c r="D306" s="13"/>
      <c r="E306" s="492"/>
      <c r="F306" s="493"/>
      <c r="G306" s="494"/>
      <c r="H306" s="492"/>
      <c r="I306" s="495"/>
      <c r="J306" s="495"/>
      <c r="K306" s="479"/>
    </row>
    <row r="307" spans="1:11" s="484" customFormat="1" ht="12.75" outlineLevel="2">
      <c r="A307" s="15"/>
      <c r="B307" s="11" t="s">
        <v>719</v>
      </c>
      <c r="C307" s="12"/>
      <c r="D307" s="13">
        <f>E307/K$2*10000</f>
        <v>18.648504226679187</v>
      </c>
      <c r="E307" s="492">
        <v>217</v>
      </c>
      <c r="F307" s="493">
        <f>SUM(F308:F309)</f>
        <v>0</v>
      </c>
      <c r="G307" s="493">
        <f t="shared" ref="G307:H307" si="110">SUM(G308:G309)</f>
        <v>0</v>
      </c>
      <c r="H307" s="493">
        <f t="shared" si="110"/>
        <v>0</v>
      </c>
      <c r="I307" s="482">
        <f>F307-E307*10000</f>
        <v>-2170000</v>
      </c>
      <c r="J307" s="495"/>
      <c r="K307" s="479"/>
    </row>
    <row r="308" spans="1:11" s="484" customFormat="1" ht="12.75" outlineLevel="3">
      <c r="A308" s="18"/>
      <c r="B308" s="11"/>
      <c r="C308" s="12"/>
      <c r="D308" s="13"/>
      <c r="E308" s="492"/>
      <c r="F308" s="493"/>
      <c r="G308" s="494"/>
      <c r="H308" s="492"/>
      <c r="I308" s="493"/>
      <c r="J308" s="495"/>
      <c r="K308" s="479"/>
    </row>
    <row r="309" spans="1:11" s="484" customFormat="1" ht="12.75" outlineLevel="3">
      <c r="A309" s="18"/>
      <c r="B309" s="11"/>
      <c r="C309" s="12"/>
      <c r="D309" s="13"/>
      <c r="E309" s="492"/>
      <c r="F309" s="493"/>
      <c r="G309" s="494"/>
      <c r="H309" s="492"/>
      <c r="I309" s="493"/>
      <c r="J309" s="495"/>
      <c r="K309" s="479"/>
    </row>
    <row r="310" spans="1:11" s="484" customFormat="1" ht="12.75" outlineLevel="2">
      <c r="A310" s="15"/>
      <c r="B310" s="11" t="s">
        <v>720</v>
      </c>
      <c r="C310" s="12"/>
      <c r="D310" s="13">
        <f>E310/K$2*10000</f>
        <v>4.5648788337070769</v>
      </c>
      <c r="E310" s="492">
        <v>53.118400000000001</v>
      </c>
      <c r="F310" s="493">
        <f>SUM(F311:F312)</f>
        <v>530196</v>
      </c>
      <c r="G310" s="493">
        <f t="shared" ref="G310:H310" si="111">SUM(G311:G312)</f>
        <v>4.5563881783264506</v>
      </c>
      <c r="H310" s="493">
        <f t="shared" ca="1" si="111"/>
        <v>459915</v>
      </c>
      <c r="I310" s="482">
        <f>F310-E310*10000</f>
        <v>-988</v>
      </c>
      <c r="J310" s="495"/>
      <c r="K310" s="479"/>
    </row>
    <row r="311" spans="1:11" s="491" customFormat="1" ht="16.5" customHeight="1" outlineLevel="3">
      <c r="A311" s="485" t="s">
        <v>98</v>
      </c>
      <c r="B311" s="8" t="str">
        <f>IF(A311&lt;&gt;0,VLOOKUP(A311,合同台帐!$A$4:$D$893,4,1),"")</f>
        <v>售楼处中央空调安装合同</v>
      </c>
      <c r="C311" s="9"/>
      <c r="D311" s="10"/>
      <c r="E311" s="486"/>
      <c r="F311" s="487">
        <f>IF(A311&lt;&gt;0,VLOOKUP(A311,合同台帐!$A$4:$J$893,6,1),"")</f>
        <v>450612</v>
      </c>
      <c r="G311" s="488">
        <f>F311/K2</f>
        <v>3.8724607311485535</v>
      </c>
      <c r="H311" s="486">
        <f ca="1">IF(A311&lt;&gt;0,IF($H$2="元",VLOOKUP(A311,合同台帐!$A$4:$K$1093,11,1),VLOOKUP(A311,合同台帐!$A$4:$K$1093,11,1)),0)</f>
        <v>428081</v>
      </c>
      <c r="I311" s="487"/>
      <c r="J311" s="489"/>
      <c r="K311" s="490"/>
    </row>
    <row r="312" spans="1:11" s="491" customFormat="1" ht="16.5" customHeight="1" outlineLevel="3">
      <c r="A312" s="485" t="s">
        <v>103</v>
      </c>
      <c r="B312" s="8" t="str">
        <f>IF(A312&lt;&gt;0,VLOOKUP(A312,合同台帐!$A$4:$D$893,4,1),"")</f>
        <v>联排样板间中央空调安装合同</v>
      </c>
      <c r="C312" s="9"/>
      <c r="D312" s="10"/>
      <c r="E312" s="486"/>
      <c r="F312" s="487">
        <f>IF(A312&lt;&gt;0,VLOOKUP(A312,合同台帐!$A$4:$J$893,6,1),"")</f>
        <v>79584</v>
      </c>
      <c r="G312" s="488">
        <f>F312/K2</f>
        <v>0.68392744717789689</v>
      </c>
      <c r="H312" s="486">
        <f ca="1">IF(A312&lt;&gt;0,IF($H$2="元",VLOOKUP(A312,合同台帐!$A$4:$K$1093,11,1),VLOOKUP(A312,合同台帐!$A$4:$K$1093,11,1)),0)</f>
        <v>31834</v>
      </c>
      <c r="I312" s="487"/>
      <c r="J312" s="489"/>
      <c r="K312" s="490"/>
    </row>
    <row r="313" spans="1:11" s="484" customFormat="1" ht="12.75" outlineLevel="2">
      <c r="A313" s="15"/>
      <c r="B313" s="11" t="s">
        <v>721</v>
      </c>
      <c r="C313" s="12"/>
      <c r="D313" s="13">
        <f>E313/K$2*10000</f>
        <v>0</v>
      </c>
      <c r="E313" s="492">
        <v>0</v>
      </c>
      <c r="F313" s="493">
        <f>SUM(F314:F315)</f>
        <v>0</v>
      </c>
      <c r="G313" s="493">
        <f t="shared" ref="G313:H313" si="112">SUM(G314:G315)</f>
        <v>0</v>
      </c>
      <c r="H313" s="493">
        <f t="shared" si="112"/>
        <v>0</v>
      </c>
      <c r="I313" s="482">
        <f>F313-E313*10000</f>
        <v>0</v>
      </c>
      <c r="J313" s="495"/>
      <c r="K313" s="479"/>
    </row>
    <row r="314" spans="1:11" s="484" customFormat="1" ht="12.75" outlineLevel="3">
      <c r="A314" s="18"/>
      <c r="B314" s="11"/>
      <c r="C314" s="12"/>
      <c r="D314" s="13"/>
      <c r="E314" s="492"/>
      <c r="F314" s="493"/>
      <c r="G314" s="494"/>
      <c r="H314" s="492"/>
      <c r="I314" s="495"/>
      <c r="J314" s="495"/>
      <c r="K314" s="479"/>
    </row>
    <row r="315" spans="1:11" s="484" customFormat="1" ht="12.75" outlineLevel="3">
      <c r="A315" s="15"/>
      <c r="B315" s="11"/>
      <c r="C315" s="12"/>
      <c r="D315" s="13"/>
      <c r="E315" s="492"/>
      <c r="F315" s="493"/>
      <c r="G315" s="494"/>
      <c r="H315" s="492"/>
      <c r="I315" s="495"/>
      <c r="J315" s="495"/>
      <c r="K315" s="479"/>
    </row>
    <row r="316" spans="1:11" s="484" customFormat="1" ht="12.75" outlineLevel="2">
      <c r="A316" s="15"/>
      <c r="B316" s="11" t="s">
        <v>722</v>
      </c>
      <c r="C316" s="12"/>
      <c r="D316" s="13">
        <f>E316/K$2*10000</f>
        <v>12.897546149032316</v>
      </c>
      <c r="E316" s="492">
        <v>150.08000000000001</v>
      </c>
      <c r="F316" s="493">
        <f>SUM(F317:F318)</f>
        <v>0</v>
      </c>
      <c r="G316" s="493">
        <f t="shared" ref="G316:H316" si="113">SUM(G317:G318)</f>
        <v>0</v>
      </c>
      <c r="H316" s="493">
        <f t="shared" si="113"/>
        <v>0</v>
      </c>
      <c r="I316" s="482">
        <f>F316-E316*10000</f>
        <v>-1500800.0000000002</v>
      </c>
      <c r="J316" s="495"/>
      <c r="K316" s="479"/>
    </row>
    <row r="317" spans="1:11" s="484" customFormat="1" ht="12.75" outlineLevel="3">
      <c r="A317" s="18"/>
      <c r="B317" s="11"/>
      <c r="C317" s="12"/>
      <c r="D317" s="13"/>
      <c r="E317" s="492"/>
      <c r="F317" s="493"/>
      <c r="G317" s="494"/>
      <c r="H317" s="492"/>
      <c r="I317" s="495"/>
      <c r="J317" s="495"/>
      <c r="K317" s="479"/>
    </row>
    <row r="318" spans="1:11" s="484" customFormat="1" ht="12.75" outlineLevel="3">
      <c r="A318" s="18"/>
      <c r="B318" s="11"/>
      <c r="C318" s="12"/>
      <c r="D318" s="13"/>
      <c r="E318" s="492"/>
      <c r="F318" s="493"/>
      <c r="G318" s="494"/>
      <c r="H318" s="492"/>
      <c r="I318" s="495"/>
      <c r="J318" s="495"/>
      <c r="K318" s="479"/>
    </row>
    <row r="319" spans="1:11" s="484" customFormat="1" ht="12.75" outlineLevel="2">
      <c r="A319" s="15"/>
      <c r="B319" s="11" t="s">
        <v>723</v>
      </c>
      <c r="C319" s="12"/>
      <c r="D319" s="13">
        <f>E319/K$2*10000</f>
        <v>25.716484985547837</v>
      </c>
      <c r="E319" s="492">
        <v>299.24529999999999</v>
      </c>
      <c r="F319" s="493">
        <f>SUM(F320:F321)</f>
        <v>0</v>
      </c>
      <c r="G319" s="493">
        <f t="shared" ref="G319:H319" si="114">SUM(G320:G321)</f>
        <v>0</v>
      </c>
      <c r="H319" s="493">
        <f t="shared" si="114"/>
        <v>0</v>
      </c>
      <c r="I319" s="482">
        <f>F319-E319*10000</f>
        <v>-2992453</v>
      </c>
      <c r="J319" s="495"/>
      <c r="K319" s="479"/>
    </row>
    <row r="320" spans="1:11" s="484" customFormat="1" ht="12.75" outlineLevel="3">
      <c r="A320" s="18"/>
      <c r="B320" s="11"/>
      <c r="C320" s="12"/>
      <c r="D320" s="13"/>
      <c r="E320" s="492"/>
      <c r="F320" s="493"/>
      <c r="G320" s="494"/>
      <c r="H320" s="492"/>
      <c r="I320" s="495"/>
      <c r="J320" s="495"/>
      <c r="K320" s="479"/>
    </row>
    <row r="321" spans="1:11" s="484" customFormat="1" ht="12.75" outlineLevel="3">
      <c r="A321" s="18"/>
      <c r="B321" s="11"/>
      <c r="C321" s="12"/>
      <c r="D321" s="13"/>
      <c r="E321" s="492"/>
      <c r="F321" s="493"/>
      <c r="G321" s="494"/>
      <c r="H321" s="492"/>
      <c r="I321" s="495"/>
      <c r="J321" s="495"/>
      <c r="K321" s="479"/>
    </row>
    <row r="322" spans="1:11" s="484" customFormat="1" ht="12.75" outlineLevel="1">
      <c r="A322" s="22"/>
      <c r="B322" s="6" t="s">
        <v>724</v>
      </c>
      <c r="C322" s="7"/>
      <c r="D322" s="497">
        <f t="shared" ref="D322:H322" si="115">D323+D328+D333</f>
        <v>431.5093635256913</v>
      </c>
      <c r="E322" s="497">
        <f t="shared" si="115"/>
        <v>5021.1818999999996</v>
      </c>
      <c r="F322" s="497">
        <f t="shared" si="115"/>
        <v>31570059</v>
      </c>
      <c r="G322" s="497">
        <f t="shared" si="115"/>
        <v>271.30616529862272</v>
      </c>
      <c r="H322" s="497">
        <f t="shared" ca="1" si="115"/>
        <v>14819445.800000001</v>
      </c>
      <c r="I322" s="482">
        <f>F322-E322*10000</f>
        <v>-18641759.999999993</v>
      </c>
      <c r="J322" s="483">
        <f>G322-D322</f>
        <v>-160.20319822706858</v>
      </c>
      <c r="K322" s="479"/>
    </row>
    <row r="323" spans="1:11" s="484" customFormat="1" ht="12.75" outlineLevel="2">
      <c r="A323" s="18"/>
      <c r="B323" s="11" t="s">
        <v>725</v>
      </c>
      <c r="C323" s="12"/>
      <c r="D323" s="13">
        <f>E323/K$2*10000</f>
        <v>310.00166547470923</v>
      </c>
      <c r="E323" s="492">
        <v>3607.2791999999999</v>
      </c>
      <c r="F323" s="493">
        <f>SUM(F324:F327)</f>
        <v>19388094</v>
      </c>
      <c r="G323" s="493">
        <f t="shared" ref="G323:H323" si="116">SUM(G324:G327)</f>
        <v>166.61702898905685</v>
      </c>
      <c r="H323" s="493">
        <f t="shared" ca="1" si="116"/>
        <v>9592076.8000000007</v>
      </c>
      <c r="I323" s="500"/>
      <c r="J323" s="495"/>
      <c r="K323" s="479"/>
    </row>
    <row r="324" spans="1:11" s="491" customFormat="1" ht="16.5" customHeight="1" outlineLevel="3">
      <c r="A324" s="485" t="s">
        <v>24</v>
      </c>
      <c r="B324" s="8" t="str">
        <f>IF(A324&lt;&gt;0,VLOOKUP(A324,合同台帐!$A$4:$D$893,4,1),"")</f>
        <v>蓟县苗木采购与种植养护工程施工合同</v>
      </c>
      <c r="C324" s="9"/>
      <c r="D324" s="10"/>
      <c r="E324" s="486"/>
      <c r="F324" s="487">
        <f>IF(A324&lt;&gt;0,VLOOKUP(A324,合同台帐!$A$4:$J$893,6,1),"")</f>
        <v>8280192</v>
      </c>
      <c r="G324" s="488">
        <f>F324/K2</f>
        <v>71.158154612771966</v>
      </c>
      <c r="H324" s="486">
        <f ca="1">IF(A324&lt;&gt;0,IF($H$2="元",VLOOKUP(A324,合同台帐!$A$4:$K$1093,11,1),VLOOKUP(A324,合同台帐!$A$4:$K$1093,11,1)),0)</f>
        <v>3312076.7999999998</v>
      </c>
      <c r="I324" s="487"/>
      <c r="J324" s="489"/>
      <c r="K324" s="490"/>
    </row>
    <row r="325" spans="1:11" s="491" customFormat="1" ht="16.5" customHeight="1" outlineLevel="3">
      <c r="A325" s="485" t="s">
        <v>106</v>
      </c>
      <c r="B325" s="8" t="str">
        <f>IF(A325&lt;&gt;0,VLOOKUP(A325,合同台帐!$A$4:$D$893,4,1),"")</f>
        <v>苗木增补协议</v>
      </c>
      <c r="C325" s="9"/>
      <c r="D325" s="10"/>
      <c r="E325" s="486"/>
      <c r="F325" s="487">
        <f>IF(A325&lt;&gt;0,VLOOKUP(A325,合同台帐!$A$4:$J$893,6,1),"")</f>
        <v>477650</v>
      </c>
      <c r="G325" s="488">
        <f>F325/K2</f>
        <v>4.1048193750568265</v>
      </c>
      <c r="H325" s="486">
        <f ca="1">IF(A325&lt;&gt;0,IF($H$2="元",VLOOKUP(A325,合同台帐!$A$4:$K$1093,11,1),VLOOKUP(A325,合同台帐!$A$4:$K$1093,11,1)),0)</f>
        <v>280000</v>
      </c>
      <c r="I325" s="487"/>
      <c r="J325" s="489"/>
      <c r="K325" s="490"/>
    </row>
    <row r="326" spans="1:11" s="491" customFormat="1" ht="16.5" customHeight="1" outlineLevel="3">
      <c r="A326" s="485" t="s">
        <v>101</v>
      </c>
      <c r="B326" s="8" t="str">
        <f>IF(A326&lt;&gt;0,VLOOKUP(A326,合同台帐!$A$4:$D$893,4,1),"")</f>
        <v>示范区景观</v>
      </c>
      <c r="C326" s="9"/>
      <c r="D326" s="10"/>
      <c r="E326" s="486"/>
      <c r="F326" s="487">
        <f>IF(A326&lt;&gt;0,VLOOKUP(A326,合同台帐!$A$4:$J$893,6,1),"")</f>
        <v>9498614</v>
      </c>
      <c r="G326" s="488">
        <f>F326/K2</f>
        <v>81.629006141287604</v>
      </c>
      <c r="H326" s="486">
        <f ca="1">IF(A326&lt;&gt;0,IF($H$2="元",VLOOKUP(A326,合同台帐!$A$4:$K$1093,11,1),VLOOKUP(A326,合同台帐!$A$4:$K$1093,11,1)),0)</f>
        <v>6000000</v>
      </c>
      <c r="I326" s="487"/>
      <c r="J326" s="489"/>
      <c r="K326" s="490"/>
    </row>
    <row r="327" spans="1:11" s="491" customFormat="1" ht="16.5" customHeight="1" outlineLevel="3">
      <c r="A327" s="485" t="s">
        <v>133</v>
      </c>
      <c r="B327" s="8" t="str">
        <f>IF(A327&lt;&gt;0,VLOOKUP(A327,合同台帐!$A$4:$D$893,4,1),"")</f>
        <v>示范区围墙（示范区部分大区及小院围墙）</v>
      </c>
      <c r="C327" s="9"/>
      <c r="D327" s="10"/>
      <c r="E327" s="486"/>
      <c r="F327" s="487">
        <f>IF(A327&lt;&gt;0,VLOOKUP(A327,合同台帐!$A$4:$J$893,6,1),"")</f>
        <v>1131638</v>
      </c>
      <c r="G327" s="488">
        <f>F327/K2</f>
        <v>9.7250488599404523</v>
      </c>
      <c r="H327" s="486">
        <f ca="1">IF(A327&lt;&gt;0,IF($H$2="元",VLOOKUP(A327,合同台帐!$A$4:$K$1093,11,1),VLOOKUP(A327,合同台帐!$A$4:$K$1093,11,1)),0)</f>
        <v>0</v>
      </c>
      <c r="I327" s="487"/>
      <c r="J327" s="489"/>
      <c r="K327" s="490"/>
    </row>
    <row r="328" spans="1:11" s="484" customFormat="1" ht="12.75" outlineLevel="2">
      <c r="A328" s="18"/>
      <c r="B328" s="11" t="s">
        <v>726</v>
      </c>
      <c r="C328" s="12"/>
      <c r="D328" s="13">
        <f>E328/K$2*10000</f>
        <v>93.899996923426485</v>
      </c>
      <c r="E328" s="492">
        <v>1092.6505999999999</v>
      </c>
      <c r="F328" s="493">
        <f>SUM(F329:F332)</f>
        <v>9081965</v>
      </c>
      <c r="G328" s="493">
        <f t="shared" ref="G328:H328" si="117">SUM(G329:G332)</f>
        <v>78.048415985738444</v>
      </c>
      <c r="H328" s="493">
        <f t="shared" ca="1" si="117"/>
        <v>3277369</v>
      </c>
      <c r="I328" s="500"/>
      <c r="J328" s="495"/>
      <c r="K328" s="479"/>
    </row>
    <row r="329" spans="1:11" s="491" customFormat="1" ht="12.75" outlineLevel="3">
      <c r="A329" s="485" t="s">
        <v>50</v>
      </c>
      <c r="B329" s="8" t="str">
        <f>IF(A329&lt;&gt;0,VLOOKUP(A329,合同台帐!$A$4:$D$195,4,1),"")</f>
        <v>挡土墙施工合同（西侧、南侧）</v>
      </c>
      <c r="C329" s="9"/>
      <c r="D329" s="10"/>
      <c r="E329" s="486"/>
      <c r="F329" s="487">
        <f>IF(A329&lt;&gt;0,IF(VLOOKUP(A329,合同台帐!$A$4:$G$195,7,1),IF($H$2="元",VLOOKUP(A329,合同台帐!$A$4:$G$195,7,1),VLOOKUP(A329,合同台帐!$A$4:$G$195,7,1)),IF($H$2="元",VLOOKUP(A329,合同台帐!$A$4:$F$195,6,1),VLOOKUP(A329,合同台帐!$A$4:$F$195,6,1))),0)</f>
        <v>1243479</v>
      </c>
      <c r="G329" s="488">
        <f>F329/K$2</f>
        <v>10.686185892758898</v>
      </c>
      <c r="H329" s="486">
        <f ca="1">IF(A329&lt;&gt;0,IF($H$2="元",VLOOKUP(A329,合同台帐!$A$4:$K$1093,11,1),VLOOKUP(A329,合同台帐!$A$4:$K$1093,11,1)),0)</f>
        <v>1243479</v>
      </c>
      <c r="I329" s="503"/>
      <c r="J329" s="489"/>
      <c r="K329" s="504"/>
    </row>
    <row r="330" spans="1:11" s="491" customFormat="1" ht="12.75" outlineLevel="3">
      <c r="A330" s="485" t="s">
        <v>83</v>
      </c>
      <c r="B330" s="8" t="str">
        <f>IF(A330&lt;&gt;0,VLOOKUP(A330,合同台帐!$A$4:$D$195,4,1),"")</f>
        <v>挡土墙施工合同（重签）</v>
      </c>
      <c r="C330" s="9"/>
      <c r="D330" s="10"/>
      <c r="E330" s="486"/>
      <c r="F330" s="487">
        <f>IF(A330&lt;&gt;0,IF(VLOOKUP(A330,合同台帐!$A$4:$G$195,7,1),IF($H$2="元",VLOOKUP(A330,合同台帐!$A$4:$G$195,7,1),VLOOKUP(A330,合同台帐!$A$4:$G$195,7,1)),IF($H$2="元",VLOOKUP(A330,合同台帐!$A$4:$F$195,6,1),VLOOKUP(A330,合同台帐!$A$4:$F$195,6,1))),0)</f>
        <v>3138486</v>
      </c>
      <c r="G330" s="488">
        <f>F330/K$2</f>
        <v>26.971460569757351</v>
      </c>
      <c r="H330" s="486">
        <f ca="1">IF(A330&lt;&gt;0,IF($H$2="元",VLOOKUP(A330,合同台帐!$A$4:$K$1093,11,1),VLOOKUP(A330,合同台帐!$A$4:$K$1093,11,1)),0)</f>
        <v>2033890</v>
      </c>
      <c r="I330" s="503"/>
      <c r="J330" s="489"/>
      <c r="K330" s="504"/>
    </row>
    <row r="331" spans="1:11" s="491" customFormat="1" ht="12.75" outlineLevel="3">
      <c r="A331" s="485" t="s">
        <v>139</v>
      </c>
      <c r="B331" s="8" t="str">
        <f>IF(A331&lt;&gt;0,VLOOKUP(A331,合同台帐!$A$4:$D$195,4,1),"")</f>
        <v>东侧挡土墙</v>
      </c>
      <c r="C331" s="9"/>
      <c r="D331" s="10"/>
      <c r="E331" s="486"/>
      <c r="F331" s="487">
        <f>IF(A331&lt;&gt;0,IF(VLOOKUP(A331,合同台帐!$A$4:$G$195,7,1),IF($H$2="元",VLOOKUP(A331,合同台帐!$A$4:$G$195,7,1),VLOOKUP(A331,合同台帐!$A$4:$G$195,7,1)),IF($H$2="元",VLOOKUP(A331,合同台帐!$A$4:$F$195,6,1),VLOOKUP(A331,合同台帐!$A$4:$F$195,6,1))),0)</f>
        <v>4700000</v>
      </c>
      <c r="G331" s="488">
        <f>F331/K$2</f>
        <v>40.390769523222197</v>
      </c>
      <c r="H331" s="486">
        <f ca="1">IF(A331&lt;&gt;0,IF($H$2="元",VLOOKUP(A331,合同台帐!$A$4:$K$1093,11,1),VLOOKUP(A331,合同台帐!$A$4:$K$1093,11,1)),0)</f>
        <v>0</v>
      </c>
      <c r="I331" s="503"/>
      <c r="J331" s="489"/>
      <c r="K331" s="504"/>
    </row>
    <row r="332" spans="1:11" s="491" customFormat="1" ht="12.75" outlineLevel="3">
      <c r="A332" s="511"/>
      <c r="B332" s="8"/>
      <c r="C332" s="9"/>
      <c r="D332" s="10"/>
      <c r="E332" s="486"/>
      <c r="F332" s="487"/>
      <c r="G332" s="488"/>
      <c r="H332" s="486"/>
      <c r="I332" s="503"/>
      <c r="J332" s="489"/>
      <c r="K332" s="504"/>
    </row>
    <row r="333" spans="1:11" s="484" customFormat="1" ht="12.75" outlineLevel="2">
      <c r="A333" s="18"/>
      <c r="B333" s="11" t="s">
        <v>727</v>
      </c>
      <c r="C333" s="12"/>
      <c r="D333" s="13">
        <f>E333/K$2*10000</f>
        <v>27.607701127555597</v>
      </c>
      <c r="E333" s="492">
        <v>321.25209999999998</v>
      </c>
      <c r="F333" s="493">
        <f>SUM(F334:F336)</f>
        <v>3100000</v>
      </c>
      <c r="G333" s="493">
        <f t="shared" ref="G333:H333" si="118">SUM(G334:G336)</f>
        <v>26.640720323827409</v>
      </c>
      <c r="H333" s="493">
        <f t="shared" ca="1" si="118"/>
        <v>1950000</v>
      </c>
      <c r="I333" s="500"/>
      <c r="J333" s="495"/>
      <c r="K333" s="479"/>
    </row>
    <row r="334" spans="1:11" s="491" customFormat="1" ht="12.75" outlineLevel="3">
      <c r="A334" s="485" t="s">
        <v>82</v>
      </c>
      <c r="B334" s="8" t="str">
        <f>IF(A334&lt;&gt;0,VLOOKUP(A334,合同台帐!$A$4:$D$195,4,1),"")</f>
        <v>界外地景观</v>
      </c>
      <c r="C334" s="9"/>
      <c r="D334" s="10"/>
      <c r="E334" s="486"/>
      <c r="F334" s="487">
        <f>IF(A334&lt;&gt;0,IF(VLOOKUP(A334,合同台帐!$A$4:$G$195,7,1),IF($H$2="元",VLOOKUP(A334,合同台帐!$A$4:$G$195,7,1),VLOOKUP(A334,合同台帐!$A$4:$G$195,7,1)),IF($H$2="元",VLOOKUP(A334,合同台帐!$A$4:$F$195,6,1),VLOOKUP(A334,合同台帐!$A$4:$F$195,6,1))),0)</f>
        <v>3100000</v>
      </c>
      <c r="G334" s="488">
        <f>F334/K$2</f>
        <v>26.640720323827409</v>
      </c>
      <c r="H334" s="486">
        <f ca="1">IF(A334&lt;&gt;0,IF($H$2="元",VLOOKUP(A334,合同台帐!$A$4:$K$1093,11,1),VLOOKUP(A334,合同台帐!$A$4:$K$1093,11,1)),0)</f>
        <v>1950000</v>
      </c>
      <c r="I334" s="503"/>
      <c r="J334" s="489"/>
      <c r="K334" s="504"/>
    </row>
    <row r="335" spans="1:11" s="491" customFormat="1" ht="12.75" outlineLevel="3">
      <c r="A335" s="511"/>
      <c r="B335" s="8"/>
      <c r="C335" s="9"/>
      <c r="D335" s="10"/>
      <c r="E335" s="486"/>
      <c r="F335" s="487"/>
      <c r="G335" s="488"/>
      <c r="H335" s="486"/>
      <c r="I335" s="503"/>
      <c r="J335" s="489"/>
      <c r="K335" s="504"/>
    </row>
    <row r="336" spans="1:11" s="484" customFormat="1" ht="12.75" outlineLevel="3">
      <c r="A336" s="18"/>
      <c r="B336" s="11"/>
      <c r="C336" s="12"/>
      <c r="D336" s="13"/>
      <c r="E336" s="492"/>
      <c r="F336" s="493"/>
      <c r="G336" s="494"/>
      <c r="H336" s="492"/>
      <c r="I336" s="500"/>
      <c r="J336" s="495"/>
      <c r="K336" s="479"/>
    </row>
    <row r="337" spans="1:12" ht="23.25" customHeight="1" outlineLevel="1">
      <c r="A337" s="5"/>
      <c r="B337" s="6" t="s">
        <v>728</v>
      </c>
      <c r="C337" s="7" t="s">
        <v>729</v>
      </c>
      <c r="D337" s="496">
        <f>E337/K2*10000</f>
        <v>23.725615361967463</v>
      </c>
      <c r="E337" s="496">
        <f>E338+E340</f>
        <v>276.07889999999998</v>
      </c>
      <c r="F337" s="496">
        <f t="shared" ref="F337:H337" si="119">F338+F340</f>
        <v>2571257</v>
      </c>
      <c r="G337" s="496">
        <f t="shared" si="119"/>
        <v>22.096818908930157</v>
      </c>
      <c r="H337" s="496">
        <f t="shared" ca="1" si="119"/>
        <v>385687.7</v>
      </c>
      <c r="I337" s="497" t="e">
        <f>SUM(#REF!)</f>
        <v>#REF!</v>
      </c>
      <c r="J337" s="497" t="e">
        <f>SUM(#REF!)</f>
        <v>#REF!</v>
      </c>
      <c r="K337" s="479"/>
    </row>
    <row r="338" spans="1:12" s="484" customFormat="1" ht="12.75" outlineLevel="2">
      <c r="A338" s="18"/>
      <c r="B338" s="11" t="s">
        <v>730</v>
      </c>
      <c r="C338" s="12"/>
      <c r="D338" s="13">
        <f>E338/K$2*10000</f>
        <v>22.178734827035552</v>
      </c>
      <c r="E338" s="492">
        <v>258.07889999999998</v>
      </c>
      <c r="F338" s="493">
        <f>F339</f>
        <v>2571257</v>
      </c>
      <c r="G338" s="493">
        <f t="shared" ref="G338:H338" si="120">G339</f>
        <v>22.096818908930157</v>
      </c>
      <c r="H338" s="493">
        <f t="shared" ca="1" si="120"/>
        <v>385687.7</v>
      </c>
      <c r="I338" s="500"/>
      <c r="J338" s="495"/>
      <c r="K338" s="479"/>
    </row>
    <row r="339" spans="1:12" s="491" customFormat="1" ht="23.25" customHeight="1" outlineLevel="3">
      <c r="A339" s="485" t="s">
        <v>76</v>
      </c>
      <c r="B339" s="8" t="str">
        <f>IF(A339&lt;&gt;0,VLOOKUP(A339,合同台帐!$A$4:$D$893,4,1),"")</f>
        <v>监理工程</v>
      </c>
      <c r="C339" s="9"/>
      <c r="D339" s="10"/>
      <c r="E339" s="486"/>
      <c r="F339" s="487">
        <f>IF(A339&lt;&gt;0,VLOOKUP(A339,合同台帐!$A$4:$J$893,6,1),"")</f>
        <v>2571257</v>
      </c>
      <c r="G339" s="488">
        <f>F339/K$2</f>
        <v>22.096818908930157</v>
      </c>
      <c r="H339" s="486">
        <f ca="1">IF(A339&lt;&gt;0,IF($H$2="元",VLOOKUP(A339,合同台帐!$A$4:$K$1093,11,1),VLOOKUP(A339,合同台帐!$A$4:$K$1093,11,1)),0)</f>
        <v>385687.7</v>
      </c>
      <c r="I339" s="487"/>
      <c r="J339" s="489"/>
      <c r="K339" s="490"/>
    </row>
    <row r="340" spans="1:12" s="484" customFormat="1" ht="12.75" outlineLevel="2">
      <c r="A340" s="18"/>
      <c r="B340" s="11" t="s">
        <v>731</v>
      </c>
      <c r="C340" s="12"/>
      <c r="D340" s="13">
        <f>E340/K$2*10000</f>
        <v>1.5468805349319139</v>
      </c>
      <c r="E340" s="492">
        <v>18</v>
      </c>
      <c r="F340" s="493">
        <f>F341+F342+F343</f>
        <v>0</v>
      </c>
      <c r="G340" s="493">
        <f t="shared" ref="G340:H340" si="121">G341+G342+G343</f>
        <v>0</v>
      </c>
      <c r="H340" s="493">
        <f t="shared" si="121"/>
        <v>0</v>
      </c>
      <c r="I340" s="500"/>
      <c r="J340" s="495"/>
      <c r="K340" s="479"/>
    </row>
    <row r="341" spans="1:12" s="491" customFormat="1" ht="12.75" outlineLevel="3">
      <c r="A341" s="511"/>
      <c r="B341" s="8" t="str">
        <f>IF(A341&lt;&gt;0,VLOOKUP(A341,合同台帐!$A$4:$D$195,4,1),"")</f>
        <v/>
      </c>
      <c r="C341" s="9"/>
      <c r="D341" s="10"/>
      <c r="E341" s="486"/>
      <c r="F341" s="487">
        <f>IF(A341&lt;&gt;0,IF(VLOOKUP(A341,合同台帐!$A$4:$G$195,7,1),IF($H$2="元",VLOOKUP(A341,合同台帐!$A$4:$G$195,7,1),VLOOKUP(A341,合同台帐!$A$4:$G$195,7,1)),IF($H$2="元",VLOOKUP(A341,合同台帐!$A$4:$F$195,6,1),VLOOKUP(A341,合同台帐!$A$4:$F$195,6,1))),0)</f>
        <v>0</v>
      </c>
      <c r="G341" s="488">
        <f>F341/K$2</f>
        <v>0</v>
      </c>
      <c r="H341" s="486">
        <f>IF(A341&lt;&gt;0,IF($H$2="元",VLOOKUP(A341,合同台帐!$A$4:$K$1093,11,1),VLOOKUP(A341,合同台帐!$A$4:$K$1093,11,1)),0)</f>
        <v>0</v>
      </c>
      <c r="I341" s="503"/>
      <c r="J341" s="489"/>
      <c r="K341" s="504"/>
    </row>
    <row r="342" spans="1:12" s="491" customFormat="1" ht="12.75" outlineLevel="3">
      <c r="A342" s="511"/>
      <c r="B342" s="8"/>
      <c r="C342" s="9"/>
      <c r="D342" s="10"/>
      <c r="E342" s="486"/>
      <c r="F342" s="487"/>
      <c r="G342" s="488"/>
      <c r="H342" s="486"/>
      <c r="I342" s="503"/>
      <c r="J342" s="489"/>
      <c r="K342" s="504"/>
    </row>
    <row r="343" spans="1:12" s="484" customFormat="1" ht="12.75" outlineLevel="3">
      <c r="A343" s="18"/>
      <c r="B343" s="11"/>
      <c r="C343" s="12"/>
      <c r="D343" s="13"/>
      <c r="E343" s="492"/>
      <c r="F343" s="493"/>
      <c r="G343" s="494"/>
      <c r="H343" s="492"/>
      <c r="I343" s="500"/>
      <c r="J343" s="495"/>
      <c r="K343" s="479"/>
    </row>
    <row r="344" spans="1:12" s="484" customFormat="1" ht="12.75" outlineLevel="1">
      <c r="A344" s="22"/>
      <c r="B344" s="6" t="s">
        <v>732</v>
      </c>
      <c r="C344" s="7"/>
      <c r="D344" s="496">
        <f>E344/K2*10000</f>
        <v>9.7763966999194434</v>
      </c>
      <c r="E344" s="496">
        <v>113.76130000000001</v>
      </c>
      <c r="F344" s="497">
        <f>SUM(F345:F346)</f>
        <v>0</v>
      </c>
      <c r="G344" s="497">
        <f t="shared" ref="G344:H344" si="122">SUM(G345:G346)</f>
        <v>0</v>
      </c>
      <c r="H344" s="497">
        <f t="shared" si="122"/>
        <v>0</v>
      </c>
      <c r="I344" s="482">
        <f>F344-E344*10000</f>
        <v>-1137613</v>
      </c>
      <c r="J344" s="483">
        <f>G344-D344</f>
        <v>-9.7763966999194434</v>
      </c>
      <c r="K344" s="479"/>
    </row>
    <row r="345" spans="1:12" s="484" customFormat="1" ht="12.75" outlineLevel="2">
      <c r="A345" s="23"/>
      <c r="B345" s="16"/>
      <c r="C345" s="24"/>
      <c r="D345" s="25"/>
      <c r="E345" s="516"/>
      <c r="F345" s="493"/>
      <c r="G345" s="500"/>
      <c r="H345" s="516"/>
      <c r="I345" s="516"/>
      <c r="J345" s="501"/>
      <c r="K345" s="479"/>
    </row>
    <row r="346" spans="1:12" s="484" customFormat="1" ht="12.75" outlineLevel="2">
      <c r="A346" s="23"/>
      <c r="B346" s="16"/>
      <c r="C346" s="24"/>
      <c r="D346" s="25"/>
      <c r="E346" s="516"/>
      <c r="F346" s="493"/>
      <c r="G346" s="500"/>
      <c r="H346" s="516"/>
      <c r="I346" s="516"/>
      <c r="J346" s="501"/>
      <c r="K346" s="479"/>
    </row>
    <row r="347" spans="1:12" s="484" customFormat="1" ht="12.75" outlineLevel="1">
      <c r="A347" s="519"/>
      <c r="B347" s="6" t="s">
        <v>733</v>
      </c>
      <c r="C347" s="519"/>
      <c r="D347" s="519"/>
      <c r="E347" s="5"/>
      <c r="F347" s="497">
        <f>SUM(F348)</f>
        <v>0</v>
      </c>
      <c r="G347" s="497"/>
      <c r="H347" s="497">
        <f>SUM(H348)</f>
        <v>0</v>
      </c>
      <c r="I347" s="496"/>
      <c r="J347" s="497"/>
      <c r="K347" s="479"/>
    </row>
    <row r="348" spans="1:12" s="491" customFormat="1" ht="23.25" customHeight="1" outlineLevel="3">
      <c r="A348" s="511"/>
      <c r="B348" s="8" t="str">
        <f>IF(A348&lt;&gt;0,VLOOKUP(A348,合同台帐!$A$4:$D$893,4,1),"")</f>
        <v/>
      </c>
      <c r="C348" s="9"/>
      <c r="D348" s="10"/>
      <c r="E348" s="486"/>
      <c r="F348" s="487" t="str">
        <f>IF(A348&lt;&gt;0,VLOOKUP(A348,合同台帐!$A$4:$J$893,6,1),"")</f>
        <v/>
      </c>
      <c r="G348" s="488"/>
      <c r="H348" s="486">
        <f>IF(A348&lt;&gt;0,IF($H$2="元",VLOOKUP(A348,合同台帐!$A$4:$K$1093,11,1),VLOOKUP(A348,合同台帐!$A$4:$K$1093,11,1)),0)</f>
        <v>0</v>
      </c>
      <c r="I348" s="487"/>
      <c r="J348" s="489"/>
      <c r="K348" s="490"/>
    </row>
    <row r="349" spans="1:12" s="480" customFormat="1" ht="12.75">
      <c r="A349" s="2"/>
      <c r="B349" s="3" t="s">
        <v>734</v>
      </c>
      <c r="C349" s="4" t="s">
        <v>735</v>
      </c>
      <c r="D349" s="478">
        <f t="shared" ref="D349:H349" si="123">D350+D373+D403+D416+D425+D435+D455+D466+D476</f>
        <v>582.65104729827851</v>
      </c>
      <c r="E349" s="478">
        <f t="shared" si="123"/>
        <v>6779.9151999999985</v>
      </c>
      <c r="F349" s="478">
        <f t="shared" si="123"/>
        <v>43337217.229999997</v>
      </c>
      <c r="G349" s="478" t="e">
        <f t="shared" si="123"/>
        <v>#VALUE!</v>
      </c>
      <c r="H349" s="478">
        <f t="shared" ca="1" si="123"/>
        <v>27408026.199999999</v>
      </c>
      <c r="I349" s="517">
        <f>F349-E349*10000</f>
        <v>-24461934.769999988</v>
      </c>
      <c r="J349" s="477" t="e">
        <f>G349-D349</f>
        <v>#VALUE!</v>
      </c>
      <c r="K349" s="479"/>
    </row>
    <row r="350" spans="1:12" ht="12.75" outlineLevel="1">
      <c r="A350" s="5"/>
      <c r="B350" s="6" t="s">
        <v>736</v>
      </c>
      <c r="C350" s="7" t="s">
        <v>737</v>
      </c>
      <c r="D350" s="497">
        <f t="shared" ref="D350:J350" si="124">D351+D354+D357+D360+D363+D366+D370</f>
        <v>137.69502081499633</v>
      </c>
      <c r="E350" s="497">
        <f t="shared" si="124"/>
        <v>1602.2636</v>
      </c>
      <c r="F350" s="497">
        <f t="shared" si="124"/>
        <v>7006790</v>
      </c>
      <c r="G350" s="497" t="e">
        <f t="shared" si="124"/>
        <v>#VALUE!</v>
      </c>
      <c r="H350" s="497">
        <f t="shared" ca="1" si="124"/>
        <v>6014891</v>
      </c>
      <c r="I350" s="497">
        <f t="shared" si="124"/>
        <v>0</v>
      </c>
      <c r="J350" s="497">
        <f t="shared" si="124"/>
        <v>0</v>
      </c>
      <c r="K350" s="479"/>
    </row>
    <row r="351" spans="1:12" ht="12.75" outlineLevel="2">
      <c r="A351" s="18"/>
      <c r="B351" s="11" t="s">
        <v>738</v>
      </c>
      <c r="C351" s="12"/>
      <c r="D351" s="13">
        <f>E351/K$2*10000</f>
        <v>106.62118150391507</v>
      </c>
      <c r="E351" s="492">
        <v>1240.6784</v>
      </c>
      <c r="F351" s="493">
        <f>SUM(F352:F353)</f>
        <v>6660990</v>
      </c>
      <c r="G351" s="493">
        <f t="shared" ref="G351:J351" si="125">SUM(G352:G353)</f>
        <v>57.243087635422945</v>
      </c>
      <c r="H351" s="493">
        <f t="shared" ca="1" si="125"/>
        <v>5994891</v>
      </c>
      <c r="I351" s="493">
        <f t="shared" si="125"/>
        <v>0</v>
      </c>
      <c r="J351" s="493">
        <f t="shared" si="125"/>
        <v>0</v>
      </c>
      <c r="K351" s="479"/>
      <c r="L351" s="520"/>
    </row>
    <row r="352" spans="1:12" s="491" customFormat="1" ht="23.25" customHeight="1" outlineLevel="3">
      <c r="A352" s="485" t="s">
        <v>34</v>
      </c>
      <c r="B352" s="8" t="str">
        <f>IF(A352&lt;&gt;0,VLOOKUP(A352,合同台帐!$A$4:$D$893,4,1),"")</f>
        <v>一期电力配套费</v>
      </c>
      <c r="C352" s="9"/>
      <c r="D352" s="10"/>
      <c r="E352" s="486"/>
      <c r="F352" s="487">
        <f>IF(A352&lt;&gt;0,VLOOKUP(A352,合同台帐!$A$4:$J$893,6,1),"")</f>
        <v>6013035</v>
      </c>
      <c r="G352" s="488">
        <f>F352/K2</f>
        <v>51.674704429801785</v>
      </c>
      <c r="H352" s="486">
        <f ca="1">IF(A352&lt;&gt;0,IF($H$2="元",VLOOKUP(A352,合同台帐!$A$4:$K$1093,11,1),VLOOKUP(A352,合同台帐!$A$4:$K$1093,11,1)),0)</f>
        <v>5411731.5</v>
      </c>
      <c r="I352" s="487"/>
      <c r="J352" s="489"/>
      <c r="K352" s="490"/>
    </row>
    <row r="353" spans="1:11" s="491" customFormat="1" ht="23.25" customHeight="1" outlineLevel="3">
      <c r="A353" s="485" t="s">
        <v>92</v>
      </c>
      <c r="B353" s="8" t="str">
        <f>IF(A353&lt;&gt;0,VLOOKUP(A353,合同台帐!$A$4:$D$893,4,1),"")</f>
        <v>一期电力配套费（泵房、供热站动力负荷）</v>
      </c>
      <c r="C353" s="9"/>
      <c r="D353" s="10"/>
      <c r="E353" s="486"/>
      <c r="F353" s="487">
        <f>IF(A353&lt;&gt;0,VLOOKUP(A353,合同台帐!$A$4:$J$893,6,1),"")</f>
        <v>647955</v>
      </c>
      <c r="G353" s="488">
        <f>F353/K2</f>
        <v>5.5683832056211573</v>
      </c>
      <c r="H353" s="486">
        <f ca="1">IF(A353&lt;&gt;0,IF($H$2="元",VLOOKUP(A353,合同台帐!$A$4:$K$1093,11,1),VLOOKUP(A353,合同台帐!$A$4:$K$1093,11,1)),0)</f>
        <v>583159.5</v>
      </c>
      <c r="I353" s="487"/>
      <c r="J353" s="489"/>
      <c r="K353" s="490"/>
    </row>
    <row r="354" spans="1:11" ht="24" customHeight="1" outlineLevel="2">
      <c r="A354" s="18"/>
      <c r="B354" s="11" t="s">
        <v>739</v>
      </c>
      <c r="C354" s="12"/>
      <c r="D354" s="13">
        <f>E354/K$2*10000</f>
        <v>0</v>
      </c>
      <c r="E354" s="492">
        <v>0</v>
      </c>
      <c r="F354" s="493">
        <f>SUM(F355:F356)</f>
        <v>0</v>
      </c>
      <c r="G354" s="493">
        <f t="shared" ref="G354:H354" si="126">SUM(G355:G356)</f>
        <v>0</v>
      </c>
      <c r="H354" s="493">
        <f t="shared" si="126"/>
        <v>0</v>
      </c>
      <c r="I354" s="503"/>
      <c r="J354" s="495"/>
      <c r="K354" s="479"/>
    </row>
    <row r="355" spans="1:11" ht="12.75" outlineLevel="3">
      <c r="A355" s="18"/>
      <c r="B355" s="11"/>
      <c r="C355" s="12"/>
      <c r="D355" s="13"/>
      <c r="E355" s="492"/>
      <c r="F355" s="493"/>
      <c r="G355" s="494"/>
      <c r="H355" s="492"/>
      <c r="I355" s="503"/>
      <c r="J355" s="495"/>
      <c r="K355" s="479"/>
    </row>
    <row r="356" spans="1:11" ht="12.75" outlineLevel="3">
      <c r="A356" s="18"/>
      <c r="B356" s="11"/>
      <c r="C356" s="12"/>
      <c r="D356" s="13"/>
      <c r="E356" s="492"/>
      <c r="F356" s="493"/>
      <c r="G356" s="494"/>
      <c r="H356" s="492"/>
      <c r="I356" s="503"/>
      <c r="J356" s="495"/>
      <c r="K356" s="479"/>
    </row>
    <row r="357" spans="1:11" ht="12.75" outlineLevel="2">
      <c r="A357" s="18"/>
      <c r="B357" s="11" t="s">
        <v>740</v>
      </c>
      <c r="C357" s="12"/>
      <c r="D357" s="13">
        <f>E357/K$2*10000</f>
        <v>0.89313444574668854</v>
      </c>
      <c r="E357" s="492">
        <v>10.392799999999999</v>
      </c>
      <c r="F357" s="493">
        <f>SUM(F358:F359)</f>
        <v>0</v>
      </c>
      <c r="G357" s="493">
        <f t="shared" ref="G357:H357" si="127">SUM(G358:G359)</f>
        <v>0</v>
      </c>
      <c r="H357" s="493">
        <f t="shared" si="127"/>
        <v>0</v>
      </c>
      <c r="I357" s="493"/>
      <c r="J357" s="495"/>
      <c r="K357" s="479"/>
    </row>
    <row r="358" spans="1:11" ht="12.75" outlineLevel="3">
      <c r="A358" s="18"/>
      <c r="B358" s="11"/>
      <c r="C358" s="12"/>
      <c r="D358" s="13"/>
      <c r="E358" s="492"/>
      <c r="F358" s="493"/>
      <c r="G358" s="494"/>
      <c r="H358" s="492">
        <f>IF(A358&lt;&gt;0,IF($H$2="元",VLOOKUP(A358,合同台帐!$A$4:$K$1093,11,1),VLOOKUP(A358,合同台帐!$A$4:$K$1093,11,1)),0)</f>
        <v>0</v>
      </c>
      <c r="I358" s="503"/>
      <c r="J358" s="495"/>
      <c r="K358" s="479"/>
    </row>
    <row r="359" spans="1:11" ht="12.75" outlineLevel="3">
      <c r="A359" s="18"/>
      <c r="C359" s="12"/>
      <c r="D359" s="13"/>
      <c r="E359" s="492"/>
      <c r="F359" s="493"/>
      <c r="G359" s="494"/>
      <c r="H359" s="492">
        <f>IF(A359&lt;&gt;0,IF($H$2="元",VLOOKUP(A359,合同台帐!$A$4:$K$1093,11,1),VLOOKUP(A359,合同台帐!$A$4:$K$1093,11,1)),0)</f>
        <v>0</v>
      </c>
      <c r="I359" s="503"/>
      <c r="J359" s="495"/>
      <c r="K359" s="479"/>
    </row>
    <row r="360" spans="1:11" ht="12.75" outlineLevel="2">
      <c r="A360" s="18"/>
      <c r="B360" s="11" t="s">
        <v>741</v>
      </c>
      <c r="C360" s="12"/>
      <c r="D360" s="13">
        <f>E360/K$2*10000</f>
        <v>1.1781557780886436</v>
      </c>
      <c r="E360" s="492">
        <v>13.7094</v>
      </c>
      <c r="F360" s="493">
        <f>SUM(F361:F362)</f>
        <v>0</v>
      </c>
      <c r="G360" s="493">
        <f t="shared" ref="G360:H360" si="128">SUM(G361:G362)</f>
        <v>0</v>
      </c>
      <c r="H360" s="493">
        <f t="shared" si="128"/>
        <v>0</v>
      </c>
      <c r="I360" s="503"/>
      <c r="J360" s="495"/>
      <c r="K360" s="479"/>
    </row>
    <row r="361" spans="1:11" ht="12.75" outlineLevel="3">
      <c r="A361" s="18"/>
      <c r="B361" s="11"/>
      <c r="C361" s="12"/>
      <c r="D361" s="13"/>
      <c r="E361" s="492"/>
      <c r="F361" s="493"/>
      <c r="G361" s="494"/>
      <c r="H361" s="492"/>
      <c r="I361" s="503"/>
      <c r="J361" s="495"/>
      <c r="K361" s="479"/>
    </row>
    <row r="362" spans="1:11" ht="12.75" outlineLevel="3">
      <c r="A362" s="18"/>
      <c r="B362" s="11"/>
      <c r="C362" s="12"/>
      <c r="D362" s="13"/>
      <c r="E362" s="492"/>
      <c r="F362" s="493"/>
      <c r="G362" s="494"/>
      <c r="H362" s="492"/>
      <c r="I362" s="503"/>
      <c r="J362" s="495"/>
      <c r="K362" s="479"/>
    </row>
    <row r="363" spans="1:11" ht="12.75" outlineLevel="2">
      <c r="A363" s="18"/>
      <c r="B363" s="11" t="s">
        <v>742</v>
      </c>
      <c r="C363" s="12"/>
      <c r="D363" s="13">
        <f>E363/K$2*10000</f>
        <v>8.0000020625073791</v>
      </c>
      <c r="E363" s="492">
        <v>93.090599999999995</v>
      </c>
      <c r="F363" s="493">
        <f>SUM(F364:F365)</f>
        <v>0</v>
      </c>
      <c r="G363" s="493">
        <f t="shared" ref="G363:H363" si="129">SUM(G364:G365)</f>
        <v>0</v>
      </c>
      <c r="H363" s="493">
        <f t="shared" si="129"/>
        <v>0</v>
      </c>
      <c r="I363" s="503"/>
      <c r="J363" s="495"/>
      <c r="K363" s="479"/>
    </row>
    <row r="364" spans="1:11" ht="12.75" outlineLevel="3">
      <c r="A364" s="18"/>
      <c r="B364" s="11"/>
      <c r="C364" s="12"/>
      <c r="D364" s="13"/>
      <c r="E364" s="492"/>
      <c r="F364" s="493"/>
      <c r="G364" s="494"/>
      <c r="H364" s="492"/>
      <c r="I364" s="503"/>
      <c r="J364" s="495"/>
      <c r="K364" s="479"/>
    </row>
    <row r="365" spans="1:11" ht="12.75" outlineLevel="3">
      <c r="A365" s="18"/>
      <c r="B365" s="11"/>
      <c r="C365" s="12"/>
      <c r="D365" s="13"/>
      <c r="E365" s="492"/>
      <c r="F365" s="493"/>
      <c r="G365" s="494"/>
      <c r="H365" s="492"/>
      <c r="I365" s="503"/>
      <c r="J365" s="495"/>
      <c r="K365" s="479"/>
    </row>
    <row r="366" spans="1:11" ht="24" outlineLevel="2">
      <c r="A366" s="18"/>
      <c r="B366" s="11" t="s">
        <v>743</v>
      </c>
      <c r="C366" s="12"/>
      <c r="D366" s="13">
        <f>E366/K$2*10000</f>
        <v>4.0000010312536896</v>
      </c>
      <c r="E366" s="492">
        <v>46.545299999999997</v>
      </c>
      <c r="F366" s="494">
        <f>SUM(F367:F369)</f>
        <v>345800</v>
      </c>
      <c r="G366" s="494" t="e">
        <f t="shared" ref="G366:H366" si="130">SUM(G367:G369)</f>
        <v>#VALUE!</v>
      </c>
      <c r="H366" s="494">
        <f t="shared" ca="1" si="130"/>
        <v>20000</v>
      </c>
      <c r="I366" s="503"/>
      <c r="J366" s="495"/>
      <c r="K366" s="479"/>
    </row>
    <row r="367" spans="1:11" s="491" customFormat="1" ht="23.25" customHeight="1" outlineLevel="3">
      <c r="A367" s="485" t="s">
        <v>86</v>
      </c>
      <c r="B367" s="8" t="str">
        <f>IF(A367&lt;&gt;0,VLOOKUP(A367,合同台帐!$A$4:$D$893,4,1),"")</f>
        <v>配电站电力设计费</v>
      </c>
      <c r="C367" s="9"/>
      <c r="D367" s="10"/>
      <c r="E367" s="486"/>
      <c r="F367" s="487">
        <f>IF(A367&lt;&gt;0,VLOOKUP(A367,合同台帐!$A$4:$J$893,6,1),"")</f>
        <v>20000</v>
      </c>
      <c r="G367" s="488">
        <f>F367/K2</f>
        <v>0.17187561499243489</v>
      </c>
      <c r="H367" s="486">
        <f ca="1">IF(A367&lt;&gt;0,IF($H$2="元",VLOOKUP(A367,合同台帐!$A$4:$K$1093,11,1),VLOOKUP(A367,合同台帐!$A$4:$K$1093,11,1)),0)</f>
        <v>20000</v>
      </c>
      <c r="I367" s="487"/>
      <c r="J367" s="489"/>
      <c r="K367" s="490"/>
    </row>
    <row r="368" spans="1:11" s="491" customFormat="1" ht="23.25" customHeight="1" outlineLevel="3">
      <c r="A368" s="485" t="s">
        <v>157</v>
      </c>
      <c r="B368" s="8" t="str">
        <f>IF(A368&lt;&gt;0,VLOOKUP(A368,合同台帐!$A$4:$D$893,4,1),"")</f>
        <v>土建站、CF箱基础、箱式站基础、环网柜基础</v>
      </c>
      <c r="C368" s="9"/>
      <c r="D368" s="10"/>
      <c r="E368" s="486"/>
      <c r="F368" s="487">
        <f>IF(A368&lt;&gt;0,VLOOKUP(A368,合同台帐!$A$4:$J$893,6,1),"")</f>
        <v>325800</v>
      </c>
      <c r="G368" s="488" t="e">
        <f>F368/K3</f>
        <v>#VALUE!</v>
      </c>
      <c r="H368" s="486">
        <f ca="1">IF(A368&lt;&gt;0,IF($H$2="元",VLOOKUP(A368,合同台帐!$A$4:$K$1093,11,1),VLOOKUP(A368,合同台帐!$A$4:$K$1093,11,1)),0)</f>
        <v>0</v>
      </c>
      <c r="I368" s="487"/>
      <c r="J368" s="489"/>
      <c r="K368" s="490"/>
    </row>
    <row r="369" spans="1:11" ht="12.75" outlineLevel="3">
      <c r="A369" s="18"/>
      <c r="B369" s="11"/>
      <c r="C369" s="12"/>
      <c r="D369" s="13"/>
      <c r="E369" s="492"/>
      <c r="F369" s="493"/>
      <c r="G369" s="494"/>
      <c r="H369" s="492"/>
      <c r="I369" s="503"/>
      <c r="J369" s="495"/>
      <c r="K369" s="479"/>
    </row>
    <row r="370" spans="1:11" ht="12.75" outlineLevel="2">
      <c r="A370" s="18"/>
      <c r="B370" s="11" t="s">
        <v>744</v>
      </c>
      <c r="C370" s="12"/>
      <c r="D370" s="13">
        <f>E370/K$2*10000</f>
        <v>17.002545993484883</v>
      </c>
      <c r="E370" s="492">
        <v>197.84710000000001</v>
      </c>
      <c r="F370" s="493">
        <f>SUM(F371:F372)</f>
        <v>0</v>
      </c>
      <c r="G370" s="493">
        <f t="shared" ref="G370:H370" si="131">SUM(G371:G372)</f>
        <v>0</v>
      </c>
      <c r="H370" s="493">
        <f t="shared" si="131"/>
        <v>0</v>
      </c>
      <c r="I370" s="503"/>
      <c r="J370" s="495"/>
      <c r="K370" s="479"/>
    </row>
    <row r="371" spans="1:11" ht="12.75" outlineLevel="3">
      <c r="A371" s="18"/>
      <c r="B371" s="11"/>
      <c r="C371" s="12"/>
      <c r="D371" s="13"/>
      <c r="E371" s="492"/>
      <c r="F371" s="493"/>
      <c r="G371" s="494"/>
      <c r="H371" s="492"/>
      <c r="I371" s="500"/>
      <c r="J371" s="495"/>
      <c r="K371" s="479"/>
    </row>
    <row r="372" spans="1:11" ht="12.75" outlineLevel="3">
      <c r="A372" s="18"/>
      <c r="B372" s="11"/>
      <c r="C372" s="12"/>
      <c r="D372" s="13"/>
      <c r="E372" s="492"/>
      <c r="F372" s="493"/>
      <c r="G372" s="494"/>
      <c r="H372" s="492"/>
      <c r="I372" s="500"/>
      <c r="J372" s="495"/>
      <c r="K372" s="479"/>
    </row>
    <row r="373" spans="1:11" ht="12.75" outlineLevel="1">
      <c r="A373" s="5"/>
      <c r="B373" s="6" t="s">
        <v>745</v>
      </c>
      <c r="C373" s="7" t="s">
        <v>746</v>
      </c>
      <c r="D373" s="497">
        <f t="shared" ref="D373:H373" si="132">D374+D377+D380+D383+D399+D386+D390+D393+D396</f>
        <v>90.781580296591997</v>
      </c>
      <c r="E373" s="497">
        <f t="shared" si="132"/>
        <v>1056.3637000000001</v>
      </c>
      <c r="F373" s="497">
        <f t="shared" si="132"/>
        <v>10607953.460000001</v>
      </c>
      <c r="G373" s="497" t="e">
        <f t="shared" si="132"/>
        <v>#DIV/0!</v>
      </c>
      <c r="H373" s="497">
        <f t="shared" ca="1" si="132"/>
        <v>6691013</v>
      </c>
      <c r="I373" s="521">
        <f>F373-E373*10000</f>
        <v>44316.459999999031</v>
      </c>
      <c r="J373" s="483" t="e">
        <f>G373-D373</f>
        <v>#DIV/0!</v>
      </c>
      <c r="K373" s="479"/>
    </row>
    <row r="374" spans="1:11" ht="12.75" outlineLevel="2">
      <c r="A374" s="18"/>
      <c r="B374" s="11" t="s">
        <v>747</v>
      </c>
      <c r="C374" s="12"/>
      <c r="D374" s="13">
        <f>E374/K$2*10000</f>
        <v>31.94205179265407</v>
      </c>
      <c r="E374" s="492">
        <v>371.68799999999999</v>
      </c>
      <c r="F374" s="493">
        <f>SUM(F375:F376)</f>
        <v>1888940.46</v>
      </c>
      <c r="G374" s="493">
        <f t="shared" ref="G374:J374" si="133">SUM(G375:G376)</f>
        <v>16.233140162329644</v>
      </c>
      <c r="H374" s="493">
        <f t="shared" ca="1" si="133"/>
        <v>650000</v>
      </c>
      <c r="I374" s="493">
        <f t="shared" si="133"/>
        <v>0</v>
      </c>
      <c r="J374" s="493">
        <f t="shared" si="133"/>
        <v>0</v>
      </c>
      <c r="K374" s="479"/>
    </row>
    <row r="375" spans="1:11" s="484" customFormat="1" ht="12.75" outlineLevel="3">
      <c r="A375" s="485" t="s">
        <v>89</v>
      </c>
      <c r="B375" s="8" t="str">
        <f>IF(A375&lt;&gt;0,VLOOKUP(A375,合同台帐!$A$4:$D$893,4,1),"")</f>
        <v>一期自来水配套工程</v>
      </c>
      <c r="C375" s="9"/>
      <c r="D375" s="10"/>
      <c r="E375" s="486"/>
      <c r="F375" s="487">
        <f>IF(A375&lt;&gt;0,VLOOKUP(A375,合同台帐!$A$4:$J$893,6,1),"")</f>
        <v>1888940.46</v>
      </c>
      <c r="G375" s="488">
        <f>F375/K2</f>
        <v>16.233140162329644</v>
      </c>
      <c r="H375" s="486">
        <f ca="1">IF(A375&lt;&gt;0,IF($H$2="元",VLOOKUP(A375,合同台帐!$A$4:$K$1093,11,1),VLOOKUP(A375,合同台帐!$A$4:$K$1093,11,1)),0)</f>
        <v>650000</v>
      </c>
      <c r="I375" s="503"/>
      <c r="J375" s="495"/>
      <c r="K375" s="479"/>
    </row>
    <row r="376" spans="1:11" s="484" customFormat="1" ht="17.25" customHeight="1" outlineLevel="3">
      <c r="A376" s="405"/>
      <c r="B376" s="11"/>
      <c r="C376" s="12"/>
      <c r="D376" s="13"/>
      <c r="E376" s="492"/>
      <c r="F376" s="493"/>
      <c r="G376" s="494"/>
      <c r="H376" s="492"/>
      <c r="I376" s="503"/>
      <c r="J376" s="495"/>
      <c r="K376" s="479"/>
    </row>
    <row r="377" spans="1:11" ht="24" outlineLevel="2">
      <c r="A377" s="18"/>
      <c r="B377" s="11" t="s">
        <v>748</v>
      </c>
      <c r="C377" s="12"/>
      <c r="D377" s="13">
        <f>E377/K$2*10000</f>
        <v>26.79410212264666</v>
      </c>
      <c r="E377" s="492">
        <v>311.78480000000002</v>
      </c>
      <c r="F377" s="493">
        <f>SUM(F378:F379)</f>
        <v>5700000</v>
      </c>
      <c r="G377" s="493" t="e">
        <f t="shared" ref="G377:J377" si="134">SUM(G378:G379)</f>
        <v>#DIV/0!</v>
      </c>
      <c r="H377" s="493">
        <f t="shared" ca="1" si="134"/>
        <v>4200000</v>
      </c>
      <c r="I377" s="493">
        <f t="shared" si="134"/>
        <v>0</v>
      </c>
      <c r="J377" s="493">
        <f t="shared" si="134"/>
        <v>0</v>
      </c>
      <c r="K377" s="479"/>
    </row>
    <row r="378" spans="1:11" s="484" customFormat="1" ht="48" outlineLevel="3">
      <c r="A378" s="485" t="s">
        <v>88</v>
      </c>
      <c r="B378" s="8" t="str">
        <f>IF(A378&lt;&gt;0,VLOOKUP(A378,合同台帐!$A$4:$D$893,4,1),"")</f>
        <v>一期中水、自来水配套工程（含中水一次网，中水、自来水二次网，中水、自来水水表，室外消火栓、消防防险准备金）</v>
      </c>
      <c r="C378" s="9"/>
      <c r="D378" s="10"/>
      <c r="E378" s="486"/>
      <c r="F378" s="487">
        <f>IF(A378&lt;&gt;0,VLOOKUP(A378,合同台帐!$A$4:$J$893,6,1),"")</f>
        <v>5700000</v>
      </c>
      <c r="G378" s="488" t="e">
        <f>F378/K5</f>
        <v>#DIV/0!</v>
      </c>
      <c r="H378" s="486">
        <f ca="1">IF(A378&lt;&gt;0,IF($H$2="元",VLOOKUP(A378,合同台帐!$A$4:$K$1093,11,1),VLOOKUP(A378,合同台帐!$A$4:$K$1093,11,1)),0)</f>
        <v>4200000</v>
      </c>
      <c r="I378" s="503"/>
      <c r="J378" s="495"/>
      <c r="K378" s="479"/>
    </row>
    <row r="379" spans="1:11" s="484" customFormat="1" ht="17.25" customHeight="1" outlineLevel="3">
      <c r="A379" s="405"/>
      <c r="B379" s="11"/>
      <c r="C379" s="12"/>
      <c r="D379" s="13"/>
      <c r="E379" s="492"/>
      <c r="F379" s="493"/>
      <c r="G379" s="494"/>
      <c r="H379" s="492"/>
      <c r="I379" s="503"/>
      <c r="J379" s="495"/>
      <c r="K379" s="479"/>
    </row>
    <row r="380" spans="1:11" ht="12.75" outlineLevel="2">
      <c r="A380" s="18"/>
      <c r="B380" s="11" t="s">
        <v>749</v>
      </c>
      <c r="C380" s="12"/>
      <c r="D380" s="13">
        <f>E380/K$2*10000</f>
        <v>8.1653807792531001</v>
      </c>
      <c r="E380" s="492">
        <v>95.015000000000001</v>
      </c>
      <c r="F380" s="493">
        <f>SUM(F381:F382)</f>
        <v>0</v>
      </c>
      <c r="G380" s="493">
        <f t="shared" ref="G380:H380" si="135">SUM(G381:G382)</f>
        <v>0</v>
      </c>
      <c r="H380" s="493">
        <f t="shared" si="135"/>
        <v>0</v>
      </c>
      <c r="I380" s="503"/>
      <c r="J380" s="495"/>
      <c r="K380" s="479"/>
    </row>
    <row r="381" spans="1:11" s="484" customFormat="1" ht="12.75" outlineLevel="3">
      <c r="A381" s="405"/>
      <c r="B381" s="11"/>
      <c r="C381" s="12"/>
      <c r="D381" s="13"/>
      <c r="E381" s="492"/>
      <c r="F381" s="493"/>
      <c r="G381" s="494"/>
      <c r="H381" s="492"/>
      <c r="I381" s="503"/>
      <c r="J381" s="495"/>
      <c r="K381" s="479"/>
    </row>
    <row r="382" spans="1:11" ht="12.75" outlineLevel="3">
      <c r="A382" s="18"/>
      <c r="B382" s="11"/>
      <c r="C382" s="12"/>
      <c r="D382" s="13"/>
      <c r="E382" s="492"/>
      <c r="F382" s="493"/>
      <c r="G382" s="494"/>
      <c r="H382" s="492"/>
      <c r="I382" s="503"/>
      <c r="J382" s="495"/>
      <c r="K382" s="479"/>
    </row>
    <row r="383" spans="1:11" ht="12.75" outlineLevel="2">
      <c r="A383" s="18"/>
      <c r="B383" s="11" t="s">
        <v>750</v>
      </c>
      <c r="C383" s="12"/>
      <c r="D383" s="13">
        <f>E383/K$2*10000</f>
        <v>4.4656808225141935</v>
      </c>
      <c r="E383" s="492">
        <v>51.964100000000002</v>
      </c>
      <c r="F383" s="493">
        <f>SUM(F384:F385)</f>
        <v>0</v>
      </c>
      <c r="G383" s="493">
        <f t="shared" ref="G383:H383" si="136">SUM(G384:G385)</f>
        <v>0</v>
      </c>
      <c r="H383" s="493">
        <f t="shared" si="136"/>
        <v>0</v>
      </c>
      <c r="I383" s="503"/>
      <c r="J383" s="495"/>
      <c r="K383" s="479"/>
    </row>
    <row r="384" spans="1:11" s="484" customFormat="1" ht="12.75" outlineLevel="3">
      <c r="A384" s="405"/>
      <c r="B384" s="11"/>
      <c r="C384" s="12"/>
      <c r="D384" s="13"/>
      <c r="E384" s="492"/>
      <c r="F384" s="493"/>
      <c r="G384" s="494"/>
      <c r="H384" s="492"/>
      <c r="I384" s="503"/>
      <c r="J384" s="495"/>
      <c r="K384" s="479"/>
    </row>
    <row r="385" spans="1:11" ht="12.75" outlineLevel="3">
      <c r="A385" s="18"/>
      <c r="B385" s="11"/>
      <c r="C385" s="12"/>
      <c r="D385" s="13"/>
      <c r="E385" s="492"/>
      <c r="F385" s="493"/>
      <c r="G385" s="494"/>
      <c r="H385" s="492"/>
      <c r="I385" s="503"/>
      <c r="J385" s="495"/>
      <c r="K385" s="479"/>
    </row>
    <row r="386" spans="1:11" ht="24" outlineLevel="2">
      <c r="A386" s="18"/>
      <c r="B386" s="11" t="s">
        <v>751</v>
      </c>
      <c r="C386" s="12"/>
      <c r="D386" s="13">
        <f>E386/K$2*10000</f>
        <v>2.3308997465006556</v>
      </c>
      <c r="E386" s="492">
        <v>27.123100000000001</v>
      </c>
      <c r="F386" s="493">
        <f>SUM(F387:F389)</f>
        <v>271230</v>
      </c>
      <c r="G386" s="493">
        <f t="shared" ref="G386:H386" si="137">SUM(G387:G389)</f>
        <v>2.3308911527199059</v>
      </c>
      <c r="H386" s="493">
        <f t="shared" ca="1" si="137"/>
        <v>271230</v>
      </c>
      <c r="I386" s="503"/>
      <c r="J386" s="495"/>
      <c r="K386" s="479"/>
    </row>
    <row r="387" spans="1:11" s="491" customFormat="1" ht="23.25" customHeight="1" outlineLevel="3">
      <c r="A387" s="485" t="s">
        <v>58</v>
      </c>
      <c r="B387" s="8" t="str">
        <f>IF(A387&lt;&gt;0,VLOOKUP(A387,合同台帐!$A$4:$D$893,4,1),"")</f>
        <v>水土保持设施补偿费</v>
      </c>
      <c r="C387" s="9"/>
      <c r="D387" s="10"/>
      <c r="E387" s="486"/>
      <c r="F387" s="487">
        <f>IF(A387&lt;&gt;0,VLOOKUP(A387,合同台帐!$A$4:$J$893,6,1),"")</f>
        <v>271230</v>
      </c>
      <c r="G387" s="488">
        <f>F387/K2</f>
        <v>2.3308911527199059</v>
      </c>
      <c r="H387" s="486">
        <f ca="1">IF(A387&lt;&gt;0,IF($H$2="元",VLOOKUP(A387,合同台帐!$A$4:$K$1093,11,1),VLOOKUP(A387,合同台帐!$A$4:$K$1093,11,1)),0)</f>
        <v>271230</v>
      </c>
      <c r="I387" s="487"/>
      <c r="J387" s="489"/>
      <c r="K387" s="490"/>
    </row>
    <row r="388" spans="1:11" ht="12.75" outlineLevel="2">
      <c r="A388" s="18"/>
      <c r="B388" s="11"/>
      <c r="C388" s="12"/>
      <c r="D388" s="13"/>
      <c r="E388" s="492"/>
      <c r="F388" s="493"/>
      <c r="G388" s="500"/>
      <c r="H388" s="516"/>
      <c r="I388" s="503"/>
      <c r="J388" s="495"/>
      <c r="K388" s="479"/>
    </row>
    <row r="389" spans="1:11" ht="12.75" outlineLevel="2">
      <c r="A389" s="18"/>
      <c r="B389" s="11"/>
      <c r="C389" s="12"/>
      <c r="D389" s="13"/>
      <c r="E389" s="492"/>
      <c r="F389" s="493"/>
      <c r="G389" s="500"/>
      <c r="H389" s="516"/>
      <c r="I389" s="503"/>
      <c r="J389" s="495"/>
      <c r="K389" s="479"/>
    </row>
    <row r="390" spans="1:11" ht="12.75" outlineLevel="2">
      <c r="A390" s="18"/>
      <c r="B390" s="11" t="s">
        <v>752</v>
      </c>
      <c r="C390" s="12"/>
      <c r="D390" s="13">
        <f>E390/K$2*10000</f>
        <v>4.5527959779731093</v>
      </c>
      <c r="E390" s="492">
        <v>52.977800000000002</v>
      </c>
      <c r="F390" s="493">
        <f>SUM(F391:F392)</f>
        <v>529783</v>
      </c>
      <c r="G390" s="493">
        <f t="shared" ref="G390:H390" si="138">SUM(G391:G392)</f>
        <v>4.5528389468768564</v>
      </c>
      <c r="H390" s="493">
        <f t="shared" ca="1" si="138"/>
        <v>529783</v>
      </c>
      <c r="I390" s="503"/>
      <c r="J390" s="495"/>
      <c r="K390" s="479"/>
    </row>
    <row r="391" spans="1:11" s="491" customFormat="1" ht="23.25" customHeight="1" outlineLevel="3">
      <c r="A391" s="485" t="s">
        <v>57</v>
      </c>
      <c r="B391" s="8" t="str">
        <f>IF(A391&lt;&gt;0,VLOOKUP(A391,合同台帐!$A$4:$D$893,4,1),"")</f>
        <v>地下水资源费</v>
      </c>
      <c r="C391" s="9"/>
      <c r="D391" s="10"/>
      <c r="E391" s="486"/>
      <c r="F391" s="487">
        <f>IF(A391&lt;&gt;0,VLOOKUP(A391,合同台帐!$A$4:$J$893,6,1),"")</f>
        <v>529783</v>
      </c>
      <c r="G391" s="488">
        <f>F391/K2</f>
        <v>4.5528389468768564</v>
      </c>
      <c r="H391" s="486">
        <f ca="1">IF(A391&lt;&gt;0,IF($H$2="元",VLOOKUP(A391,合同台帐!$A$4:$K$1093,11,1),VLOOKUP(A391,合同台帐!$A$4:$K$1093,11,1)),0)</f>
        <v>529783</v>
      </c>
      <c r="I391" s="487"/>
      <c r="J391" s="489"/>
      <c r="K391" s="490"/>
    </row>
    <row r="392" spans="1:11" ht="12.75" outlineLevel="2">
      <c r="A392" s="18"/>
      <c r="B392" s="11"/>
      <c r="C392" s="12"/>
      <c r="D392" s="13"/>
      <c r="E392" s="492"/>
      <c r="F392" s="493"/>
      <c r="G392" s="500"/>
      <c r="H392" s="516"/>
      <c r="I392" s="503"/>
      <c r="J392" s="495"/>
      <c r="K392" s="479"/>
    </row>
    <row r="393" spans="1:11" ht="24" outlineLevel="2">
      <c r="A393" s="18"/>
      <c r="B393" s="11" t="s">
        <v>753</v>
      </c>
      <c r="C393" s="12"/>
      <c r="D393" s="13">
        <f>E393/K$2*10000</f>
        <v>5.6719038885311015</v>
      </c>
      <c r="E393" s="492">
        <v>66.000100000000003</v>
      </c>
      <c r="F393" s="493">
        <f>SUM(F394:F395)</f>
        <v>660000</v>
      </c>
      <c r="G393" s="493">
        <f t="shared" ref="G393:H393" si="139">SUM(G394:G395)</f>
        <v>5.6718952947503514</v>
      </c>
      <c r="H393" s="493">
        <f t="shared" ca="1" si="139"/>
        <v>660000</v>
      </c>
      <c r="I393" s="503"/>
      <c r="J393" s="495"/>
      <c r="K393" s="479"/>
    </row>
    <row r="394" spans="1:11" s="491" customFormat="1" ht="23.25" customHeight="1" outlineLevel="3">
      <c r="A394" s="485" t="s">
        <v>56</v>
      </c>
      <c r="B394" s="8" t="str">
        <f>IF(A394&lt;&gt;0,VLOOKUP(A394,合同台帐!$A$4:$D$893,4,1),"")</f>
        <v>水土保持方案报告书技术服务合同</v>
      </c>
      <c r="C394" s="9"/>
      <c r="D394" s="10"/>
      <c r="E394" s="486"/>
      <c r="F394" s="487">
        <f>IF(A394&lt;&gt;0,VLOOKUP(A394,合同台帐!$A$4:$J$893,6,1),"")</f>
        <v>660000</v>
      </c>
      <c r="G394" s="488">
        <f>F394/K2</f>
        <v>5.6718952947503514</v>
      </c>
      <c r="H394" s="486">
        <f ca="1">IF(A394&lt;&gt;0,IF($H$2="元",VLOOKUP(A394,合同台帐!$A$4:$K$1093,11,1),VLOOKUP(A394,合同台帐!$A$4:$K$1093,11,1)),0)</f>
        <v>660000</v>
      </c>
      <c r="I394" s="487"/>
      <c r="J394" s="489"/>
      <c r="K394" s="490"/>
    </row>
    <row r="395" spans="1:11" ht="12.75" outlineLevel="2">
      <c r="A395" s="18"/>
      <c r="B395" s="11"/>
      <c r="C395" s="12"/>
      <c r="D395" s="13"/>
      <c r="E395" s="492"/>
      <c r="F395" s="493"/>
      <c r="G395" s="500"/>
      <c r="H395" s="516"/>
      <c r="I395" s="503"/>
      <c r="J395" s="495"/>
      <c r="K395" s="479"/>
    </row>
    <row r="396" spans="1:11" ht="12.75" outlineLevel="2">
      <c r="A396" s="18"/>
      <c r="B396" s="11" t="s">
        <v>754</v>
      </c>
      <c r="C396" s="12"/>
      <c r="D396" s="13">
        <f>E396/K$2*10000</f>
        <v>3.2656023097332643</v>
      </c>
      <c r="E396" s="492">
        <v>37.999600000000001</v>
      </c>
      <c r="F396" s="493">
        <f>SUM(F397:F398)</f>
        <v>380000</v>
      </c>
      <c r="G396" s="493">
        <f t="shared" ref="G396:H396" si="140">SUM(G397:G398)</f>
        <v>3.265636684856263</v>
      </c>
      <c r="H396" s="493">
        <f t="shared" ca="1" si="140"/>
        <v>380000</v>
      </c>
      <c r="I396" s="503"/>
      <c r="J396" s="495"/>
      <c r="K396" s="479"/>
    </row>
    <row r="397" spans="1:11" s="491" customFormat="1" ht="23.25" customHeight="1" outlineLevel="3">
      <c r="A397" s="485" t="s">
        <v>55</v>
      </c>
      <c r="B397" s="8" t="str">
        <f>IF(A397&lt;&gt;0,VLOOKUP(A397,合同台帐!$A$4:$D$893,4,1),"")</f>
        <v>用水报告书技术服务合同</v>
      </c>
      <c r="C397" s="9"/>
      <c r="D397" s="10"/>
      <c r="E397" s="486"/>
      <c r="F397" s="487">
        <f>IF(A397&lt;&gt;0,VLOOKUP(A397,合同台帐!$A$4:$J$893,6,1),"")</f>
        <v>380000</v>
      </c>
      <c r="G397" s="488">
        <f t="shared" ref="G397:G401" si="141">F397/K2</f>
        <v>3.265636684856263</v>
      </c>
      <c r="H397" s="486">
        <f ca="1">IF(A397&lt;&gt;0,IF($H$2="元",VLOOKUP(A397,合同台帐!$A$4:$K$1093,11,1),VLOOKUP(A397,合同台帐!$A$4:$K$1093,11,1)),0)</f>
        <v>380000</v>
      </c>
      <c r="I397" s="487"/>
      <c r="J397" s="489"/>
      <c r="K397" s="490"/>
    </row>
    <row r="398" spans="1:11" ht="12.75" outlineLevel="3">
      <c r="A398" s="405"/>
      <c r="B398" s="11"/>
      <c r="C398" s="12"/>
      <c r="D398" s="13"/>
      <c r="E398" s="492"/>
      <c r="F398" s="493"/>
      <c r="G398" s="494"/>
      <c r="H398" s="492"/>
      <c r="I398" s="503"/>
      <c r="J398" s="495"/>
      <c r="K398" s="479"/>
    </row>
    <row r="399" spans="1:11" ht="12.75" outlineLevel="2">
      <c r="A399" s="18"/>
      <c r="B399" s="11" t="s">
        <v>755</v>
      </c>
      <c r="C399" s="12"/>
      <c r="D399" s="13">
        <f>E399/K$2*10000</f>
        <v>3.5931628567858467</v>
      </c>
      <c r="E399" s="492">
        <v>41.811199999999999</v>
      </c>
      <c r="F399" s="493">
        <f>SUM(F400:F402)</f>
        <v>1178000</v>
      </c>
      <c r="G399" s="493" t="e">
        <f t="shared" ref="G399:H399" si="142">SUM(G400:G402)</f>
        <v>#DIV/0!</v>
      </c>
      <c r="H399" s="493">
        <f t="shared" ca="1" si="142"/>
        <v>0</v>
      </c>
      <c r="I399" s="503"/>
      <c r="J399" s="495"/>
      <c r="K399" s="479"/>
    </row>
    <row r="400" spans="1:11" s="491" customFormat="1" ht="23.25" customHeight="1" outlineLevel="3">
      <c r="A400" s="485" t="s">
        <v>158</v>
      </c>
      <c r="B400" s="8" t="str">
        <f>IF(A400&lt;&gt;0,VLOOKUP(A400,合同台帐!$A$4:$D$893,4,1),"")</f>
        <v>二次供水泵房精装修合同</v>
      </c>
      <c r="C400" s="9"/>
      <c r="D400" s="10"/>
      <c r="E400" s="486"/>
      <c r="F400" s="487">
        <f>IF(A400&lt;&gt;0,VLOOKUP(A400,合同台帐!$A$4:$J$893,6,1),"")</f>
        <v>128000</v>
      </c>
      <c r="G400" s="488" t="e">
        <f t="shared" si="141"/>
        <v>#DIV/0!</v>
      </c>
      <c r="H400" s="486">
        <f ca="1">IF(A400&lt;&gt;0,IF($H$2="元",VLOOKUP(A400,合同台帐!$A$4:$K$1093,11,1),VLOOKUP(A400,合同台帐!$A$4:$K$1093,11,1)),0)</f>
        <v>0</v>
      </c>
      <c r="I400" s="487"/>
      <c r="J400" s="489"/>
      <c r="K400" s="490"/>
    </row>
    <row r="401" spans="1:11" s="491" customFormat="1" ht="23.25" customHeight="1" outlineLevel="3">
      <c r="A401" s="485" t="s">
        <v>161</v>
      </c>
      <c r="B401" s="8" t="str">
        <f>IF(A401&lt;&gt;0,VLOOKUP(A401,合同台帐!$A$4:$D$893,4,1),"")</f>
        <v>给水、中水变频供水设备采购安装合同</v>
      </c>
      <c r="C401" s="9"/>
      <c r="D401" s="10"/>
      <c r="E401" s="486"/>
      <c r="F401" s="487">
        <f>IF(A401&lt;&gt;0,VLOOKUP(A401,合同台帐!$A$4:$J$893,6,1),"")</f>
        <v>1050000</v>
      </c>
      <c r="G401" s="488" t="e">
        <f t="shared" si="141"/>
        <v>#DIV/0!</v>
      </c>
      <c r="H401" s="486">
        <f ca="1">IF(A401&lt;&gt;0,IF($H$2="元",VLOOKUP(A401,合同台帐!$A$4:$K$1093,11,1),VLOOKUP(A401,合同台帐!$A$4:$K$1093,11,1)),0)</f>
        <v>0</v>
      </c>
      <c r="I401" s="487"/>
      <c r="J401" s="489"/>
      <c r="K401" s="490"/>
    </row>
    <row r="402" spans="1:11" ht="12.75" outlineLevel="3">
      <c r="A402" s="18"/>
      <c r="B402" s="11"/>
      <c r="C402" s="12"/>
      <c r="D402" s="13"/>
      <c r="E402" s="492"/>
      <c r="F402" s="493"/>
      <c r="G402" s="500"/>
      <c r="H402" s="516"/>
      <c r="I402" s="503"/>
      <c r="J402" s="495"/>
      <c r="K402" s="479"/>
    </row>
    <row r="403" spans="1:11" ht="12.75" outlineLevel="1">
      <c r="A403" s="5"/>
      <c r="B403" s="6" t="s">
        <v>756</v>
      </c>
      <c r="C403" s="7" t="s">
        <v>746</v>
      </c>
      <c r="D403" s="497">
        <f t="shared" ref="D403:H403" si="143">D404+D407+D410+D413</f>
        <v>51.883920022151322</v>
      </c>
      <c r="E403" s="497">
        <f t="shared" si="143"/>
        <v>603.73799999999994</v>
      </c>
      <c r="F403" s="497">
        <f t="shared" si="143"/>
        <v>0</v>
      </c>
      <c r="G403" s="497" t="e">
        <f t="shared" si="143"/>
        <v>#VALUE!</v>
      </c>
      <c r="H403" s="497">
        <f t="shared" si="143"/>
        <v>0</v>
      </c>
      <c r="I403" s="521">
        <f>F403-E403*10000</f>
        <v>-6037379.9999999991</v>
      </c>
      <c r="J403" s="483" t="e">
        <f>G403-D403</f>
        <v>#VALUE!</v>
      </c>
      <c r="K403" s="479"/>
    </row>
    <row r="404" spans="1:11" ht="12.75" outlineLevel="2">
      <c r="A404" s="18"/>
      <c r="B404" s="11" t="s">
        <v>757</v>
      </c>
      <c r="C404" s="12"/>
      <c r="D404" s="13">
        <f>E404/K$2*10000</f>
        <v>22.26264450227486</v>
      </c>
      <c r="E404" s="492">
        <v>259.05529999999999</v>
      </c>
      <c r="F404" s="493">
        <f>SUM(F405:F406)</f>
        <v>0</v>
      </c>
      <c r="G404" s="493" t="e">
        <f t="shared" ref="G404:H404" si="144">SUM(G405:G406)</f>
        <v>#VALUE!</v>
      </c>
      <c r="H404" s="493">
        <f t="shared" si="144"/>
        <v>0</v>
      </c>
      <c r="I404" s="503"/>
      <c r="J404" s="495"/>
      <c r="K404" s="479"/>
    </row>
    <row r="405" spans="1:11" s="491" customFormat="1" ht="23.25" customHeight="1" outlineLevel="3">
      <c r="A405" s="485"/>
      <c r="B405" s="8" t="str">
        <f>IF(A405&lt;&gt;0,VLOOKUP(A405,合同台帐!$A$4:$D$893,4,1),"")</f>
        <v/>
      </c>
      <c r="C405" s="9"/>
      <c r="D405" s="10"/>
      <c r="E405" s="486"/>
      <c r="F405" s="487" t="str">
        <f>IF(A405&lt;&gt;0,VLOOKUP(A405,合同台帐!$A$4:$J$893,6,1),"")</f>
        <v/>
      </c>
      <c r="G405" s="488" t="e">
        <f>F405/K2</f>
        <v>#VALUE!</v>
      </c>
      <c r="H405" s="486">
        <f>IF(A405&lt;&gt;0,IF($H$2="元",VLOOKUP(A405,合同台帐!$A$4:$K$1093,11,1),VLOOKUP(A405,合同台帐!$A$4:$K$1093,11,1)),0)</f>
        <v>0</v>
      </c>
      <c r="I405" s="487"/>
      <c r="J405" s="489"/>
      <c r="K405" s="490"/>
    </row>
    <row r="406" spans="1:11" s="484" customFormat="1" ht="17.25" customHeight="1" outlineLevel="3">
      <c r="A406" s="405"/>
      <c r="B406" s="11"/>
      <c r="C406" s="12"/>
      <c r="D406" s="13"/>
      <c r="E406" s="492"/>
      <c r="F406" s="493"/>
      <c r="G406" s="494"/>
      <c r="H406" s="492"/>
      <c r="I406" s="503"/>
      <c r="J406" s="495"/>
      <c r="K406" s="479"/>
    </row>
    <row r="407" spans="1:11" ht="12.75" outlineLevel="2">
      <c r="A407" s="18"/>
      <c r="B407" s="11" t="s">
        <v>758</v>
      </c>
      <c r="C407" s="12"/>
      <c r="D407" s="13">
        <f>E407/K$2*10000</f>
        <v>17.862731883837522</v>
      </c>
      <c r="E407" s="492">
        <v>207.85650000000001</v>
      </c>
      <c r="F407" s="493">
        <f>SUM(F408:F409)</f>
        <v>0</v>
      </c>
      <c r="G407" s="493">
        <f t="shared" ref="G407:H407" si="145">SUM(G408:G409)</f>
        <v>0</v>
      </c>
      <c r="H407" s="493">
        <f t="shared" si="145"/>
        <v>0</v>
      </c>
      <c r="I407" s="503"/>
      <c r="J407" s="495"/>
      <c r="K407" s="479"/>
    </row>
    <row r="408" spans="1:11" s="491" customFormat="1" ht="23.25" customHeight="1" outlineLevel="3">
      <c r="A408" s="511"/>
      <c r="B408" s="8" t="str">
        <f>IF(A408&lt;&gt;0,VLOOKUP(A408,合同台帐!$A$4:$D$893,4,1),"")</f>
        <v/>
      </c>
      <c r="C408" s="9"/>
      <c r="D408" s="10"/>
      <c r="E408" s="486"/>
      <c r="F408" s="487" t="str">
        <f>IF(A408&lt;&gt;0,VLOOKUP(A408,合同台帐!$A$4:$J$893,6,1),"")</f>
        <v/>
      </c>
      <c r="G408" s="488"/>
      <c r="H408" s="486">
        <f>IF(A408&lt;&gt;0,IF($H$2="元",VLOOKUP(A408,合同台帐!$A$4:$K$1093,11,1),VLOOKUP(A408,合同台帐!$A$4:$K$1093,11,1)),0)</f>
        <v>0</v>
      </c>
      <c r="I408" s="487"/>
      <c r="J408" s="489"/>
      <c r="K408" s="490"/>
    </row>
    <row r="409" spans="1:11" s="484" customFormat="1" ht="17.25" customHeight="1" outlineLevel="3">
      <c r="A409" s="405"/>
      <c r="B409" s="11"/>
      <c r="C409" s="12"/>
      <c r="D409" s="13"/>
      <c r="E409" s="492"/>
      <c r="F409" s="493"/>
      <c r="G409" s="494"/>
      <c r="H409" s="492"/>
      <c r="I409" s="503"/>
      <c r="J409" s="495"/>
      <c r="K409" s="479"/>
    </row>
    <row r="410" spans="1:11" ht="12.75" outlineLevel="2">
      <c r="A410" s="18"/>
      <c r="B410" s="11" t="s">
        <v>759</v>
      </c>
      <c r="C410" s="12"/>
      <c r="D410" s="13">
        <f>E410/K$2*10000</f>
        <v>8.1653807792531001</v>
      </c>
      <c r="E410" s="492">
        <v>95.015000000000001</v>
      </c>
      <c r="F410" s="493">
        <f>SUM(F411:F412)</f>
        <v>0</v>
      </c>
      <c r="G410" s="493">
        <f t="shared" ref="G410:H410" si="146">SUM(G411:G412)</f>
        <v>0</v>
      </c>
      <c r="H410" s="493">
        <f t="shared" si="146"/>
        <v>0</v>
      </c>
      <c r="I410" s="503"/>
      <c r="J410" s="495"/>
      <c r="K410" s="479"/>
    </row>
    <row r="411" spans="1:11" s="484" customFormat="1" ht="12.75" outlineLevel="3">
      <c r="A411" s="405"/>
      <c r="B411" s="11"/>
      <c r="C411" s="12"/>
      <c r="D411" s="13"/>
      <c r="E411" s="492"/>
      <c r="F411" s="493"/>
      <c r="G411" s="494"/>
      <c r="H411" s="492"/>
      <c r="I411" s="503"/>
      <c r="J411" s="495"/>
      <c r="K411" s="479"/>
    </row>
    <row r="412" spans="1:11" ht="12.75" outlineLevel="3">
      <c r="A412" s="18"/>
      <c r="B412" s="11"/>
      <c r="C412" s="12"/>
      <c r="D412" s="13"/>
      <c r="E412" s="492"/>
      <c r="F412" s="493"/>
      <c r="G412" s="494"/>
      <c r="H412" s="492"/>
      <c r="I412" s="503"/>
      <c r="J412" s="495"/>
      <c r="K412" s="479"/>
    </row>
    <row r="413" spans="1:11" ht="12.75" outlineLevel="2">
      <c r="A413" s="18"/>
      <c r="B413" s="11" t="s">
        <v>760</v>
      </c>
      <c r="C413" s="12"/>
      <c r="D413" s="13">
        <f>E413/K$2*10000</f>
        <v>3.5931628567858467</v>
      </c>
      <c r="E413" s="492">
        <v>41.811199999999999</v>
      </c>
      <c r="F413" s="493">
        <f>SUM(F414:F415)</f>
        <v>0</v>
      </c>
      <c r="G413" s="493">
        <f t="shared" ref="G413:H413" si="147">SUM(G414:G415)</f>
        <v>0</v>
      </c>
      <c r="H413" s="493">
        <f t="shared" si="147"/>
        <v>0</v>
      </c>
      <c r="I413" s="503"/>
      <c r="J413" s="495"/>
      <c r="K413" s="479"/>
    </row>
    <row r="414" spans="1:11" ht="12.75" outlineLevel="3">
      <c r="A414" s="405"/>
      <c r="B414" s="11"/>
      <c r="C414" s="12"/>
      <c r="D414" s="13"/>
      <c r="E414" s="492"/>
      <c r="F414" s="493"/>
      <c r="G414" s="494"/>
      <c r="H414" s="492"/>
      <c r="I414" s="503"/>
      <c r="J414" s="495"/>
      <c r="K414" s="479"/>
    </row>
    <row r="415" spans="1:11" ht="12.75" outlineLevel="3">
      <c r="A415" s="405"/>
      <c r="B415" s="11"/>
      <c r="C415" s="12"/>
      <c r="D415" s="13"/>
      <c r="E415" s="492"/>
      <c r="F415" s="493"/>
      <c r="G415" s="494"/>
      <c r="H415" s="492"/>
      <c r="I415" s="503"/>
      <c r="J415" s="495"/>
      <c r="K415" s="479"/>
    </row>
    <row r="416" spans="1:11" ht="12.75" outlineLevel="1">
      <c r="A416" s="5"/>
      <c r="B416" s="6" t="s">
        <v>761</v>
      </c>
      <c r="C416" s="7" t="s">
        <v>762</v>
      </c>
      <c r="D416" s="497">
        <f t="shared" ref="D416:J416" si="148">D417+D422</f>
        <v>53.588195651512564</v>
      </c>
      <c r="E416" s="497">
        <f t="shared" si="148"/>
        <v>623.56949999999995</v>
      </c>
      <c r="F416" s="497">
        <f t="shared" si="148"/>
        <v>3358830</v>
      </c>
      <c r="G416" s="497">
        <f t="shared" si="148"/>
        <v>28.865048595252006</v>
      </c>
      <c r="H416" s="497">
        <f t="shared" ca="1" si="148"/>
        <v>2158830</v>
      </c>
      <c r="I416" s="497">
        <f t="shared" si="148"/>
        <v>0</v>
      </c>
      <c r="J416" s="497">
        <f t="shared" si="148"/>
        <v>0</v>
      </c>
      <c r="K416" s="479"/>
    </row>
    <row r="417" spans="1:11" s="484" customFormat="1" ht="12.75" outlineLevel="2">
      <c r="A417" s="18"/>
      <c r="B417" s="11" t="s">
        <v>763</v>
      </c>
      <c r="C417" s="17"/>
      <c r="D417" s="13">
        <f>E417/K$2*10000</f>
        <v>53.588195651512564</v>
      </c>
      <c r="E417" s="492">
        <v>623.56949999999995</v>
      </c>
      <c r="F417" s="493">
        <f t="shared" ref="F417:H417" si="149">SUM(F418:F421)</f>
        <v>3358830</v>
      </c>
      <c r="G417" s="493">
        <f t="shared" si="149"/>
        <v>28.865048595252006</v>
      </c>
      <c r="H417" s="493">
        <f t="shared" ca="1" si="149"/>
        <v>2158830</v>
      </c>
      <c r="I417" s="500"/>
      <c r="J417" s="495"/>
      <c r="K417" s="479"/>
    </row>
    <row r="418" spans="1:11" s="491" customFormat="1" ht="23.25" customHeight="1" outlineLevel="3">
      <c r="A418" s="485" t="s">
        <v>90</v>
      </c>
      <c r="B418" s="8" t="str">
        <f>IF(A418&lt;&gt;0,VLOOKUP(A418,合同台帐!$A$4:$D$893,4,1),"")</f>
        <v>一期排水配套工程</v>
      </c>
      <c r="C418" s="9"/>
      <c r="D418" s="10"/>
      <c r="E418" s="486"/>
      <c r="F418" s="487">
        <f>IF(A418&lt;&gt;0,VLOOKUP(A418,合同台帐!$A$4:$J$893,6,1),"")</f>
        <v>3139730</v>
      </c>
      <c r="G418" s="488">
        <f>F418/K2</f>
        <v>26.98215123300988</v>
      </c>
      <c r="H418" s="486">
        <f ca="1">IF(A418&lt;&gt;0,IF($H$2="元",VLOOKUP(A418,合同台帐!$A$4:$K$1093,11,1),VLOOKUP(A418,合同台帐!$A$4:$K$1093,11,1)),0)</f>
        <v>2039730</v>
      </c>
      <c r="I418" s="487"/>
      <c r="J418" s="489"/>
      <c r="K418" s="490"/>
    </row>
    <row r="419" spans="1:11" s="491" customFormat="1" ht="23.25" customHeight="1" outlineLevel="3">
      <c r="A419" s="485" t="s">
        <v>93</v>
      </c>
      <c r="B419" s="8" t="str">
        <f>IF(A419&lt;&gt;0,VLOOKUP(A419,合同台帐!$A$4:$D$893,4,1),"")</f>
        <v>一期排水配套工程挖土方</v>
      </c>
      <c r="C419" s="9"/>
      <c r="D419" s="10"/>
      <c r="E419" s="486"/>
      <c r="F419" s="487">
        <f>IF(A419&lt;&gt;0,VLOOKUP(A419,合同台帐!$A$4:$J$893,6,1),"")</f>
        <v>170000</v>
      </c>
      <c r="G419" s="488">
        <f>F419/K2</f>
        <v>1.4609427274356965</v>
      </c>
      <c r="H419" s="486">
        <f ca="1">IF(A419&lt;&gt;0,IF($H$2="元",VLOOKUP(A419,合同台帐!$A$4:$K$1093,11,1),VLOOKUP(A419,合同台帐!$A$4:$K$1093,11,1)),0)</f>
        <v>70000</v>
      </c>
      <c r="I419" s="487"/>
      <c r="J419" s="489"/>
      <c r="K419" s="490"/>
    </row>
    <row r="420" spans="1:11" s="491" customFormat="1" ht="23.25" customHeight="1" outlineLevel="3">
      <c r="A420" s="485" t="s">
        <v>102</v>
      </c>
      <c r="B420" s="8" t="str">
        <f>IF(A420&lt;&gt;0,VLOOKUP(A420,合同台帐!$A$4:$D$893,4,1),"")</f>
        <v>排水市政接口</v>
      </c>
      <c r="C420" s="9"/>
      <c r="D420" s="10"/>
      <c r="E420" s="486"/>
      <c r="F420" s="487">
        <f>IF(A420&lt;&gt;0,VLOOKUP(A420,合同台帐!$A$4:$J$893,6,1),"")</f>
        <v>49100</v>
      </c>
      <c r="G420" s="522">
        <f>F420/K2</f>
        <v>0.42195463480642764</v>
      </c>
      <c r="H420" s="486">
        <f ca="1">IF(A420&lt;&gt;0,IF($H$2="元",VLOOKUP(A420,合同台帐!$A$4:$K$1093,11,1),VLOOKUP(A420,合同台帐!$A$4:$K$1093,11,1)),0)</f>
        <v>49100</v>
      </c>
      <c r="I420" s="487"/>
      <c r="J420" s="489"/>
      <c r="K420" s="490"/>
    </row>
    <row r="421" spans="1:11" s="491" customFormat="1" ht="23.25" customHeight="1" outlineLevel="3">
      <c r="A421" s="511"/>
      <c r="B421" s="8" t="str">
        <f>IF(A421&lt;&gt;0,VLOOKUP(A421,合同台帐!$A$4:$D$893,4,1),"")</f>
        <v/>
      </c>
      <c r="C421" s="9"/>
      <c r="D421" s="10"/>
      <c r="E421" s="486"/>
      <c r="F421" s="487"/>
      <c r="G421" s="514">
        <f>F421/K2</f>
        <v>0</v>
      </c>
      <c r="H421" s="486">
        <f>IF(A421&lt;&gt;0,IF($H$2="元",VLOOKUP(A421,合同台帐!$A$4:$K$1093,11,1),VLOOKUP(A421,合同台帐!$A$4:$K$1093,11,1)),0)</f>
        <v>0</v>
      </c>
      <c r="I421" s="487"/>
      <c r="J421" s="489"/>
      <c r="K421" s="490"/>
    </row>
    <row r="422" spans="1:11" s="484" customFormat="1" ht="12.75" outlineLevel="2">
      <c r="A422" s="18"/>
      <c r="B422" s="11" t="s">
        <v>764</v>
      </c>
      <c r="C422" s="17"/>
      <c r="D422" s="13">
        <f>E422/K$2*10000</f>
        <v>0</v>
      </c>
      <c r="E422" s="492">
        <v>0</v>
      </c>
      <c r="F422" s="493">
        <f>SUM(F423:F424)</f>
        <v>0</v>
      </c>
      <c r="G422" s="493">
        <f t="shared" ref="G422:H422" si="150">SUM(G423:G424)</f>
        <v>0</v>
      </c>
      <c r="H422" s="493">
        <f t="shared" si="150"/>
        <v>0</v>
      </c>
      <c r="I422" s="500"/>
      <c r="J422" s="495"/>
      <c r="K422" s="479"/>
    </row>
    <row r="423" spans="1:11" s="484" customFormat="1" ht="12.75" outlineLevel="3">
      <c r="A423" s="18"/>
      <c r="B423" s="11"/>
      <c r="C423" s="17"/>
      <c r="D423" s="13"/>
      <c r="E423" s="492"/>
      <c r="F423" s="493"/>
      <c r="G423" s="494"/>
      <c r="H423" s="492"/>
      <c r="I423" s="500"/>
      <c r="J423" s="495"/>
      <c r="K423" s="479"/>
    </row>
    <row r="424" spans="1:11" s="484" customFormat="1" ht="12.75" outlineLevel="3">
      <c r="A424" s="18"/>
      <c r="B424" s="11"/>
      <c r="C424" s="17"/>
      <c r="D424" s="13"/>
      <c r="E424" s="492"/>
      <c r="F424" s="493"/>
      <c r="G424" s="494"/>
      <c r="H424" s="492"/>
      <c r="I424" s="500"/>
      <c r="J424" s="495"/>
      <c r="K424" s="479"/>
    </row>
    <row r="425" spans="1:11" ht="12.75" outlineLevel="1">
      <c r="A425" s="5"/>
      <c r="B425" s="6" t="s">
        <v>765</v>
      </c>
      <c r="C425" s="7" t="s">
        <v>766</v>
      </c>
      <c r="D425" s="497">
        <f t="shared" ref="D425:H425" si="151">D426+D429+D432</f>
        <v>151.3216719166073</v>
      </c>
      <c r="E425" s="497">
        <f t="shared" si="151"/>
        <v>1760.8277</v>
      </c>
      <c r="F425" s="497">
        <f t="shared" si="151"/>
        <v>17275215.969999999</v>
      </c>
      <c r="G425" s="497">
        <f t="shared" si="151"/>
        <v>148.45941844854414</v>
      </c>
      <c r="H425" s="497">
        <f t="shared" ca="1" si="151"/>
        <v>8871382</v>
      </c>
      <c r="I425" s="521">
        <f>F425-E425*10000</f>
        <v>-333061.03000000119</v>
      </c>
      <c r="J425" s="483">
        <f>G425-D425</f>
        <v>-2.8622534680631588</v>
      </c>
      <c r="K425" s="479"/>
    </row>
    <row r="426" spans="1:11" ht="12.75" outlineLevel="2">
      <c r="A426" s="18"/>
      <c r="B426" s="11" t="s">
        <v>767</v>
      </c>
      <c r="C426" s="12"/>
      <c r="D426" s="13">
        <f>E426/K$2*10000</f>
        <v>113.99589148529921</v>
      </c>
      <c r="E426" s="492">
        <v>1326.4929</v>
      </c>
      <c r="F426" s="493">
        <f>SUM(F427:F428)</f>
        <v>13252746.24</v>
      </c>
      <c r="G426" s="493">
        <f t="shared" ref="G426:H426" si="152">SUM(G427:G428)</f>
        <v>113.89119551693396</v>
      </c>
      <c r="H426" s="493">
        <f t="shared" ca="1" si="152"/>
        <v>6771382</v>
      </c>
      <c r="I426" s="503"/>
      <c r="J426" s="495"/>
      <c r="K426" s="479"/>
    </row>
    <row r="427" spans="1:11" s="491" customFormat="1" ht="23.25" customHeight="1" outlineLevel="3">
      <c r="A427" s="485" t="s">
        <v>768</v>
      </c>
      <c r="B427" s="8" t="str">
        <f>IF(A427&lt;&gt;0,VLOOKUP(A427,合同台帐!$A$4:$D$893,4,1),"")</f>
        <v>供热配套合同（工程建设费）</v>
      </c>
      <c r="C427" s="9"/>
      <c r="D427" s="10"/>
      <c r="E427" s="486"/>
      <c r="F427" s="487">
        <f>IF(A427&lt;&gt;0,VLOOKUP(A427,合同台帐!$A$4:$J$893,6,1),"")</f>
        <v>13252746.24</v>
      </c>
      <c r="G427" s="488">
        <f>F427/K2</f>
        <v>113.89119551693396</v>
      </c>
      <c r="H427" s="486">
        <f ca="1">IF(A427&lt;&gt;0,IF($H$2="元",VLOOKUP(A427,合同台帐!$A$4:$K$1093,11,1),VLOOKUP(A427,合同台帐!$A$4:$K$1093,11,1)),0)</f>
        <v>6771382</v>
      </c>
      <c r="I427" s="487"/>
      <c r="J427" s="489"/>
      <c r="K427" s="490"/>
    </row>
    <row r="428" spans="1:11" s="484" customFormat="1" ht="17.25" customHeight="1" outlineLevel="3">
      <c r="A428" s="18"/>
      <c r="B428" s="11"/>
      <c r="C428" s="12"/>
      <c r="D428" s="13"/>
      <c r="E428" s="492"/>
      <c r="F428" s="493"/>
      <c r="G428" s="494"/>
      <c r="H428" s="492"/>
      <c r="I428" s="500"/>
      <c r="J428" s="495"/>
      <c r="K428" s="479"/>
    </row>
    <row r="429" spans="1:11" ht="12.75" outlineLevel="2">
      <c r="A429" s="18"/>
      <c r="B429" s="11" t="s">
        <v>769</v>
      </c>
      <c r="C429" s="12"/>
      <c r="D429" s="13">
        <f>E429/K$2*10000</f>
        <v>27.448088837692868</v>
      </c>
      <c r="E429" s="492">
        <v>319.39479999999998</v>
      </c>
      <c r="F429" s="493">
        <f>SUM(F430:F431)</f>
        <v>2873069.73</v>
      </c>
      <c r="G429" s="493">
        <f t="shared" ref="G429:H429" si="153">SUM(G430:G431)</f>
        <v>24.690531337994944</v>
      </c>
      <c r="H429" s="493">
        <f t="shared" ca="1" si="153"/>
        <v>2100000</v>
      </c>
      <c r="I429" s="503"/>
      <c r="J429" s="495"/>
      <c r="K429" s="479"/>
    </row>
    <row r="430" spans="1:11" s="491" customFormat="1" ht="23.25" customHeight="1" outlineLevel="3">
      <c r="A430" s="485" t="s">
        <v>87</v>
      </c>
      <c r="B430" s="8" t="str">
        <f>IF(A430&lt;&gt;0,VLOOKUP(A430,合同台帐!$A$4:$D$893,4,1),"")</f>
        <v>供用热协议书（二次管网）</v>
      </c>
      <c r="C430" s="9"/>
      <c r="D430" s="10"/>
      <c r="E430" s="486"/>
      <c r="F430" s="487">
        <f>IF(A430&lt;&gt;0,VLOOKUP(A430,合同台帐!$A$4:$J$893,6,1),"")</f>
        <v>2673069.73</v>
      </c>
      <c r="G430" s="488">
        <f>F430/K2</f>
        <v>22.971775188070595</v>
      </c>
      <c r="H430" s="486">
        <f ca="1">IF(A430&lt;&gt;0,IF($H$2="元",VLOOKUP(A430,合同台帐!$A$4:$K$1093,11,1),VLOOKUP(A430,合同台帐!$A$4:$K$1093,11,1)),0)</f>
        <v>1900000</v>
      </c>
      <c r="I430" s="487"/>
      <c r="J430" s="489"/>
      <c r="K430" s="490"/>
    </row>
    <row r="431" spans="1:11" s="491" customFormat="1" ht="23.25" customHeight="1" outlineLevel="3">
      <c r="A431" s="485" t="s">
        <v>94</v>
      </c>
      <c r="B431" s="8" t="str">
        <f>IF(A431&lt;&gt;0,VLOOKUP(A431,合同台帐!$A$4:$D$893,4,1),"")</f>
        <v>一期供热二次网工程土方挖填</v>
      </c>
      <c r="C431" s="9"/>
      <c r="D431" s="10"/>
      <c r="E431" s="486"/>
      <c r="F431" s="487">
        <f>IF(A431&lt;&gt;0,VLOOKUP(A431,合同台帐!$A$4:$J$893,6,1),"")</f>
        <v>200000</v>
      </c>
      <c r="G431" s="488">
        <f>F431/K2</f>
        <v>1.7187561499243489</v>
      </c>
      <c r="H431" s="486">
        <f ca="1">IF(A431&lt;&gt;0,IF($H$2="元",VLOOKUP(A431,合同台帐!$A$4:$K$1093,11,1),VLOOKUP(A431,合同台帐!$A$4:$K$1093,11,1)),0)</f>
        <v>200000</v>
      </c>
      <c r="I431" s="487"/>
      <c r="J431" s="489"/>
      <c r="K431" s="490"/>
    </row>
    <row r="432" spans="1:11" ht="30" customHeight="1" outlineLevel="2">
      <c r="A432" s="18"/>
      <c r="B432" s="11" t="s">
        <v>770</v>
      </c>
      <c r="C432" s="12"/>
      <c r="D432" s="13">
        <f>E432/K$2*10000</f>
        <v>9.8776915936152321</v>
      </c>
      <c r="E432" s="492">
        <v>114.94</v>
      </c>
      <c r="F432" s="493">
        <f>SUM(F433:F434)</f>
        <v>1149400</v>
      </c>
      <c r="G432" s="493">
        <f t="shared" ref="G432:H432" si="154">SUM(G433:G434)</f>
        <v>9.8776915936152339</v>
      </c>
      <c r="H432" s="493">
        <f t="shared" ca="1" si="154"/>
        <v>0</v>
      </c>
      <c r="I432" s="503"/>
      <c r="J432" s="495"/>
      <c r="K432" s="479"/>
    </row>
    <row r="433" spans="1:11" s="491" customFormat="1" ht="23.25" customHeight="1" outlineLevel="3">
      <c r="A433" s="485" t="s">
        <v>771</v>
      </c>
      <c r="B433" s="8" t="str">
        <f>IF(A433&lt;&gt;0,VLOOKUP(A433,合同台帐!$A$4:$D$893,4,1),"")</f>
        <v>供热配套合同（热计量装配费）</v>
      </c>
      <c r="C433" s="9"/>
      <c r="D433" s="10"/>
      <c r="E433" s="486"/>
      <c r="F433" s="487">
        <f>IF(A433&lt;&gt;0,VLOOKUP(A433,合同台帐!$A$4:$J$893,6,1),"")</f>
        <v>1149400</v>
      </c>
      <c r="G433" s="488">
        <f>F433/K2</f>
        <v>9.8776915936152339</v>
      </c>
      <c r="H433" s="486">
        <f ca="1">IF(A433&lt;&gt;0,IF($H$2="元",VLOOKUP(A433,合同台帐!$A$4:$K$1093,11,1),VLOOKUP(A433,合同台帐!$A$4:$K$1093,11,1)),0)</f>
        <v>0</v>
      </c>
      <c r="I433" s="487"/>
      <c r="J433" s="489"/>
      <c r="K433" s="490"/>
    </row>
    <row r="434" spans="1:11" ht="14.25" customHeight="1" outlineLevel="3">
      <c r="A434" s="18"/>
      <c r="B434" s="11"/>
      <c r="C434" s="12"/>
      <c r="D434" s="13"/>
      <c r="E434" s="492"/>
      <c r="F434" s="493"/>
      <c r="G434" s="494"/>
      <c r="H434" s="492"/>
      <c r="I434" s="500"/>
      <c r="J434" s="495"/>
      <c r="K434" s="479"/>
    </row>
    <row r="435" spans="1:11" ht="12.75" outlineLevel="1">
      <c r="A435" s="5"/>
      <c r="B435" s="6" t="s">
        <v>772</v>
      </c>
      <c r="C435" s="7" t="s">
        <v>773</v>
      </c>
      <c r="D435" s="497">
        <f t="shared" ref="D435:H435" si="155">D436+D440+D443+D446+D449+D452</f>
        <v>67.91963989996151</v>
      </c>
      <c r="E435" s="497">
        <f t="shared" si="155"/>
        <v>790.33480000000009</v>
      </c>
      <c r="F435" s="497">
        <f t="shared" si="155"/>
        <v>4483527.8</v>
      </c>
      <c r="G435" s="497" t="e">
        <f t="shared" si="155"/>
        <v>#DIV/0!</v>
      </c>
      <c r="H435" s="497">
        <f t="shared" ca="1" si="155"/>
        <v>3571910.1999999997</v>
      </c>
      <c r="I435" s="521">
        <f>F435-E435*10000</f>
        <v>-3419820.2000000011</v>
      </c>
      <c r="J435" s="483">
        <f>G439-D439</f>
        <v>0</v>
      </c>
      <c r="K435" s="479"/>
    </row>
    <row r="436" spans="1:11" ht="12.75" outlineLevel="2">
      <c r="A436" s="18"/>
      <c r="B436" s="11" t="s">
        <v>774</v>
      </c>
      <c r="C436" s="12"/>
      <c r="D436" s="13">
        <f>E436/K$2*10000</f>
        <v>19.618355353177748</v>
      </c>
      <c r="E436" s="492">
        <v>228.28550000000001</v>
      </c>
      <c r="F436" s="493">
        <f>SUM(F437:F439)</f>
        <v>1870635.7999999998</v>
      </c>
      <c r="G436" s="493">
        <f t="shared" ref="G436:H436" si="156">SUM(G437:G439)</f>
        <v>16.075833927593273</v>
      </c>
      <c r="H436" s="493">
        <f t="shared" ca="1" si="156"/>
        <v>1870635.7999999998</v>
      </c>
      <c r="I436" s="503"/>
      <c r="J436" s="495"/>
      <c r="K436" s="479"/>
    </row>
    <row r="437" spans="1:11" s="491" customFormat="1" ht="23.25" customHeight="1" outlineLevel="3">
      <c r="A437" s="485" t="s">
        <v>63</v>
      </c>
      <c r="B437" s="8" t="str">
        <f>IF(A437&lt;&gt;0,VLOOKUP(A437,合同台帐!$A$4:$D$893,4,1),"")</f>
        <v>气源发展费（一期）(蓟县另收）</v>
      </c>
      <c r="C437" s="9"/>
      <c r="D437" s="10"/>
      <c r="E437" s="486"/>
      <c r="F437" s="487">
        <f>IF(A437&lt;&gt;0,VLOOKUP(A437,合同台帐!$A$4:$J$893,6,1),"")</f>
        <v>1127572.3999999999</v>
      </c>
      <c r="G437" s="488">
        <f>F437/K2</f>
        <v>9.6901099849247885</v>
      </c>
      <c r="H437" s="486">
        <f ca="1">IF(A437&lt;&gt;0,IF($H$2="元",VLOOKUP(A437,合同台帐!$A$4:$K$1093,11,1),VLOOKUP(A437,合同台帐!$A$4:$K$1093,11,1)),0)</f>
        <v>1127572.3999999999</v>
      </c>
      <c r="I437" s="487"/>
      <c r="J437" s="489"/>
      <c r="K437" s="490"/>
    </row>
    <row r="438" spans="1:11" s="491" customFormat="1" ht="23.25" customHeight="1" outlineLevel="3">
      <c r="A438" s="515" t="s">
        <v>155</v>
      </c>
      <c r="B438" s="8" t="str">
        <f>IF(A438&lt;&gt;0,VLOOKUP(A438,合同台帐!$A$4:$D$893,4,1),"")</f>
        <v>（三期）气源发展费</v>
      </c>
      <c r="C438" s="9"/>
      <c r="D438" s="10"/>
      <c r="E438" s="486"/>
      <c r="F438" s="487">
        <f>IF(A438&lt;&gt;0,VLOOKUP(A438,合同台帐!$A$4:$J$893,6,1),"")</f>
        <v>743063.4</v>
      </c>
      <c r="G438" s="488">
        <f>F438/K2</f>
        <v>6.3857239426684824</v>
      </c>
      <c r="H438" s="486">
        <f ca="1">IF(A438&lt;&gt;0,IF($H$2="元",VLOOKUP(A438,合同台帐!$A$4:$K$1093,11,1),VLOOKUP(A438,合同台帐!$A$4:$K$1093,11,1)),0)</f>
        <v>743063.4</v>
      </c>
      <c r="I438" s="487"/>
      <c r="J438" s="489"/>
      <c r="K438" s="490"/>
    </row>
    <row r="439" spans="1:11" ht="12.75" outlineLevel="3">
      <c r="A439" s="18"/>
      <c r="B439" s="11"/>
      <c r="C439" s="12"/>
      <c r="D439" s="13"/>
      <c r="E439" s="492"/>
      <c r="F439" s="493"/>
      <c r="G439" s="494"/>
      <c r="H439" s="492"/>
      <c r="I439" s="503"/>
      <c r="J439" s="495"/>
      <c r="K439" s="479"/>
    </row>
    <row r="440" spans="1:11" ht="12.75" outlineLevel="2">
      <c r="A440" s="18"/>
      <c r="B440" s="11" t="s">
        <v>775</v>
      </c>
      <c r="C440" s="12"/>
      <c r="D440" s="13">
        <f>E440/K$2*10000</f>
        <v>41.438239677451342</v>
      </c>
      <c r="E440" s="492">
        <v>482.18869999999998</v>
      </c>
      <c r="F440" s="493">
        <f>SUM(F441:F442)</f>
        <v>2430392</v>
      </c>
      <c r="G440" s="493">
        <f t="shared" ref="G440:J440" si="157">SUM(G441:G442)</f>
        <v>20.88625598363469</v>
      </c>
      <c r="H440" s="493">
        <f t="shared" ca="1" si="157"/>
        <v>1701274.4</v>
      </c>
      <c r="I440" s="493">
        <f t="shared" si="157"/>
        <v>0</v>
      </c>
      <c r="J440" s="493">
        <f t="shared" si="157"/>
        <v>0</v>
      </c>
      <c r="K440" s="479"/>
    </row>
    <row r="441" spans="1:11" s="491" customFormat="1" ht="23.25" customHeight="1" outlineLevel="3">
      <c r="A441" s="485" t="s">
        <v>95</v>
      </c>
      <c r="B441" s="8" t="str">
        <f>IF(A441&lt;&gt;0,VLOOKUP(A441,合同台帐!$A$4:$D$893,4,1),"")</f>
        <v>一期燃气配套工程</v>
      </c>
      <c r="C441" s="9"/>
      <c r="D441" s="10"/>
      <c r="E441" s="486"/>
      <c r="F441" s="487">
        <f>IF(A441&lt;&gt;0,VLOOKUP(A441,合同台帐!$A$4:$J$893,6,1),"")</f>
        <v>2430392</v>
      </c>
      <c r="G441" s="488">
        <f>F441/K2</f>
        <v>20.88625598363469</v>
      </c>
      <c r="H441" s="486">
        <f ca="1">IF(A441&lt;&gt;0,IF($H$2="元",VLOOKUP(A441,合同台帐!$A$4:$K$1093,11,1),VLOOKUP(A441,合同台帐!$A$4:$K$1093,11,1)),0)</f>
        <v>1701274.4</v>
      </c>
      <c r="I441" s="487"/>
      <c r="J441" s="489"/>
      <c r="K441" s="490"/>
    </row>
    <row r="442" spans="1:11" ht="12.75" outlineLevel="3">
      <c r="A442" s="18"/>
      <c r="B442" s="11"/>
      <c r="C442" s="12"/>
      <c r="D442" s="13"/>
      <c r="E442" s="492"/>
      <c r="F442" s="493"/>
      <c r="G442" s="494"/>
      <c r="H442" s="492"/>
      <c r="I442" s="503"/>
      <c r="J442" s="495"/>
      <c r="K442" s="479"/>
    </row>
    <row r="443" spans="1:11" ht="12.75" outlineLevel="2">
      <c r="A443" s="18"/>
      <c r="B443" s="11" t="s">
        <v>776</v>
      </c>
      <c r="C443" s="12"/>
      <c r="D443" s="13">
        <f>E443/K$2*10000</f>
        <v>1.5843150438772666</v>
      </c>
      <c r="E443" s="492">
        <v>18.435600000000001</v>
      </c>
      <c r="F443" s="493">
        <f>SUM(F444:F445)</f>
        <v>0</v>
      </c>
      <c r="G443" s="493">
        <f t="shared" ref="G443:H443" si="158">SUM(G444:G445)</f>
        <v>0</v>
      </c>
      <c r="H443" s="493">
        <f t="shared" si="158"/>
        <v>0</v>
      </c>
      <c r="I443" s="503"/>
      <c r="J443" s="495"/>
      <c r="K443" s="479"/>
    </row>
    <row r="444" spans="1:11" ht="12.75" outlineLevel="3">
      <c r="A444" s="18"/>
      <c r="B444" s="11"/>
      <c r="C444" s="12"/>
      <c r="D444" s="13"/>
      <c r="E444" s="492"/>
      <c r="F444" s="493"/>
      <c r="G444" s="494"/>
      <c r="H444" s="492"/>
      <c r="I444" s="503"/>
      <c r="J444" s="495"/>
      <c r="K444" s="479"/>
    </row>
    <row r="445" spans="1:11" ht="12.75" outlineLevel="3">
      <c r="A445" s="18"/>
      <c r="B445" s="11"/>
      <c r="C445" s="12"/>
      <c r="D445" s="13"/>
      <c r="E445" s="492"/>
      <c r="F445" s="493"/>
      <c r="G445" s="494"/>
      <c r="H445" s="492"/>
      <c r="I445" s="503"/>
      <c r="J445" s="495"/>
      <c r="K445" s="479"/>
    </row>
    <row r="446" spans="1:11" ht="12.75" outlineLevel="2">
      <c r="A446" s="18"/>
      <c r="B446" s="11" t="s">
        <v>777</v>
      </c>
      <c r="C446" s="12"/>
      <c r="D446" s="13">
        <f>E446/K$2*10000</f>
        <v>2.51368086926436</v>
      </c>
      <c r="E446" s="492">
        <v>29.25</v>
      </c>
      <c r="F446" s="493">
        <f>SUM(F447:F448)</f>
        <v>182500</v>
      </c>
      <c r="G446" s="493" t="e">
        <f t="shared" ref="G446:H446" si="159">SUM(G447:G448)</f>
        <v>#DIV/0!</v>
      </c>
      <c r="H446" s="493">
        <f t="shared" ca="1" si="159"/>
        <v>0</v>
      </c>
      <c r="I446" s="503"/>
      <c r="J446" s="495"/>
      <c r="K446" s="479"/>
    </row>
    <row r="447" spans="1:11" s="491" customFormat="1" ht="23.25" customHeight="1" outlineLevel="3">
      <c r="A447" s="511" t="s">
        <v>159</v>
      </c>
      <c r="B447" s="8" t="str">
        <f>IF(A447&lt;&gt;0,VLOOKUP(A447,合同台帐!$A$4:$D$893,4,1),"")</f>
        <v>一期燃气表购销合同</v>
      </c>
      <c r="C447" s="9"/>
      <c r="D447" s="10"/>
      <c r="E447" s="486"/>
      <c r="F447" s="487">
        <f>IF(A447&lt;&gt;0,VLOOKUP(A447,合同台帐!$A$4:$J$893,6,1),"")</f>
        <v>182500</v>
      </c>
      <c r="G447" s="488" t="e">
        <f>F447/K8</f>
        <v>#DIV/0!</v>
      </c>
      <c r="H447" s="486">
        <f ca="1">IF(A447&lt;&gt;0,IF($H$2="元",VLOOKUP(A447,合同台帐!$A$4:$K$1093,11,1),VLOOKUP(A447,合同台帐!$A$4:$K$1093,11,1)),0)</f>
        <v>0</v>
      </c>
      <c r="I447" s="487"/>
      <c r="J447" s="489"/>
      <c r="K447" s="490"/>
    </row>
    <row r="448" spans="1:11" ht="12.75" outlineLevel="3">
      <c r="A448" s="18"/>
      <c r="B448" s="11"/>
      <c r="C448" s="12"/>
      <c r="D448" s="13"/>
      <c r="E448" s="492"/>
      <c r="F448" s="493"/>
      <c r="G448" s="494"/>
      <c r="H448" s="492"/>
      <c r="I448" s="503"/>
      <c r="J448" s="495"/>
      <c r="K448" s="479"/>
    </row>
    <row r="449" spans="1:11" ht="12.75" outlineLevel="2">
      <c r="A449" s="18"/>
      <c r="B449" s="11" t="s">
        <v>778</v>
      </c>
      <c r="C449" s="12"/>
      <c r="D449" s="13">
        <f>E449/K$2*10000</f>
        <v>2.2623127823379243</v>
      </c>
      <c r="E449" s="492">
        <v>26.324999999999999</v>
      </c>
      <c r="F449" s="493">
        <f>SUM(F450:F451)</f>
        <v>0</v>
      </c>
      <c r="G449" s="493">
        <f t="shared" ref="G449:H449" si="160">SUM(G450:G451)</f>
        <v>0</v>
      </c>
      <c r="H449" s="493">
        <f t="shared" si="160"/>
        <v>0</v>
      </c>
      <c r="I449" s="503"/>
      <c r="J449" s="495"/>
      <c r="K449" s="479"/>
    </row>
    <row r="450" spans="1:11" ht="12.75" outlineLevel="3">
      <c r="A450" s="18"/>
      <c r="B450" s="11"/>
      <c r="C450" s="12"/>
      <c r="D450" s="13"/>
      <c r="E450" s="492"/>
      <c r="F450" s="493"/>
      <c r="G450" s="494"/>
      <c r="H450" s="492"/>
      <c r="I450" s="503"/>
      <c r="J450" s="495"/>
      <c r="K450" s="479"/>
    </row>
    <row r="451" spans="1:11" ht="12.75" outlineLevel="3">
      <c r="A451" s="18"/>
      <c r="C451" s="12"/>
      <c r="D451" s="13"/>
      <c r="E451" s="492"/>
      <c r="F451" s="493"/>
      <c r="G451" s="494"/>
      <c r="H451" s="492"/>
      <c r="I451" s="503"/>
      <c r="J451" s="495"/>
      <c r="K451" s="479"/>
    </row>
    <row r="452" spans="1:11" ht="12.75" outlineLevel="2">
      <c r="A452" s="18"/>
      <c r="B452" s="11" t="s">
        <v>779</v>
      </c>
      <c r="C452" s="12"/>
      <c r="D452" s="13">
        <f>E452/K$2*10000</f>
        <v>0.50273617385287206</v>
      </c>
      <c r="E452" s="492">
        <v>5.85</v>
      </c>
      <c r="F452" s="493">
        <f>SUM(F453:F454)</f>
        <v>0</v>
      </c>
      <c r="G452" s="493">
        <f t="shared" ref="G452:J452" si="161">SUM(G453:G454)</f>
        <v>0</v>
      </c>
      <c r="H452" s="493">
        <f t="shared" si="161"/>
        <v>0</v>
      </c>
      <c r="I452" s="493">
        <f t="shared" si="161"/>
        <v>0</v>
      </c>
      <c r="J452" s="493">
        <f t="shared" si="161"/>
        <v>0</v>
      </c>
      <c r="K452" s="479"/>
    </row>
    <row r="453" spans="1:11" ht="12.75" outlineLevel="3">
      <c r="A453" s="18"/>
      <c r="B453" s="11"/>
      <c r="C453" s="12"/>
      <c r="D453" s="13"/>
      <c r="E453" s="492"/>
      <c r="F453" s="493"/>
      <c r="G453" s="494"/>
      <c r="H453" s="492"/>
      <c r="I453" s="500"/>
      <c r="J453" s="495"/>
      <c r="K453" s="479"/>
    </row>
    <row r="454" spans="1:11" ht="12.75" outlineLevel="3">
      <c r="A454" s="18"/>
      <c r="B454" s="11"/>
      <c r="C454" s="12"/>
      <c r="D454" s="13"/>
      <c r="E454" s="492"/>
      <c r="F454" s="493"/>
      <c r="G454" s="494"/>
      <c r="H454" s="492"/>
      <c r="I454" s="500"/>
      <c r="J454" s="495"/>
      <c r="K454" s="479"/>
    </row>
    <row r="455" spans="1:11" ht="12.75" outlineLevel="1">
      <c r="A455" s="5"/>
      <c r="B455" s="6" t="s">
        <v>780</v>
      </c>
      <c r="C455" s="7" t="s">
        <v>781</v>
      </c>
      <c r="D455" s="497">
        <f t="shared" ref="D455:H455" si="162">D456+D459+D462</f>
        <v>5.6211490194238349</v>
      </c>
      <c r="E455" s="497">
        <f t="shared" si="162"/>
        <v>65.409499999999994</v>
      </c>
      <c r="F455" s="497">
        <f t="shared" si="162"/>
        <v>604900</v>
      </c>
      <c r="G455" s="497" t="e">
        <f t="shared" si="162"/>
        <v>#VALUE!</v>
      </c>
      <c r="H455" s="497">
        <f t="shared" ca="1" si="162"/>
        <v>100000</v>
      </c>
      <c r="I455" s="521">
        <f>F455-E455*10000</f>
        <v>-49195</v>
      </c>
      <c r="J455" s="483" t="e">
        <f>G455-D455</f>
        <v>#VALUE!</v>
      </c>
      <c r="K455" s="479"/>
    </row>
    <row r="456" spans="1:11" ht="12.75" outlineLevel="2">
      <c r="A456" s="18"/>
      <c r="B456" s="11" t="s">
        <v>782</v>
      </c>
      <c r="C456" s="12"/>
      <c r="D456" s="13">
        <f>E456/K$2*10000</f>
        <v>2.9994872950404776</v>
      </c>
      <c r="E456" s="492">
        <v>34.902999999999999</v>
      </c>
      <c r="F456" s="493">
        <f>SUM(F457:F458)</f>
        <v>0</v>
      </c>
      <c r="G456" s="493">
        <f t="shared" ref="G456:H456" si="163">SUM(G457:G458)</f>
        <v>0</v>
      </c>
      <c r="H456" s="493">
        <f t="shared" ca="1" si="163"/>
        <v>0</v>
      </c>
      <c r="I456" s="503"/>
      <c r="J456" s="495"/>
      <c r="K456" s="479"/>
    </row>
    <row r="457" spans="1:11" s="491" customFormat="1" ht="16.5" customHeight="1" outlineLevel="3">
      <c r="A457" s="485" t="s">
        <v>132</v>
      </c>
      <c r="B457" s="8" t="str">
        <f>IF(A457&lt;&gt;0,VLOOKUP(A457,合同台帐!$A$4:$D$893,4,1),"")</f>
        <v>政务网IP电视及宽带接入协议</v>
      </c>
      <c r="C457" s="9"/>
      <c r="D457" s="10"/>
      <c r="E457" s="486"/>
      <c r="F457" s="487">
        <f>IF(A457&lt;&gt;0,VLOOKUP(A457,合同台帐!$A$4:$J$893,6,1),"")</f>
        <v>0</v>
      </c>
      <c r="G457" s="488">
        <f>F457/K2</f>
        <v>0</v>
      </c>
      <c r="H457" s="486">
        <f ca="1">IF(A457&lt;&gt;0,IF($H$2="元",VLOOKUP(A457,合同台帐!$A$4:$K$1093,11,1),VLOOKUP(A457,合同台帐!$A$4:$K$1093,11,1)),0)</f>
        <v>0</v>
      </c>
      <c r="I457" s="487"/>
      <c r="J457" s="489"/>
      <c r="K457" s="490"/>
    </row>
    <row r="458" spans="1:11" ht="12.75" outlineLevel="3">
      <c r="A458" s="18"/>
      <c r="B458" s="11"/>
      <c r="C458" s="12"/>
      <c r="D458" s="13"/>
      <c r="E458" s="492"/>
      <c r="F458" s="493"/>
      <c r="G458" s="494"/>
      <c r="H458" s="492"/>
      <c r="I458" s="500"/>
      <c r="J458" s="495"/>
      <c r="K458" s="479"/>
    </row>
    <row r="459" spans="1:11" ht="12.75" outlineLevel="2">
      <c r="A459" s="18"/>
      <c r="B459" s="11" t="s">
        <v>783</v>
      </c>
      <c r="C459" s="12"/>
      <c r="D459" s="13">
        <f>E459/K$2*10000</f>
        <v>2.6216617243833573</v>
      </c>
      <c r="E459" s="492">
        <v>30.506499999999999</v>
      </c>
      <c r="F459" s="493">
        <f>SUM(F460:F461)</f>
        <v>0</v>
      </c>
      <c r="G459" s="493">
        <f t="shared" ref="G459:J459" si="164">SUM(G460:G461)</f>
        <v>0</v>
      </c>
      <c r="H459" s="493">
        <f t="shared" si="164"/>
        <v>0</v>
      </c>
      <c r="I459" s="493">
        <f t="shared" si="164"/>
        <v>0</v>
      </c>
      <c r="J459" s="493">
        <f t="shared" si="164"/>
        <v>0</v>
      </c>
      <c r="K459" s="479"/>
    </row>
    <row r="460" spans="1:11" ht="12.75" outlineLevel="3">
      <c r="A460" s="18"/>
      <c r="B460" s="11"/>
      <c r="C460" s="12"/>
      <c r="D460" s="13"/>
      <c r="E460" s="492"/>
      <c r="F460" s="493"/>
      <c r="G460" s="494"/>
      <c r="H460" s="492"/>
      <c r="I460" s="500"/>
      <c r="J460" s="495"/>
      <c r="K460" s="479"/>
    </row>
    <row r="461" spans="1:11" ht="12.75" outlineLevel="3">
      <c r="A461" s="18"/>
      <c r="B461" s="11"/>
      <c r="C461" s="12"/>
      <c r="D461" s="13"/>
      <c r="E461" s="492"/>
      <c r="F461" s="493"/>
      <c r="G461" s="494"/>
      <c r="H461" s="492"/>
      <c r="I461" s="500"/>
      <c r="J461" s="495"/>
      <c r="K461" s="479"/>
    </row>
    <row r="462" spans="1:11" ht="12.75" outlineLevel="2">
      <c r="A462" s="18"/>
      <c r="B462" s="11" t="s">
        <v>784</v>
      </c>
      <c r="C462" s="12"/>
      <c r="D462" s="13">
        <f>E462/K$2*10000</f>
        <v>0</v>
      </c>
      <c r="E462" s="492">
        <v>0</v>
      </c>
      <c r="F462" s="493">
        <f>SUM(F463:F465)</f>
        <v>604900</v>
      </c>
      <c r="G462" s="493" t="e">
        <f t="shared" ref="G462:H462" si="165">SUM(G463:G465)</f>
        <v>#VALUE!</v>
      </c>
      <c r="H462" s="493">
        <f t="shared" ca="1" si="165"/>
        <v>100000</v>
      </c>
      <c r="I462" s="503"/>
      <c r="J462" s="495"/>
      <c r="K462" s="479"/>
    </row>
    <row r="463" spans="1:11" s="491" customFormat="1" ht="14.25" customHeight="1" outlineLevel="3">
      <c r="A463" s="485" t="s">
        <v>112</v>
      </c>
      <c r="B463" s="8" t="str">
        <f>IF(A463&lt;&gt;0,VLOOKUP(A463,合同台帐!$A$4:$D$893,4,1),"")</f>
        <v>弱电综合管网工程</v>
      </c>
      <c r="C463" s="9"/>
      <c r="D463" s="10"/>
      <c r="E463" s="486"/>
      <c r="F463" s="487">
        <f>IF(A463&lt;&gt;0,VLOOKUP(A463,合同台帐!$A$4:$J$893,6,1),"")</f>
        <v>549900</v>
      </c>
      <c r="G463" s="488">
        <f>F463/K2</f>
        <v>4.7257200342169972</v>
      </c>
      <c r="H463" s="486">
        <f ca="1">IF(A463&lt;&gt;0,IF($H$2="元",VLOOKUP(A463,合同台帐!$A$4:$K$1093,11,1),VLOOKUP(A463,合同台帐!$A$4:$K$1093,11,1)),0)</f>
        <v>100000</v>
      </c>
      <c r="I463" s="487"/>
      <c r="J463" s="489"/>
      <c r="K463" s="490"/>
    </row>
    <row r="464" spans="1:11" s="491" customFormat="1" ht="14.25" customHeight="1" outlineLevel="3">
      <c r="A464" s="485" t="s">
        <v>160</v>
      </c>
      <c r="B464" s="8" t="str">
        <f>IF(A464&lt;&gt;0,VLOOKUP(A464,合同台帐!$A$4:$D$893,4,1),"")</f>
        <v>通信线路工程设计合同</v>
      </c>
      <c r="C464" s="9"/>
      <c r="D464" s="10"/>
      <c r="E464" s="486"/>
      <c r="F464" s="487">
        <f>IF(A464&lt;&gt;0,VLOOKUP(A464,合同台帐!$A$4:$J$893,6,1),"")</f>
        <v>55000</v>
      </c>
      <c r="G464" s="488" t="e">
        <f>F464/K3</f>
        <v>#VALUE!</v>
      </c>
      <c r="H464" s="486">
        <f ca="1">IF(A464&lt;&gt;0,IF($H$2="元",VLOOKUP(A464,合同台帐!$A$4:$K$1093,11,1),VLOOKUP(A464,合同台帐!$A$4:$K$1093,11,1)),0)</f>
        <v>0</v>
      </c>
      <c r="I464" s="487"/>
      <c r="J464" s="489"/>
      <c r="K464" s="490"/>
    </row>
    <row r="465" spans="1:11" ht="12.75" outlineLevel="3">
      <c r="A465" s="18"/>
      <c r="B465" s="11"/>
      <c r="C465" s="12"/>
      <c r="D465" s="13"/>
      <c r="E465" s="492"/>
      <c r="F465" s="493"/>
      <c r="G465" s="494"/>
      <c r="H465" s="492"/>
      <c r="I465" s="500"/>
      <c r="J465" s="495"/>
      <c r="K465" s="479"/>
    </row>
    <row r="466" spans="1:11" ht="12.75" outlineLevel="1">
      <c r="A466" s="5"/>
      <c r="B466" s="6" t="s">
        <v>785</v>
      </c>
      <c r="C466" s="7" t="s">
        <v>781</v>
      </c>
      <c r="D466" s="497">
        <f t="shared" ref="D466:H466" si="166">D467+D470+D473</f>
        <v>20.999994671855937</v>
      </c>
      <c r="E466" s="497">
        <f t="shared" si="166"/>
        <v>244.36270000000002</v>
      </c>
      <c r="F466" s="497">
        <f t="shared" si="166"/>
        <v>0</v>
      </c>
      <c r="G466" s="497">
        <f t="shared" si="166"/>
        <v>0</v>
      </c>
      <c r="H466" s="497">
        <f t="shared" si="166"/>
        <v>0</v>
      </c>
      <c r="I466" s="521">
        <f>F466-E466*10000</f>
        <v>-2443627</v>
      </c>
      <c r="J466" s="483">
        <f>G466-D466</f>
        <v>-20.999994671855937</v>
      </c>
      <c r="K466" s="479"/>
    </row>
    <row r="467" spans="1:11" ht="12.75" outlineLevel="2">
      <c r="A467" s="18"/>
      <c r="B467" s="11" t="s">
        <v>786</v>
      </c>
      <c r="C467" s="12"/>
      <c r="D467" s="13">
        <f>E467/K$2*10000</f>
        <v>4.9999991406219255</v>
      </c>
      <c r="E467" s="492">
        <v>58.181600000000003</v>
      </c>
      <c r="F467" s="493">
        <f>SUM(F468:F469)</f>
        <v>0</v>
      </c>
      <c r="G467" s="493">
        <f t="shared" ref="G467:H467" si="167">SUM(G468:G469)</f>
        <v>0</v>
      </c>
      <c r="H467" s="493">
        <f t="shared" si="167"/>
        <v>0</v>
      </c>
      <c r="I467" s="503"/>
      <c r="J467" s="495"/>
      <c r="K467" s="479"/>
    </row>
    <row r="468" spans="1:11" ht="12.75" outlineLevel="3">
      <c r="A468" s="18"/>
      <c r="B468" s="11"/>
      <c r="C468" s="12"/>
      <c r="D468" s="13"/>
      <c r="E468" s="492"/>
      <c r="F468" s="493"/>
      <c r="G468" s="494"/>
      <c r="H468" s="492"/>
      <c r="I468" s="500"/>
      <c r="J468" s="495"/>
      <c r="K468" s="479"/>
    </row>
    <row r="469" spans="1:11" ht="12.75" outlineLevel="3">
      <c r="A469" s="18"/>
      <c r="B469" s="11"/>
      <c r="C469" s="12"/>
      <c r="D469" s="13"/>
      <c r="E469" s="492"/>
      <c r="F469" s="493"/>
      <c r="G469" s="494"/>
      <c r="H469" s="492"/>
      <c r="I469" s="500"/>
      <c r="J469" s="495"/>
      <c r="K469" s="479"/>
    </row>
    <row r="470" spans="1:11" ht="12.75" outlineLevel="2">
      <c r="A470" s="18"/>
      <c r="B470" s="11" t="s">
        <v>787</v>
      </c>
      <c r="C470" s="12"/>
      <c r="D470" s="13">
        <f>E470/K$2*10000</f>
        <v>14.999997421865775</v>
      </c>
      <c r="E470" s="492">
        <v>174.54480000000001</v>
      </c>
      <c r="F470" s="493">
        <f>SUM(F471:F472)</f>
        <v>0</v>
      </c>
      <c r="G470" s="493">
        <f t="shared" ref="G470:H470" si="168">SUM(G471:G472)</f>
        <v>0</v>
      </c>
      <c r="H470" s="493">
        <f t="shared" si="168"/>
        <v>0</v>
      </c>
      <c r="I470" s="503"/>
      <c r="J470" s="495"/>
      <c r="K470" s="479"/>
    </row>
    <row r="471" spans="1:11" ht="12.75" outlineLevel="3">
      <c r="A471" s="18"/>
      <c r="B471" s="11"/>
      <c r="C471" s="12"/>
      <c r="D471" s="13"/>
      <c r="E471" s="492"/>
      <c r="F471" s="493"/>
      <c r="G471" s="494"/>
      <c r="H471" s="492"/>
      <c r="I471" s="500"/>
      <c r="J471" s="495"/>
      <c r="K471" s="479"/>
    </row>
    <row r="472" spans="1:11" ht="12.75" outlineLevel="3">
      <c r="A472" s="18"/>
      <c r="B472" s="11"/>
      <c r="C472" s="12"/>
      <c r="D472" s="13"/>
      <c r="E472" s="492"/>
      <c r="F472" s="493"/>
      <c r="G472" s="494"/>
      <c r="H472" s="492"/>
      <c r="I472" s="500"/>
      <c r="J472" s="495"/>
      <c r="K472" s="479"/>
    </row>
    <row r="473" spans="1:11" ht="12.75" outlineLevel="2">
      <c r="A473" s="18"/>
      <c r="B473" s="11" t="s">
        <v>788</v>
      </c>
      <c r="C473" s="12"/>
      <c r="D473" s="13">
        <f>E473/K$2*10000</f>
        <v>0.99999810936823519</v>
      </c>
      <c r="E473" s="492">
        <v>11.6363</v>
      </c>
      <c r="F473" s="493">
        <f>SUM(F474:F475)</f>
        <v>0</v>
      </c>
      <c r="G473" s="493">
        <f t="shared" ref="G473:H473" si="169">SUM(G474:G475)</f>
        <v>0</v>
      </c>
      <c r="H473" s="493">
        <f t="shared" si="169"/>
        <v>0</v>
      </c>
      <c r="I473" s="503"/>
      <c r="J473" s="495"/>
      <c r="K473" s="479"/>
    </row>
    <row r="474" spans="1:11" ht="12.75" outlineLevel="3">
      <c r="A474" s="18"/>
      <c r="B474" s="11"/>
      <c r="C474" s="12"/>
      <c r="D474" s="13"/>
      <c r="E474" s="492"/>
      <c r="F474" s="493"/>
      <c r="G474" s="494"/>
      <c r="H474" s="492"/>
      <c r="I474" s="500"/>
      <c r="J474" s="495"/>
      <c r="K474" s="479"/>
    </row>
    <row r="475" spans="1:11" ht="12.75" outlineLevel="3">
      <c r="A475" s="18"/>
      <c r="B475" s="11"/>
      <c r="C475" s="12"/>
      <c r="D475" s="13"/>
      <c r="E475" s="492"/>
      <c r="F475" s="493"/>
      <c r="G475" s="494"/>
      <c r="H475" s="492"/>
      <c r="I475" s="500"/>
      <c r="J475" s="495"/>
      <c r="K475" s="479"/>
    </row>
    <row r="476" spans="1:11" ht="12.75" outlineLevel="1">
      <c r="A476" s="5"/>
      <c r="B476" s="6" t="s">
        <v>789</v>
      </c>
      <c r="C476" s="7" t="s">
        <v>790</v>
      </c>
      <c r="D476" s="497">
        <f t="shared" ref="D476:H476" si="170">D477+D480+D483</f>
        <v>2.8398750051777526</v>
      </c>
      <c r="E476" s="497">
        <f t="shared" si="170"/>
        <v>33.045699999999997</v>
      </c>
      <c r="F476" s="497">
        <f t="shared" si="170"/>
        <v>0</v>
      </c>
      <c r="G476" s="497">
        <f t="shared" si="170"/>
        <v>0</v>
      </c>
      <c r="H476" s="497">
        <f t="shared" si="170"/>
        <v>0</v>
      </c>
      <c r="I476" s="521">
        <f>F476-E476*10000</f>
        <v>-330456.99999999994</v>
      </c>
      <c r="J476" s="483">
        <f>G476-D476</f>
        <v>-2.8398750051777526</v>
      </c>
      <c r="K476" s="479"/>
    </row>
    <row r="477" spans="1:11" ht="12.75" outlineLevel="2">
      <c r="A477" s="18"/>
      <c r="B477" s="11" t="s">
        <v>791</v>
      </c>
      <c r="C477" s="12"/>
      <c r="D477" s="13">
        <f>E477/K$2*10000</f>
        <v>1.0535975199036258</v>
      </c>
      <c r="E477" s="492">
        <v>12.26</v>
      </c>
      <c r="F477" s="493">
        <f>SUM(F478:F479)</f>
        <v>0</v>
      </c>
      <c r="G477" s="493">
        <f t="shared" ref="G477:H477" si="171">SUM(G478:G479)</f>
        <v>0</v>
      </c>
      <c r="H477" s="493">
        <f t="shared" si="171"/>
        <v>0</v>
      </c>
      <c r="I477" s="503"/>
      <c r="J477" s="495"/>
      <c r="K477" s="479"/>
    </row>
    <row r="478" spans="1:11" ht="12.75" outlineLevel="3">
      <c r="A478" s="18"/>
      <c r="B478" s="11"/>
      <c r="C478" s="12"/>
      <c r="D478" s="13"/>
      <c r="E478" s="492"/>
      <c r="F478" s="493"/>
      <c r="G478" s="494"/>
      <c r="H478" s="492"/>
      <c r="I478" s="500"/>
      <c r="J478" s="495"/>
      <c r="K478" s="479"/>
    </row>
    <row r="479" spans="1:11" ht="12.75" outlineLevel="3">
      <c r="A479" s="18"/>
      <c r="B479" s="11"/>
      <c r="C479" s="12"/>
      <c r="D479" s="13"/>
      <c r="E479" s="492"/>
      <c r="F479" s="493"/>
      <c r="G479" s="494"/>
      <c r="H479" s="492"/>
      <c r="I479" s="500"/>
      <c r="J479" s="495"/>
      <c r="K479" s="479"/>
    </row>
    <row r="480" spans="1:11" ht="12.75" outlineLevel="2">
      <c r="A480" s="18"/>
      <c r="B480" s="11" t="s">
        <v>792</v>
      </c>
      <c r="C480" s="12"/>
      <c r="D480" s="13">
        <f>E480/K$2*10000</f>
        <v>1.7862774852741268</v>
      </c>
      <c r="E480" s="492">
        <v>20.785699999999999</v>
      </c>
      <c r="F480" s="493">
        <f>SUM(F481:F482)</f>
        <v>0</v>
      </c>
      <c r="G480" s="493">
        <f t="shared" ref="G480:H480" si="172">SUM(G481:G482)</f>
        <v>0</v>
      </c>
      <c r="H480" s="493">
        <f t="shared" si="172"/>
        <v>0</v>
      </c>
      <c r="I480" s="503"/>
      <c r="J480" s="495"/>
      <c r="K480" s="479"/>
    </row>
    <row r="481" spans="1:11" ht="12.75" outlineLevel="3">
      <c r="A481" s="18"/>
      <c r="B481" s="11"/>
      <c r="C481" s="12"/>
      <c r="D481" s="13"/>
      <c r="E481" s="492"/>
      <c r="F481" s="493"/>
      <c r="G481" s="494"/>
      <c r="H481" s="492"/>
      <c r="I481" s="500"/>
      <c r="J481" s="495"/>
      <c r="K481" s="479"/>
    </row>
    <row r="482" spans="1:11" ht="12.75" outlineLevel="3">
      <c r="A482" s="18"/>
      <c r="B482" s="11"/>
      <c r="C482" s="12"/>
      <c r="D482" s="13"/>
      <c r="E482" s="492"/>
      <c r="F482" s="493"/>
      <c r="G482" s="494"/>
      <c r="H482" s="492"/>
      <c r="I482" s="500"/>
      <c r="J482" s="495"/>
      <c r="K482" s="479"/>
    </row>
    <row r="483" spans="1:11" ht="12.75" outlineLevel="2">
      <c r="A483" s="18"/>
      <c r="B483" s="11" t="s">
        <v>793</v>
      </c>
      <c r="C483" s="12"/>
      <c r="D483" s="13">
        <f>E483/K$2*10000</f>
        <v>0</v>
      </c>
      <c r="E483" s="492">
        <v>0</v>
      </c>
      <c r="F483" s="493">
        <f>SUM(F484:F484)</f>
        <v>0</v>
      </c>
      <c r="G483" s="493">
        <f t="shared" ref="G483:H483" si="173">SUM(G484:G484)</f>
        <v>0</v>
      </c>
      <c r="H483" s="493">
        <f t="shared" si="173"/>
        <v>0</v>
      </c>
      <c r="I483" s="503"/>
      <c r="J483" s="495"/>
      <c r="K483" s="479"/>
    </row>
    <row r="484" spans="1:11" ht="12.75" outlineLevel="3">
      <c r="A484" s="18"/>
      <c r="B484" s="11"/>
      <c r="C484" s="12"/>
      <c r="D484" s="13"/>
      <c r="E484" s="492"/>
      <c r="F484" s="493"/>
      <c r="G484" s="494"/>
      <c r="H484" s="492"/>
      <c r="I484" s="500"/>
      <c r="J484" s="495"/>
      <c r="K484" s="479"/>
    </row>
    <row r="485" spans="1:11" s="480" customFormat="1" ht="12.75">
      <c r="A485" s="2"/>
      <c r="B485" s="3" t="s">
        <v>794</v>
      </c>
      <c r="C485" s="4" t="s">
        <v>795</v>
      </c>
      <c r="D485" s="478">
        <f t="shared" ref="D485:J485" si="174">D486+D490+D507+D503</f>
        <v>68.196179170703601</v>
      </c>
      <c r="E485" s="478">
        <f t="shared" si="174"/>
        <v>793.55269999999996</v>
      </c>
      <c r="F485" s="478">
        <f t="shared" si="174"/>
        <v>6481753.0500000007</v>
      </c>
      <c r="G485" s="478">
        <f t="shared" si="174"/>
        <v>55.70276458489203</v>
      </c>
      <c r="H485" s="478">
        <f t="shared" ca="1" si="174"/>
        <v>6481753.0500000007</v>
      </c>
      <c r="I485" s="478">
        <f t="shared" si="174"/>
        <v>-1453773.949999999</v>
      </c>
      <c r="J485" s="478">
        <f t="shared" si="174"/>
        <v>-12.493414585811564</v>
      </c>
      <c r="K485" s="479"/>
    </row>
    <row r="486" spans="1:11" ht="24" outlineLevel="1">
      <c r="A486" s="5"/>
      <c r="B486" s="6" t="s">
        <v>796</v>
      </c>
      <c r="C486" s="7" t="s">
        <v>797</v>
      </c>
      <c r="D486" s="496">
        <f>E486/K2*10000</f>
        <v>55.692262555126952</v>
      </c>
      <c r="E486" s="496">
        <v>648.05309999999997</v>
      </c>
      <c r="F486" s="497">
        <f>SUM(F487:F489)</f>
        <v>6481753.0500000007</v>
      </c>
      <c r="G486" s="497">
        <f t="shared" ref="G486:H486" si="175">SUM(G487:G489)</f>
        <v>55.70276458489203</v>
      </c>
      <c r="H486" s="497">
        <f t="shared" ca="1" si="175"/>
        <v>6481753.0500000007</v>
      </c>
      <c r="I486" s="521">
        <f>F486-E486*10000</f>
        <v>1222.0500000007451</v>
      </c>
      <c r="J486" s="483">
        <f>G486-D486</f>
        <v>1.0502029765078191E-2</v>
      </c>
      <c r="K486" s="479"/>
    </row>
    <row r="487" spans="1:11" s="491" customFormat="1" ht="23.25" customHeight="1" outlineLevel="3">
      <c r="A487" s="511" t="s">
        <v>47</v>
      </c>
      <c r="B487" s="8" t="str">
        <f>IF(A487&lt;&gt;0,VLOOKUP(A487,合同台帐!$A$4:$D$893,4,1),"")</f>
        <v>小配套费（一期）</v>
      </c>
      <c r="C487" s="9"/>
      <c r="D487" s="10"/>
      <c r="E487" s="486"/>
      <c r="F487" s="487">
        <f>IF(A487&lt;&gt;0,VLOOKUP(A487,合同台帐!$A$4:$J$893,6,1),"")</f>
        <v>3907038.37</v>
      </c>
      <c r="G487" s="488">
        <f>F487/K2</f>
        <v>33.576231132139519</v>
      </c>
      <c r="H487" s="486">
        <f ca="1">IF(A487&lt;&gt;0,IF($H$2="元",VLOOKUP(A487,合同台帐!$A$4:$K$1093,11,1),VLOOKUP(A487,合同台帐!$A$4:$K$1093,11,1)),0)</f>
        <v>3907038.37</v>
      </c>
      <c r="I487" s="487"/>
      <c r="J487" s="489"/>
      <c r="K487" s="490"/>
    </row>
    <row r="488" spans="1:11" s="491" customFormat="1" ht="23.25" customHeight="1" outlineLevel="3">
      <c r="A488" s="515" t="s">
        <v>151</v>
      </c>
      <c r="B488" s="8" t="str">
        <f>IF(A488&lt;&gt;0,VLOOKUP(A488,合同台帐!$A$4:$D$893,4,1),"")</f>
        <v>（三期）小配套费</v>
      </c>
      <c r="C488" s="9"/>
      <c r="D488" s="10"/>
      <c r="E488" s="486"/>
      <c r="F488" s="487">
        <f>IF(A488&lt;&gt;0,VLOOKUP(A488,合同台帐!$A$4:$J$893,6,1),"")</f>
        <v>2574714.6800000002</v>
      </c>
      <c r="G488" s="488">
        <f>F488/K2</f>
        <v>22.126533452752511</v>
      </c>
      <c r="H488" s="486">
        <f ca="1">IF(A488&lt;&gt;0,IF($H$2="元",VLOOKUP(A488,合同台帐!$A$4:$K$1093,11,1),VLOOKUP(A488,合同台帐!$A$4:$K$1093,11,1)),0)</f>
        <v>2574714.6800000002</v>
      </c>
      <c r="I488" s="487"/>
      <c r="J488" s="489"/>
      <c r="K488" s="490"/>
    </row>
    <row r="489" spans="1:11" s="484" customFormat="1" ht="12.75" outlineLevel="2">
      <c r="A489" s="15"/>
      <c r="B489" s="16"/>
      <c r="C489" s="17"/>
      <c r="D489" s="13"/>
      <c r="E489" s="523"/>
      <c r="F489" s="524"/>
      <c r="G489" s="495"/>
      <c r="H489" s="492"/>
      <c r="I489" s="501"/>
      <c r="J489" s="495"/>
      <c r="K489" s="479"/>
    </row>
    <row r="490" spans="1:11" ht="12.75" outlineLevel="1">
      <c r="A490" s="5"/>
      <c r="B490" s="6" t="s">
        <v>798</v>
      </c>
      <c r="C490" s="7" t="s">
        <v>799</v>
      </c>
      <c r="D490" s="497">
        <f t="shared" ref="D490:H490" si="176">D491+D494+D497+D500</f>
        <v>12.503916615576642</v>
      </c>
      <c r="E490" s="497">
        <f t="shared" si="176"/>
        <v>145.49959999999999</v>
      </c>
      <c r="F490" s="497">
        <f t="shared" si="176"/>
        <v>0</v>
      </c>
      <c r="G490" s="497">
        <f t="shared" si="176"/>
        <v>0</v>
      </c>
      <c r="H490" s="497">
        <f t="shared" si="176"/>
        <v>0</v>
      </c>
      <c r="I490" s="521">
        <f>F490-E490*10000</f>
        <v>-1454995.9999999998</v>
      </c>
      <c r="J490" s="483">
        <f>G490-D490</f>
        <v>-12.503916615576642</v>
      </c>
      <c r="K490" s="479"/>
    </row>
    <row r="491" spans="1:11" ht="24" outlineLevel="2">
      <c r="A491" s="18"/>
      <c r="B491" s="11" t="s">
        <v>800</v>
      </c>
      <c r="C491" s="12"/>
      <c r="D491" s="13">
        <f>E491/K$2*10000</f>
        <v>5.358823862041632</v>
      </c>
      <c r="E491" s="492">
        <v>62.356999999999999</v>
      </c>
      <c r="F491" s="493">
        <f>SUM(F492:F493)</f>
        <v>0</v>
      </c>
      <c r="G491" s="493">
        <f t="shared" ref="G491:H491" si="177">SUM(G492:G493)</f>
        <v>0</v>
      </c>
      <c r="H491" s="493">
        <f t="shared" si="177"/>
        <v>0</v>
      </c>
      <c r="I491" s="503"/>
      <c r="J491" s="495"/>
      <c r="K491" s="479"/>
    </row>
    <row r="492" spans="1:11" ht="12.75" outlineLevel="3">
      <c r="A492" s="18"/>
      <c r="B492" s="11"/>
      <c r="C492" s="12"/>
      <c r="D492" s="13"/>
      <c r="E492" s="492"/>
      <c r="F492" s="493"/>
      <c r="G492" s="494"/>
      <c r="H492" s="492"/>
      <c r="I492" s="500"/>
      <c r="J492" s="495"/>
      <c r="K492" s="479"/>
    </row>
    <row r="493" spans="1:11" ht="12.75" outlineLevel="3">
      <c r="A493" s="18"/>
      <c r="B493" s="11"/>
      <c r="C493" s="12"/>
      <c r="D493" s="13"/>
      <c r="E493" s="492"/>
      <c r="F493" s="493"/>
      <c r="G493" s="494"/>
      <c r="H493" s="492"/>
      <c r="I493" s="500"/>
      <c r="J493" s="495"/>
      <c r="K493" s="479"/>
    </row>
    <row r="494" spans="1:11" ht="24" outlineLevel="2">
      <c r="A494" s="18"/>
      <c r="B494" s="11" t="s">
        <v>801</v>
      </c>
      <c r="C494" s="12"/>
      <c r="D494" s="13">
        <f>E494/K$2*10000</f>
        <v>5.358823862041632</v>
      </c>
      <c r="E494" s="492">
        <v>62.356999999999999</v>
      </c>
      <c r="F494" s="493">
        <f>SUM(F495:F496)</f>
        <v>0</v>
      </c>
      <c r="G494" s="493">
        <f t="shared" ref="G494:H494" si="178">SUM(G495:G496)</f>
        <v>0</v>
      </c>
      <c r="H494" s="493">
        <f t="shared" si="178"/>
        <v>0</v>
      </c>
      <c r="I494" s="503"/>
      <c r="J494" s="495"/>
      <c r="K494" s="479"/>
    </row>
    <row r="495" spans="1:11" ht="12.75" outlineLevel="3">
      <c r="A495" s="18"/>
      <c r="B495" s="11"/>
      <c r="C495" s="12"/>
      <c r="D495" s="13"/>
      <c r="E495" s="492"/>
      <c r="F495" s="493"/>
      <c r="G495" s="494"/>
      <c r="H495" s="492"/>
      <c r="I495" s="500"/>
      <c r="J495" s="495"/>
      <c r="K495" s="479"/>
    </row>
    <row r="496" spans="1:11" ht="12.75" outlineLevel="3">
      <c r="A496" s="18"/>
      <c r="B496" s="11"/>
      <c r="C496" s="12"/>
      <c r="D496" s="13"/>
      <c r="E496" s="492"/>
      <c r="F496" s="493"/>
      <c r="G496" s="494"/>
      <c r="H496" s="492"/>
      <c r="I496" s="500"/>
      <c r="J496" s="495"/>
      <c r="K496" s="479"/>
    </row>
    <row r="497" spans="1:13" ht="12.75" outlineLevel="2">
      <c r="A497" s="18"/>
      <c r="B497" s="11" t="s">
        <v>802</v>
      </c>
      <c r="C497" s="12"/>
      <c r="D497" s="13">
        <f>E497/K$2*10000</f>
        <v>0.89313444574668854</v>
      </c>
      <c r="E497" s="492">
        <v>10.392799999999999</v>
      </c>
      <c r="F497" s="493">
        <f>SUM(F498:F499)</f>
        <v>0</v>
      </c>
      <c r="G497" s="493">
        <f t="shared" ref="G497:J497" si="179">SUM(G498:G499)</f>
        <v>0</v>
      </c>
      <c r="H497" s="493">
        <f t="shared" si="179"/>
        <v>0</v>
      </c>
      <c r="I497" s="493">
        <f t="shared" si="179"/>
        <v>0</v>
      </c>
      <c r="J497" s="493">
        <f t="shared" si="179"/>
        <v>0</v>
      </c>
      <c r="K497" s="479"/>
    </row>
    <row r="498" spans="1:13" ht="12.75" outlineLevel="3">
      <c r="A498" s="18"/>
      <c r="B498" s="11"/>
      <c r="C498" s="12"/>
      <c r="D498" s="13"/>
      <c r="E498" s="492"/>
      <c r="F498" s="493"/>
      <c r="G498" s="494"/>
      <c r="H498" s="492"/>
      <c r="I498" s="500"/>
      <c r="J498" s="495"/>
      <c r="K498" s="479"/>
    </row>
    <row r="499" spans="1:13" ht="12.75" outlineLevel="3">
      <c r="A499" s="18"/>
      <c r="B499" s="11"/>
      <c r="C499" s="12"/>
      <c r="D499" s="13"/>
      <c r="E499" s="492"/>
      <c r="F499" s="493"/>
      <c r="G499" s="494"/>
      <c r="H499" s="492"/>
      <c r="I499" s="500"/>
      <c r="J499" s="495"/>
      <c r="K499" s="479"/>
    </row>
    <row r="500" spans="1:13" ht="12.75" outlineLevel="2">
      <c r="A500" s="18"/>
      <c r="B500" s="11" t="s">
        <v>803</v>
      </c>
      <c r="C500" s="12"/>
      <c r="D500" s="13">
        <f>E500/K$2*10000</f>
        <v>0.89313444574668854</v>
      </c>
      <c r="E500" s="492">
        <v>10.392799999999999</v>
      </c>
      <c r="F500" s="493">
        <f>SUM(F501:F502)</f>
        <v>0</v>
      </c>
      <c r="G500" s="493">
        <f t="shared" ref="G500:H500" si="180">SUM(G501:G502)</f>
        <v>0</v>
      </c>
      <c r="H500" s="493">
        <f t="shared" si="180"/>
        <v>0</v>
      </c>
      <c r="I500" s="503"/>
      <c r="J500" s="495"/>
      <c r="K500" s="479"/>
    </row>
    <row r="501" spans="1:13" ht="12.75" outlineLevel="3">
      <c r="A501" s="18"/>
      <c r="B501" s="11"/>
      <c r="C501" s="12"/>
      <c r="D501" s="13"/>
      <c r="E501" s="492"/>
      <c r="F501" s="493"/>
      <c r="G501" s="494"/>
      <c r="H501" s="492"/>
      <c r="I501" s="500"/>
      <c r="J501" s="495"/>
      <c r="K501" s="479"/>
    </row>
    <row r="502" spans="1:13" ht="12.75" outlineLevel="3">
      <c r="A502" s="18"/>
      <c r="B502" s="11"/>
      <c r="C502" s="12"/>
      <c r="D502" s="13"/>
      <c r="E502" s="492"/>
      <c r="F502" s="493"/>
      <c r="G502" s="494"/>
      <c r="H502" s="492"/>
      <c r="I502" s="500"/>
      <c r="J502" s="495"/>
      <c r="K502" s="479"/>
    </row>
    <row r="503" spans="1:13" ht="12.75" outlineLevel="1">
      <c r="A503" s="5"/>
      <c r="B503" s="6" t="s">
        <v>804</v>
      </c>
      <c r="C503" s="7" t="s">
        <v>799</v>
      </c>
      <c r="D503" s="14">
        <f>E503/K$2*10000</f>
        <v>0</v>
      </c>
      <c r="E503" s="496">
        <v>0</v>
      </c>
      <c r="F503" s="497">
        <f>SUM(F504:F506)</f>
        <v>0</v>
      </c>
      <c r="G503" s="497">
        <f t="shared" ref="G503:H503" si="181">SUM(G504:G506)</f>
        <v>0</v>
      </c>
      <c r="H503" s="497">
        <f t="shared" si="181"/>
        <v>0</v>
      </c>
      <c r="I503" s="521">
        <f>F503-E503*10000</f>
        <v>0</v>
      </c>
      <c r="J503" s="483">
        <f>G503-D503</f>
        <v>0</v>
      </c>
      <c r="K503" s="479"/>
    </row>
    <row r="504" spans="1:13" ht="12.75" outlineLevel="2">
      <c r="A504" s="18"/>
      <c r="B504" s="11"/>
      <c r="C504" s="12"/>
      <c r="D504" s="13"/>
      <c r="E504" s="492"/>
      <c r="F504" s="493"/>
      <c r="G504" s="494"/>
      <c r="H504" s="494"/>
      <c r="I504" s="503"/>
      <c r="J504" s="495"/>
      <c r="K504" s="479"/>
    </row>
    <row r="505" spans="1:13" ht="12.75" outlineLevel="3">
      <c r="A505" s="18"/>
      <c r="B505" s="11"/>
      <c r="C505" s="12"/>
      <c r="D505" s="13"/>
      <c r="E505" s="492"/>
      <c r="F505" s="493"/>
      <c r="G505" s="494"/>
      <c r="H505" s="492"/>
      <c r="I505" s="500"/>
      <c r="J505" s="495"/>
      <c r="K505" s="479"/>
    </row>
    <row r="506" spans="1:13" ht="12.75" outlineLevel="3">
      <c r="A506" s="18"/>
      <c r="B506" s="11"/>
      <c r="C506" s="12"/>
      <c r="D506" s="13"/>
      <c r="E506" s="492"/>
      <c r="F506" s="493"/>
      <c r="G506" s="494"/>
      <c r="H506" s="492"/>
      <c r="I506" s="500"/>
      <c r="J506" s="495"/>
      <c r="K506" s="479"/>
    </row>
    <row r="507" spans="1:13" ht="12.75" outlineLevel="1">
      <c r="A507" s="5"/>
      <c r="B507" s="6" t="s">
        <v>805</v>
      </c>
      <c r="C507" s="7" t="s">
        <v>806</v>
      </c>
      <c r="D507" s="14"/>
      <c r="E507" s="496"/>
      <c r="F507" s="497">
        <f>SUM(F508:F509)</f>
        <v>0</v>
      </c>
      <c r="G507" s="497">
        <f t="shared" ref="G507:J507" si="182">SUM(G508:G509)</f>
        <v>0</v>
      </c>
      <c r="H507" s="497">
        <f t="shared" si="182"/>
        <v>0</v>
      </c>
      <c r="I507" s="497">
        <f t="shared" si="182"/>
        <v>0</v>
      </c>
      <c r="J507" s="497">
        <f t="shared" si="182"/>
        <v>0</v>
      </c>
      <c r="K507" s="479"/>
      <c r="M507" s="462" t="e">
        <f>2689020+(-成本明细!#REF!)</f>
        <v>#REF!</v>
      </c>
    </row>
    <row r="508" spans="1:13" ht="12.75" outlineLevel="2">
      <c r="A508" s="18"/>
      <c r="B508" s="11"/>
      <c r="C508" s="12"/>
      <c r="D508" s="13"/>
      <c r="E508" s="492"/>
      <c r="F508" s="493"/>
      <c r="G508" s="494"/>
      <c r="H508" s="494"/>
      <c r="I508" s="503"/>
      <c r="J508" s="495"/>
      <c r="K508" s="479"/>
    </row>
    <row r="509" spans="1:13" ht="12.75" outlineLevel="2">
      <c r="A509" s="18"/>
      <c r="B509" s="11"/>
      <c r="C509" s="12"/>
      <c r="D509" s="13"/>
      <c r="E509" s="492"/>
      <c r="F509" s="493"/>
      <c r="G509" s="494"/>
      <c r="H509" s="492"/>
      <c r="I509" s="500"/>
      <c r="J509" s="495"/>
      <c r="K509" s="479"/>
    </row>
    <row r="510" spans="1:13" s="480" customFormat="1" ht="13.5" customHeight="1">
      <c r="A510" s="2"/>
      <c r="B510" s="3" t="s">
        <v>807</v>
      </c>
      <c r="C510" s="4"/>
      <c r="D510" s="26">
        <f>E510/K$2*10000</f>
        <v>16.742034123840849</v>
      </c>
      <c r="E510" s="502">
        <v>194.81569999999999</v>
      </c>
      <c r="F510" s="478">
        <f>SUM(F511:F518)</f>
        <v>317649</v>
      </c>
      <c r="G510" s="478">
        <f t="shared" ref="G510:H510" si="183">SUM(G511:G518)</f>
        <v>2.7298058613365979</v>
      </c>
      <c r="H510" s="478">
        <f t="shared" ca="1" si="183"/>
        <v>228959.2</v>
      </c>
      <c r="I510" s="517">
        <f>F510-E510*10000</f>
        <v>-1630508</v>
      </c>
      <c r="J510" s="477">
        <f>G510-D510</f>
        <v>-14.012228262504252</v>
      </c>
      <c r="K510" s="479"/>
    </row>
    <row r="511" spans="1:13" s="491" customFormat="1" ht="12.75" outlineLevel="3">
      <c r="A511" s="507" t="s">
        <v>41</v>
      </c>
      <c r="B511" s="8" t="str">
        <f>IF(A511&lt;&gt;0,VLOOKUP(A511,合同台帐!$A$4:$D$195,4,1),"")</f>
        <v>公告展示牌（报修详）</v>
      </c>
      <c r="C511" s="9"/>
      <c r="D511" s="10"/>
      <c r="E511" s="486"/>
      <c r="F511" s="487">
        <f>IF(A511&lt;&gt;0,IF(VLOOKUP(A511,合同台帐!$A$4:$G$195,7,1),IF($H$2="元",VLOOKUP(A511,合同台帐!$A$4:$G$195,7,1),VLOOKUP(A511,合同台帐!$A$4:$G$195,7,1)),IF($H$2="元",VLOOKUP(A511,合同台帐!$A$4:$F$195,6,1),VLOOKUP(A511,合同台帐!$A$4:$F$195,6,1))),0)</f>
        <v>16200</v>
      </c>
      <c r="G511" s="488">
        <f>F511/K$2</f>
        <v>0.13921924814387227</v>
      </c>
      <c r="H511" s="486">
        <f ca="1">IF(A511&lt;&gt;0,IF($H$2="元",VLOOKUP(A511,合同台帐!$A$4:$K$1093,11,1),VLOOKUP(A511,合同台帐!$A$4:$K$1093,11,1)),0)</f>
        <v>16200</v>
      </c>
      <c r="I511" s="503"/>
      <c r="J511" s="489"/>
      <c r="K511" s="504"/>
    </row>
    <row r="512" spans="1:13" s="491" customFormat="1" ht="12.75" outlineLevel="3">
      <c r="A512" s="507" t="s">
        <v>79</v>
      </c>
      <c r="B512" s="8" t="str">
        <f>IF(A512&lt;&gt;0,VLOOKUP(A512,合同台帐!$A$4:$D$195,4,1),"")</f>
        <v>专家论证费</v>
      </c>
      <c r="C512" s="9"/>
      <c r="D512" s="10"/>
      <c r="E512" s="486"/>
      <c r="F512" s="487">
        <f>IF(A512&lt;&gt;0,IF(VLOOKUP(A512,合同台帐!$A$4:$G$195,7,1),IF($H$2="元",VLOOKUP(A512,合同台帐!$A$4:$G$195,7,1),VLOOKUP(A512,合同台帐!$A$4:$G$195,7,1)),IF($H$2="元",VLOOKUP(A512,合同台帐!$A$4:$F$195,6,1),VLOOKUP(A512,合同台帐!$A$4:$F$195,6,1))),0)</f>
        <v>2000</v>
      </c>
      <c r="G512" s="488">
        <f>F512/K$2</f>
        <v>1.7187561499243491E-2</v>
      </c>
      <c r="H512" s="486">
        <f ca="1">IF(A512&lt;&gt;0,IF($H$2="元",VLOOKUP(A512,合同台帐!$A$4:$K$1093,11,1),VLOOKUP(A512,合同台帐!$A$4:$K$1093,11,1)),0)</f>
        <v>2000</v>
      </c>
      <c r="I512" s="503"/>
      <c r="J512" s="489"/>
      <c r="K512" s="504"/>
    </row>
    <row r="513" spans="1:11" s="491" customFormat="1" ht="16.5" customHeight="1" outlineLevel="3">
      <c r="A513" s="485" t="s">
        <v>108</v>
      </c>
      <c r="B513" s="8" t="str">
        <f>IF(A513&lt;&gt;0,VLOOKUP(A513,合同台帐!$A$4:$D$893,4,1),"")</f>
        <v>示范区夜景照明</v>
      </c>
      <c r="C513" s="9"/>
      <c r="D513" s="10"/>
      <c r="E513" s="486"/>
      <c r="F513" s="487">
        <f>IF(A513&lt;&gt;0,VLOOKUP(A513,合同台帐!$A$4:$J$893,6,1),"")</f>
        <v>213449</v>
      </c>
      <c r="G513" s="488">
        <f>F513/K2</f>
        <v>1.8343339072260119</v>
      </c>
      <c r="H513" s="486">
        <f ca="1">IF(A513&lt;&gt;0,IF($H$2="元",VLOOKUP(A513,合同台帐!$A$4:$K$1093,11,1),VLOOKUP(A513,合同台帐!$A$4:$K$1093,11,1)),0)</f>
        <v>170759.2</v>
      </c>
      <c r="I513" s="487"/>
      <c r="J513" s="489"/>
      <c r="K513" s="490"/>
    </row>
    <row r="514" spans="1:11" s="491" customFormat="1" ht="12.75" outlineLevel="2">
      <c r="A514" s="507" t="s">
        <v>137</v>
      </c>
      <c r="B514" s="8" t="str">
        <f>IF(A514&lt;&gt;0,VLOOKUP(A514,合同台帐!$A$4:$D$195,4,1),"")</f>
        <v>现场监控设备采购安装</v>
      </c>
      <c r="C514" s="9"/>
      <c r="D514" s="10"/>
      <c r="E514" s="486"/>
      <c r="F514" s="487">
        <f>IF(A514&lt;&gt;0,IF(VLOOKUP(A514,合同台帐!$A$4:$G$195,7,1),IF($H$2="元",VLOOKUP(A514,合同台帐!$A$4:$G$195,7,1),VLOOKUP(A514,合同台帐!$A$4:$G$195,7,1)),IF($H$2="元",VLOOKUP(A514,合同台帐!$A$4:$F$195,6,1),VLOOKUP(A514,合同台帐!$A$4:$F$195,6,1))),0)</f>
        <v>29000</v>
      </c>
      <c r="G514" s="488">
        <f>F514/K$2</f>
        <v>0.24921964173903061</v>
      </c>
      <c r="H514" s="486">
        <f ca="1">IF(A514&lt;&gt;0,IF($H$2="元",VLOOKUP(A514,合同台帐!$A$4:$K$1093,11,1),VLOOKUP(A514,合同台帐!$A$4:$K$1093,11,1)),0)</f>
        <v>0</v>
      </c>
      <c r="I514" s="503"/>
      <c r="J514" s="489"/>
      <c r="K514" s="504"/>
    </row>
    <row r="515" spans="1:11" s="491" customFormat="1" ht="12.75" outlineLevel="2">
      <c r="A515" s="507" t="s">
        <v>118</v>
      </c>
      <c r="B515" s="8" t="str">
        <f>IF(A515&lt;&gt;0,VLOOKUP(A515,合同台帐!$A$4:$D$195,4,1),"")</f>
        <v>现场扬尘监测设备</v>
      </c>
      <c r="C515" s="9"/>
      <c r="D515" s="10"/>
      <c r="E515" s="486"/>
      <c r="F515" s="487">
        <f>IF(A515&lt;&gt;0,IF(VLOOKUP(A515,合同台帐!$A$4:$G$195,7,1),IF($H$2="元",VLOOKUP(A515,合同台帐!$A$4:$G$195,7,1),VLOOKUP(A515,合同台帐!$A$4:$G$195,7,1)),IF($H$2="元",VLOOKUP(A515,合同台帐!$A$4:$F$195,6,1),VLOOKUP(A515,合同台帐!$A$4:$F$195,6,1))),0)</f>
        <v>40000</v>
      </c>
      <c r="G515" s="488">
        <f>F515/K$2</f>
        <v>0.34375122998486979</v>
      </c>
      <c r="H515" s="486">
        <f ca="1">IF(A515&lt;&gt;0,IF($H$2="元",VLOOKUP(A515,合同台帐!$A$4:$K$1093,11,1),VLOOKUP(A515,合同台帐!$A$4:$K$1093,11,1)),0)</f>
        <v>40000</v>
      </c>
      <c r="I515" s="503"/>
      <c r="J515" s="489"/>
      <c r="K515" s="504"/>
    </row>
    <row r="516" spans="1:11" s="491" customFormat="1" ht="12.75" outlineLevel="2">
      <c r="A516" s="507" t="s">
        <v>142</v>
      </c>
      <c r="B516" s="8" t="str">
        <f>IF(A516&lt;&gt;0,VLOOKUP(A516,合同台帐!$A$4:$D$195,4,1),"")</f>
        <v>现场监控组网服务</v>
      </c>
      <c r="C516" s="9"/>
      <c r="D516" s="10"/>
      <c r="E516" s="486"/>
      <c r="F516" s="487">
        <f>IF(A516&lt;&gt;0,IF(VLOOKUP(A516,合同台帐!$A$4:$G$195,7,1),IF($H$2="元",VLOOKUP(A516,合同台帐!$A$4:$G$195,7,1),VLOOKUP(A516,合同台帐!$A$4:$G$195,7,1)),IF($H$2="元",VLOOKUP(A516,合同台帐!$A$4:$F$195,6,1),VLOOKUP(A516,合同台帐!$A$4:$F$195,6,1))),0)</f>
        <v>17000</v>
      </c>
      <c r="G516" s="488">
        <f>F516/K$2</f>
        <v>0.14609427274356965</v>
      </c>
      <c r="H516" s="486">
        <f ca="1">IF(A516&lt;&gt;0,IF($H$2="元",VLOOKUP(A516,合同台帐!$A$4:$K$1093,11,1),VLOOKUP(A516,合同台帐!$A$4:$K$1093,11,1)),0)</f>
        <v>0</v>
      </c>
      <c r="I516" s="503"/>
      <c r="J516" s="489"/>
      <c r="K516" s="504"/>
    </row>
    <row r="517" spans="1:11" ht="12.75" outlineLevel="3">
      <c r="A517" s="18"/>
      <c r="B517" s="11"/>
      <c r="C517" s="12"/>
      <c r="D517" s="13"/>
      <c r="E517" s="492"/>
      <c r="F517" s="493"/>
      <c r="G517" s="494"/>
      <c r="H517" s="492"/>
      <c r="I517" s="500"/>
      <c r="J517" s="495"/>
      <c r="K517" s="479"/>
    </row>
    <row r="518" spans="1:11" s="484" customFormat="1" ht="18.75" customHeight="1" outlineLevel="1">
      <c r="A518" s="18"/>
      <c r="B518" s="11"/>
      <c r="C518" s="12"/>
      <c r="D518" s="13"/>
      <c r="E518" s="492"/>
      <c r="F518" s="493"/>
      <c r="G518" s="494"/>
      <c r="H518" s="492"/>
      <c r="I518" s="500"/>
      <c r="J518" s="495"/>
      <c r="K518" s="525"/>
    </row>
    <row r="519" spans="1:11" s="484" customFormat="1" ht="12.75">
      <c r="A519" s="405"/>
      <c r="B519" s="11"/>
      <c r="C519" s="12"/>
      <c r="D519" s="25"/>
      <c r="E519" s="492"/>
      <c r="F519" s="516"/>
      <c r="G519" s="500"/>
      <c r="H519" s="516"/>
      <c r="I519" s="500"/>
      <c r="J519" s="495"/>
      <c r="K519" s="525"/>
    </row>
    <row r="520" spans="1:11" s="528" customFormat="1" ht="12.75">
      <c r="A520" s="526"/>
      <c r="B520" s="27" t="s">
        <v>808</v>
      </c>
      <c r="C520" s="28"/>
      <c r="D520" s="29">
        <f t="shared" ref="D520:J520" si="184">D510+D485+D349+D227+D28</f>
        <v>4242.0642278548157</v>
      </c>
      <c r="E520" s="29">
        <f t="shared" si="184"/>
        <v>49362.025300000001</v>
      </c>
      <c r="F520" s="29">
        <f t="shared" si="184"/>
        <v>408377528.55999994</v>
      </c>
      <c r="G520" s="29" t="e">
        <f t="shared" si="184"/>
        <v>#VALUE!</v>
      </c>
      <c r="H520" s="29">
        <f t="shared" ca="1" si="184"/>
        <v>118844910.69</v>
      </c>
      <c r="I520" s="29" t="e">
        <f t="shared" si="184"/>
        <v>#REF!</v>
      </c>
      <c r="J520" s="29" t="e">
        <f t="shared" si="184"/>
        <v>#VALUE!</v>
      </c>
      <c r="K520" s="527"/>
    </row>
    <row r="521" spans="1:11" s="480" customFormat="1" ht="12.75">
      <c r="A521" s="30"/>
      <c r="B521" s="31" t="s">
        <v>809</v>
      </c>
      <c r="C521" s="32"/>
      <c r="D521" s="529">
        <f t="shared" ref="D521:H521" si="185">D4+D28+D227+D349+D485+D510</f>
        <v>7846.321853245382</v>
      </c>
      <c r="E521" s="529">
        <f t="shared" si="185"/>
        <v>91302.327600000004</v>
      </c>
      <c r="F521" s="529">
        <f t="shared" si="185"/>
        <v>828044626.13</v>
      </c>
      <c r="G521" s="529" t="e">
        <f t="shared" si="185"/>
        <v>#VALUE!</v>
      </c>
      <c r="H521" s="529">
        <f t="shared" ca="1" si="185"/>
        <v>539976408.25999999</v>
      </c>
      <c r="I521" s="530">
        <f t="shared" ref="I521" si="186">F521-E521*10000</f>
        <v>-84978649.870000005</v>
      </c>
      <c r="J521" s="531" t="e">
        <f t="shared" ref="J521" si="187">G521-D521</f>
        <v>#VALUE!</v>
      </c>
      <c r="K521" s="532"/>
    </row>
    <row r="522" spans="1:11" s="537" customFormat="1" ht="12.75">
      <c r="A522" s="15"/>
      <c r="B522" s="33" t="s">
        <v>810</v>
      </c>
      <c r="C522" s="34"/>
      <c r="D522" s="35">
        <f>E522/K$2*10000</f>
        <v>252.92957688864232</v>
      </c>
      <c r="E522" s="523">
        <v>2943.17</v>
      </c>
      <c r="F522" s="533"/>
      <c r="G522" s="524">
        <f>F522/K2</f>
        <v>0</v>
      </c>
      <c r="H522" s="534">
        <f>F522</f>
        <v>0</v>
      </c>
      <c r="I522" s="535"/>
      <c r="J522" s="495"/>
      <c r="K522" s="536"/>
    </row>
    <row r="523" spans="1:11" s="537" customFormat="1" ht="13.5" customHeight="1">
      <c r="A523" s="15"/>
      <c r="B523" s="16" t="s">
        <v>811</v>
      </c>
      <c r="C523" s="17" t="s">
        <v>812</v>
      </c>
      <c r="D523" s="35">
        <f>E523/K$2*10000</f>
        <v>285.69250661850026</v>
      </c>
      <c r="E523" s="523">
        <v>3324.41</v>
      </c>
      <c r="F523" s="524">
        <f t="shared" ref="F523:H523" si="188">F524+F548+F601</f>
        <v>400000</v>
      </c>
      <c r="G523" s="524">
        <f t="shared" si="188"/>
        <v>1.7187561499243489</v>
      </c>
      <c r="H523" s="524">
        <f t="shared" ca="1" si="188"/>
        <v>3709171.7</v>
      </c>
      <c r="I523" s="501">
        <f t="shared" ref="I523:I525" si="189">F523-E523*10000</f>
        <v>-32844100</v>
      </c>
      <c r="J523" s="495">
        <f>G523-D523</f>
        <v>-283.97375046857593</v>
      </c>
      <c r="K523" s="536"/>
    </row>
    <row r="524" spans="1:11" s="537" customFormat="1" ht="12.75" outlineLevel="1">
      <c r="A524" s="15"/>
      <c r="B524" s="16" t="s">
        <v>813</v>
      </c>
      <c r="C524" s="17"/>
      <c r="D524" s="35"/>
      <c r="E524" s="523"/>
      <c r="F524" s="524">
        <f>F525+F529+F532</f>
        <v>400000</v>
      </c>
      <c r="G524" s="524">
        <f>G525+G535</f>
        <v>1.7187561499243489</v>
      </c>
      <c r="H524" s="524">
        <f ca="1">H525+H535</f>
        <v>200000</v>
      </c>
      <c r="I524" s="501">
        <f t="shared" si="189"/>
        <v>400000</v>
      </c>
      <c r="J524" s="495"/>
      <c r="K524" s="536"/>
    </row>
    <row r="525" spans="1:11" s="484" customFormat="1" ht="12.75" outlineLevel="2">
      <c r="A525" s="15"/>
      <c r="B525" s="16" t="s">
        <v>814</v>
      </c>
      <c r="C525" s="12"/>
      <c r="D525" s="35">
        <f>E525/K$2*10000</f>
        <v>135.02861986803046</v>
      </c>
      <c r="E525" s="492">
        <f>15712365/10000</f>
        <v>1571.2365</v>
      </c>
      <c r="F525" s="493">
        <f t="shared" ref="F525:H525" si="190">F526+F529+F532</f>
        <v>200000</v>
      </c>
      <c r="G525" s="493">
        <f t="shared" si="190"/>
        <v>1.7187561499243489</v>
      </c>
      <c r="H525" s="493">
        <f t="shared" ca="1" si="190"/>
        <v>200000</v>
      </c>
      <c r="I525" s="493">
        <f t="shared" si="189"/>
        <v>-15512365</v>
      </c>
      <c r="J525" s="495">
        <f>G525-D525</f>
        <v>-133.3098637181061</v>
      </c>
      <c r="K525" s="525"/>
    </row>
    <row r="526" spans="1:11" s="484" customFormat="1" ht="12.75" outlineLevel="3">
      <c r="A526" s="15"/>
      <c r="B526" s="11" t="s">
        <v>815</v>
      </c>
      <c r="C526" s="12"/>
      <c r="D526" s="35">
        <f>E526/K$2</f>
        <v>17.18756149924349</v>
      </c>
      <c r="E526" s="492">
        <v>2000000</v>
      </c>
      <c r="F526" s="493">
        <f t="shared" ref="F526:H526" si="191">SUM(F527:F528)</f>
        <v>0</v>
      </c>
      <c r="G526" s="493">
        <f t="shared" si="191"/>
        <v>0</v>
      </c>
      <c r="H526" s="493">
        <f t="shared" si="191"/>
        <v>0</v>
      </c>
      <c r="I526" s="500"/>
      <c r="J526" s="495">
        <f t="shared" ref="J526" si="192">G526-D526</f>
        <v>-17.18756149924349</v>
      </c>
      <c r="K526" s="525"/>
    </row>
    <row r="527" spans="1:11" s="484" customFormat="1" ht="12.75" outlineLevel="4" collapsed="1">
      <c r="A527" s="538"/>
      <c r="B527" s="11"/>
      <c r="C527" s="12"/>
      <c r="D527" s="35"/>
      <c r="E527" s="492"/>
      <c r="F527" s="492"/>
      <c r="G527" s="494"/>
      <c r="H527" s="492"/>
      <c r="I527" s="500"/>
      <c r="J527" s="495"/>
      <c r="K527" s="525"/>
    </row>
    <row r="528" spans="1:11" s="484" customFormat="1" ht="12.75" outlineLevel="4">
      <c r="A528" s="538"/>
      <c r="B528" s="11"/>
      <c r="C528" s="12"/>
      <c r="D528" s="35"/>
      <c r="E528" s="492"/>
      <c r="F528" s="492"/>
      <c r="G528" s="494"/>
      <c r="H528" s="492"/>
      <c r="I528" s="500"/>
      <c r="J528" s="495"/>
      <c r="K528" s="525"/>
    </row>
    <row r="529" spans="1:11" s="484" customFormat="1" ht="12.75" outlineLevel="3">
      <c r="A529" s="15"/>
      <c r="B529" s="11" t="s">
        <v>816</v>
      </c>
      <c r="C529" s="12"/>
      <c r="D529" s="35">
        <f>E529/K$2</f>
        <v>5.1562684497730471</v>
      </c>
      <c r="E529" s="492">
        <v>600000</v>
      </c>
      <c r="F529" s="493">
        <f>SUM(F530:F531)</f>
        <v>100000</v>
      </c>
      <c r="G529" s="493">
        <f t="shared" ref="G529:H529" si="193">SUM(G530:G531)</f>
        <v>0.85937807496217444</v>
      </c>
      <c r="H529" s="493">
        <f t="shared" ca="1" si="193"/>
        <v>100000</v>
      </c>
      <c r="I529" s="500"/>
      <c r="J529" s="495">
        <f>G529-D529</f>
        <v>-4.2968903748108724</v>
      </c>
      <c r="K529" s="525"/>
    </row>
    <row r="530" spans="1:11" s="484" customFormat="1" ht="12.75" outlineLevel="2">
      <c r="A530" s="511" t="s">
        <v>117</v>
      </c>
      <c r="B530" s="8" t="str">
        <f>IF(A530&lt;&gt;0,VLOOKUP(A530,合同台帐!$A$4:$D$893,4,1),"")</f>
        <v>维修改建工程（集团办公室精装）</v>
      </c>
      <c r="C530" s="9"/>
      <c r="D530" s="10"/>
      <c r="E530" s="486"/>
      <c r="F530" s="487">
        <f>IF(A530&lt;&gt;0,VLOOKUP(A530,合同台帐!$A$4:$J$893,6,1),"")</f>
        <v>100000</v>
      </c>
      <c r="G530" s="488">
        <f>F530/K2</f>
        <v>0.85937807496217444</v>
      </c>
      <c r="H530" s="486">
        <f ca="1">IF(A530&lt;&gt;0,IF($H$2="元",VLOOKUP(A530,合同台帐!$A$4:$K$1093,11,1),VLOOKUP(A530,合同台帐!$A$4:$K$1093,11,1)),0)</f>
        <v>100000</v>
      </c>
      <c r="I530" s="487"/>
      <c r="J530" s="489"/>
      <c r="K530" s="490"/>
    </row>
    <row r="531" spans="1:11" s="484" customFormat="1" ht="12.75" outlineLevel="4">
      <c r="A531" s="539"/>
      <c r="B531" s="11"/>
      <c r="C531" s="12"/>
      <c r="D531" s="35"/>
      <c r="E531" s="492"/>
      <c r="F531" s="492"/>
      <c r="G531" s="494"/>
      <c r="H531" s="492"/>
      <c r="I531" s="500"/>
      <c r="J531" s="495"/>
      <c r="K531" s="525"/>
    </row>
    <row r="532" spans="1:11" s="484" customFormat="1" ht="18.75" customHeight="1" outlineLevel="3">
      <c r="A532" s="15"/>
      <c r="B532" s="11" t="s">
        <v>817</v>
      </c>
      <c r="C532" s="12"/>
      <c r="D532" s="35">
        <f>E532/K$2</f>
        <v>12.998952761877851</v>
      </c>
      <c r="E532" s="492">
        <v>1512600</v>
      </c>
      <c r="F532" s="493">
        <f t="shared" ref="F532:H532" si="194">SUM(F533:F534)</f>
        <v>100000</v>
      </c>
      <c r="G532" s="493">
        <f t="shared" si="194"/>
        <v>0.85937807496217444</v>
      </c>
      <c r="H532" s="493">
        <f t="shared" ca="1" si="194"/>
        <v>100000</v>
      </c>
      <c r="I532" s="500"/>
      <c r="J532" s="495">
        <f>G532-D532</f>
        <v>-12.139574686915676</v>
      </c>
      <c r="K532" s="525"/>
    </row>
    <row r="533" spans="1:11" s="484" customFormat="1" ht="12.75" outlineLevel="2">
      <c r="A533" s="511" t="s">
        <v>117</v>
      </c>
      <c r="B533" s="8" t="str">
        <f>IF(A533&lt;&gt;0,VLOOKUP(A533,合同台帐!$A$4:$D$893,4,1),"")</f>
        <v>维修改建工程（集团办公室精装）</v>
      </c>
      <c r="C533" s="9"/>
      <c r="D533" s="10"/>
      <c r="E533" s="486"/>
      <c r="F533" s="487">
        <f>IF(A533&lt;&gt;0,VLOOKUP(A533,合同台帐!$A$4:$J$893,6,1),"")</f>
        <v>100000</v>
      </c>
      <c r="G533" s="488">
        <f>F533/K2</f>
        <v>0.85937807496217444</v>
      </c>
      <c r="H533" s="486">
        <f ca="1">IF(A533&lt;&gt;0,IF($H$2="元",VLOOKUP(A533,合同台帐!$A$4:$K$1093,11,1),VLOOKUP(A533,合同台帐!$A$4:$K$1093,11,1)),0)</f>
        <v>100000</v>
      </c>
      <c r="I533" s="487"/>
      <c r="J533" s="489"/>
      <c r="K533" s="490"/>
    </row>
    <row r="534" spans="1:11" s="484" customFormat="1" ht="12.75" outlineLevel="4">
      <c r="A534" s="539"/>
      <c r="B534" s="11"/>
      <c r="C534" s="12"/>
      <c r="D534" s="35"/>
      <c r="E534" s="492"/>
      <c r="F534" s="492"/>
      <c r="G534" s="494"/>
      <c r="H534" s="492"/>
      <c r="I534" s="500"/>
      <c r="J534" s="495"/>
      <c r="K534" s="525"/>
    </row>
    <row r="535" spans="1:11" s="484" customFormat="1" ht="12.75" outlineLevel="2">
      <c r="A535" s="15"/>
      <c r="B535" s="16" t="s">
        <v>818</v>
      </c>
      <c r="C535" s="12"/>
      <c r="D535" s="35">
        <f>E535/K$2*10000</f>
        <v>150.7194111678931</v>
      </c>
      <c r="E535" s="492">
        <f>17538196/10000</f>
        <v>1753.8196</v>
      </c>
      <c r="F535" s="493">
        <f>F536+F539+F542</f>
        <v>0</v>
      </c>
      <c r="G535" s="493">
        <f t="shared" ref="G535:H535" si="195">G536+G539+G542</f>
        <v>0</v>
      </c>
      <c r="H535" s="493">
        <f t="shared" si="195"/>
        <v>0</v>
      </c>
      <c r="I535" s="500">
        <f>F535-E535</f>
        <v>-1753.8196</v>
      </c>
      <c r="J535" s="495">
        <f t="shared" ref="J535:J536" si="196">G535-D535</f>
        <v>-150.7194111678931</v>
      </c>
      <c r="K535" s="525"/>
    </row>
    <row r="536" spans="1:11" s="484" customFormat="1" ht="12.75" outlineLevel="3">
      <c r="A536" s="15"/>
      <c r="B536" s="11" t="s">
        <v>819</v>
      </c>
      <c r="C536" s="12"/>
      <c r="D536" s="35">
        <f>E536/K$2</f>
        <v>133.05712922004048</v>
      </c>
      <c r="E536" s="492">
        <v>15482956</v>
      </c>
      <c r="F536" s="493">
        <f t="shared" ref="F536:H536" si="197">SUM(F537:F538)</f>
        <v>0</v>
      </c>
      <c r="G536" s="493">
        <f t="shared" si="197"/>
        <v>0</v>
      </c>
      <c r="H536" s="493">
        <f t="shared" si="197"/>
        <v>0</v>
      </c>
      <c r="I536" s="503"/>
      <c r="J536" s="495">
        <f t="shared" si="196"/>
        <v>-133.05712922004048</v>
      </c>
      <c r="K536" s="525"/>
    </row>
    <row r="537" spans="1:11" s="484" customFormat="1" ht="12.75" outlineLevel="4">
      <c r="A537" s="539"/>
      <c r="B537" s="11"/>
      <c r="C537" s="12"/>
      <c r="D537" s="35"/>
      <c r="E537" s="492"/>
      <c r="F537" s="492"/>
      <c r="G537" s="494"/>
      <c r="H537" s="492"/>
      <c r="I537" s="500"/>
      <c r="J537" s="495"/>
      <c r="K537" s="525"/>
    </row>
    <row r="538" spans="1:11" s="484" customFormat="1" ht="12.75" outlineLevel="4">
      <c r="A538" s="539"/>
      <c r="B538" s="11"/>
      <c r="C538" s="12"/>
      <c r="D538" s="35"/>
      <c r="E538" s="492"/>
      <c r="F538" s="492"/>
      <c r="G538" s="494"/>
      <c r="H538" s="492"/>
      <c r="I538" s="500"/>
      <c r="J538" s="495"/>
      <c r="K538" s="525"/>
    </row>
    <row r="539" spans="1:11" s="484" customFormat="1" ht="12.75" outlineLevel="3">
      <c r="A539" s="15"/>
      <c r="B539" s="11" t="s">
        <v>820</v>
      </c>
      <c r="C539" s="12"/>
      <c r="D539" s="35">
        <f>E539/K$2</f>
        <v>17.662281947852595</v>
      </c>
      <c r="E539" s="492">
        <v>2055240</v>
      </c>
      <c r="F539" s="493">
        <f t="shared" ref="F539:H539" si="198">SUM(F540:F541)</f>
        <v>0</v>
      </c>
      <c r="G539" s="493">
        <f t="shared" si="198"/>
        <v>0</v>
      </c>
      <c r="H539" s="493">
        <f t="shared" si="198"/>
        <v>0</v>
      </c>
      <c r="I539" s="503"/>
      <c r="J539" s="495">
        <f>G539-D539</f>
        <v>-17.662281947852595</v>
      </c>
      <c r="K539" s="525"/>
    </row>
    <row r="540" spans="1:11" s="484" customFormat="1" ht="12.75" outlineLevel="4">
      <c r="A540" s="18"/>
      <c r="B540" s="11"/>
      <c r="C540" s="12"/>
      <c r="D540" s="35"/>
      <c r="E540" s="492"/>
      <c r="F540" s="492"/>
      <c r="G540" s="494"/>
      <c r="H540" s="492"/>
      <c r="I540" s="503"/>
      <c r="J540" s="495"/>
      <c r="K540" s="525"/>
    </row>
    <row r="541" spans="1:11" s="484" customFormat="1" ht="12.75" outlineLevel="4">
      <c r="A541" s="18"/>
      <c r="B541" s="11"/>
      <c r="C541" s="12"/>
      <c r="D541" s="35"/>
      <c r="E541" s="492"/>
      <c r="F541" s="492"/>
      <c r="G541" s="494"/>
      <c r="H541" s="492"/>
      <c r="I541" s="503"/>
      <c r="J541" s="495"/>
      <c r="K541" s="525"/>
    </row>
    <row r="542" spans="1:11" s="484" customFormat="1" ht="12.75" outlineLevel="3">
      <c r="A542" s="15"/>
      <c r="B542" s="11" t="s">
        <v>821</v>
      </c>
      <c r="C542" s="12"/>
      <c r="D542" s="35">
        <f>E542/K$2</f>
        <v>17.662281947852595</v>
      </c>
      <c r="E542" s="492">
        <v>2055240</v>
      </c>
      <c r="F542" s="493">
        <f>SUM(F544:F547)</f>
        <v>0</v>
      </c>
      <c r="G542" s="493">
        <f t="shared" ref="G542:H542" si="199">SUM(G544:G547)</f>
        <v>0</v>
      </c>
      <c r="H542" s="493">
        <f t="shared" si="199"/>
        <v>0</v>
      </c>
      <c r="I542" s="503"/>
      <c r="J542" s="495">
        <f>G542-D542</f>
        <v>-17.662281947852595</v>
      </c>
      <c r="K542" s="525"/>
    </row>
    <row r="543" spans="1:11" s="484" customFormat="1" ht="12.75" outlineLevel="3">
      <c r="A543" s="15"/>
      <c r="B543" s="11"/>
      <c r="C543" s="12"/>
      <c r="D543" s="35"/>
      <c r="E543" s="492"/>
      <c r="F543" s="516"/>
      <c r="G543" s="500"/>
      <c r="H543" s="516"/>
      <c r="I543" s="503"/>
      <c r="J543" s="495"/>
      <c r="K543" s="525"/>
    </row>
    <row r="544" spans="1:11" s="484" customFormat="1" ht="12.75" outlineLevel="4">
      <c r="A544" s="18"/>
      <c r="B544" s="11"/>
      <c r="C544" s="12"/>
      <c r="D544" s="35"/>
      <c r="E544" s="492"/>
      <c r="F544" s="492"/>
      <c r="G544" s="494"/>
      <c r="H544" s="492"/>
      <c r="I544" s="503"/>
      <c r="J544" s="495"/>
      <c r="K544" s="525"/>
    </row>
    <row r="545" spans="1:11" s="484" customFormat="1" ht="12.75" outlineLevel="4">
      <c r="A545" s="18"/>
      <c r="B545" s="11" t="s">
        <v>822</v>
      </c>
      <c r="C545" s="12"/>
      <c r="D545" s="35"/>
      <c r="E545" s="492"/>
      <c r="F545" s="492"/>
      <c r="G545" s="494"/>
      <c r="H545" s="492"/>
      <c r="I545" s="503"/>
      <c r="J545" s="495"/>
      <c r="K545" s="525"/>
    </row>
    <row r="546" spans="1:11" s="484" customFormat="1" ht="12.75" outlineLevel="4">
      <c r="A546" s="18"/>
      <c r="B546" s="11"/>
      <c r="C546" s="12"/>
      <c r="D546" s="35"/>
      <c r="E546" s="492"/>
      <c r="F546" s="492"/>
      <c r="G546" s="494"/>
      <c r="H546" s="492"/>
      <c r="I546" s="503"/>
      <c r="J546" s="495"/>
      <c r="K546" s="525"/>
    </row>
    <row r="547" spans="1:11" s="484" customFormat="1" ht="12.75" outlineLevel="4">
      <c r="A547" s="18"/>
      <c r="B547" s="11"/>
      <c r="C547" s="12"/>
      <c r="D547" s="35"/>
      <c r="E547" s="492"/>
      <c r="F547" s="492"/>
      <c r="G547" s="494"/>
      <c r="H547" s="492"/>
      <c r="I547" s="503"/>
      <c r="J547" s="495"/>
      <c r="K547" s="525"/>
    </row>
    <row r="548" spans="1:11" s="537" customFormat="1" ht="12.75" outlineLevel="1">
      <c r="A548" s="15"/>
      <c r="B548" s="16" t="s">
        <v>823</v>
      </c>
      <c r="C548" s="17"/>
      <c r="D548" s="35">
        <f>E548/K$2*10000</f>
        <v>209.56106233567616</v>
      </c>
      <c r="E548" s="523">
        <v>2438.52</v>
      </c>
      <c r="F548" s="523">
        <f>F549+F557+F565+F571+F574+F582+F590</f>
        <v>0</v>
      </c>
      <c r="G548" s="523">
        <f>G549+G557+G565+G571+G574+G582+G590</f>
        <v>0</v>
      </c>
      <c r="H548" s="523">
        <f>H549+H557+H565+H571+H574+H582+H590+H598</f>
        <v>3509171.7</v>
      </c>
      <c r="I548" s="535">
        <f>F548-E548*10000</f>
        <v>-24385200</v>
      </c>
      <c r="J548" s="495">
        <f>G548-D548</f>
        <v>-209.56106233567616</v>
      </c>
      <c r="K548" s="536"/>
    </row>
    <row r="549" spans="1:11" s="484" customFormat="1" ht="12.75" outlineLevel="2">
      <c r="A549" s="15"/>
      <c r="B549" s="16" t="s">
        <v>824</v>
      </c>
      <c r="C549" s="12"/>
      <c r="D549" s="35">
        <f>E549/K$2*10000</f>
        <v>150.7194111678931</v>
      </c>
      <c r="E549" s="492">
        <f>17538196/10000</f>
        <v>1753.8196</v>
      </c>
      <c r="F549" s="493">
        <f>F557+F565</f>
        <v>0</v>
      </c>
      <c r="G549" s="493">
        <f>G557+G565</f>
        <v>0</v>
      </c>
      <c r="H549" s="540">
        <f>SUM(H550:H556)</f>
        <v>1642173.1</v>
      </c>
      <c r="I549" s="500">
        <f>F549-E549</f>
        <v>-1753.8196</v>
      </c>
      <c r="J549" s="495">
        <f>G549-D549</f>
        <v>-150.7194111678931</v>
      </c>
      <c r="K549" s="525"/>
    </row>
    <row r="550" spans="1:11" s="484" customFormat="1" ht="12.75" outlineLevel="3">
      <c r="A550" s="15"/>
      <c r="B550" s="11" t="s">
        <v>825</v>
      </c>
      <c r="C550" s="12"/>
      <c r="D550" s="35"/>
      <c r="E550" s="492"/>
      <c r="F550" s="493"/>
      <c r="G550" s="493"/>
      <c r="H550" s="493">
        <v>394489.05</v>
      </c>
      <c r="I550" s="500"/>
      <c r="J550" s="495"/>
      <c r="K550" s="525"/>
    </row>
    <row r="551" spans="1:11" s="484" customFormat="1" ht="12.75" outlineLevel="3">
      <c r="A551" s="15"/>
      <c r="B551" s="11" t="s">
        <v>826</v>
      </c>
      <c r="C551" s="12"/>
      <c r="D551" s="35"/>
      <c r="E551" s="492"/>
      <c r="F551" s="493"/>
      <c r="G551" s="493"/>
      <c r="H551" s="493">
        <v>163416.85999999999</v>
      </c>
      <c r="I551" s="500"/>
      <c r="J551" s="495"/>
      <c r="K551" s="525"/>
    </row>
    <row r="552" spans="1:11" s="484" customFormat="1" ht="12.75" outlineLevel="3">
      <c r="A552" s="15"/>
      <c r="B552" s="11" t="s">
        <v>827</v>
      </c>
      <c r="C552" s="12"/>
      <c r="D552" s="35"/>
      <c r="E552" s="492"/>
      <c r="F552" s="493"/>
      <c r="G552" s="493"/>
      <c r="H552" s="516">
        <v>169560.59</v>
      </c>
      <c r="I552" s="500"/>
      <c r="J552" s="495"/>
      <c r="K552" s="525"/>
    </row>
    <row r="553" spans="1:11" s="484" customFormat="1" ht="12.75" outlineLevel="3">
      <c r="A553" s="15"/>
      <c r="B553" s="11" t="s">
        <v>828</v>
      </c>
      <c r="C553" s="12"/>
      <c r="D553" s="35"/>
      <c r="E553" s="492"/>
      <c r="F553" s="493"/>
      <c r="G553" s="493"/>
      <c r="H553" s="516">
        <v>350200</v>
      </c>
      <c r="I553" s="500"/>
      <c r="J553" s="495"/>
      <c r="K553" s="525"/>
    </row>
    <row r="554" spans="1:11" s="484" customFormat="1" ht="12.75" outlineLevel="3">
      <c r="A554" s="15"/>
      <c r="B554" s="11" t="s">
        <v>829</v>
      </c>
      <c r="C554" s="12"/>
      <c r="D554" s="35"/>
      <c r="E554" s="492"/>
      <c r="F554" s="493"/>
      <c r="G554" s="493"/>
      <c r="H554" s="516">
        <v>211400</v>
      </c>
      <c r="I554" s="500"/>
      <c r="J554" s="495"/>
      <c r="K554" s="525"/>
    </row>
    <row r="555" spans="1:11" s="484" customFormat="1" ht="12.75" outlineLevel="3">
      <c r="A555" s="15"/>
      <c r="B555" s="11" t="s">
        <v>830</v>
      </c>
      <c r="C555" s="12"/>
      <c r="D555" s="35"/>
      <c r="E555" s="492"/>
      <c r="F555" s="493"/>
      <c r="G555" s="493"/>
      <c r="H555" s="516">
        <v>181491.51</v>
      </c>
      <c r="I555" s="500"/>
      <c r="J555" s="495"/>
      <c r="K555" s="525"/>
    </row>
    <row r="556" spans="1:11" s="484" customFormat="1" ht="12.75" outlineLevel="3">
      <c r="A556" s="15"/>
      <c r="B556" s="11" t="s">
        <v>831</v>
      </c>
      <c r="C556" s="12"/>
      <c r="D556" s="35"/>
      <c r="E556" s="492"/>
      <c r="F556" s="493"/>
      <c r="G556" s="493"/>
      <c r="H556" s="516">
        <v>171615.09</v>
      </c>
      <c r="I556" s="500"/>
      <c r="J556" s="495"/>
      <c r="K556" s="525"/>
    </row>
    <row r="557" spans="1:11" s="484" customFormat="1" ht="12.75" outlineLevel="2">
      <c r="A557" s="15"/>
      <c r="B557" s="16" t="s">
        <v>832</v>
      </c>
      <c r="C557" s="12"/>
      <c r="D557" s="35">
        <f>E557/K$2*10000</f>
        <v>150.7194111678931</v>
      </c>
      <c r="E557" s="492">
        <f>17538196/10000</f>
        <v>1753.8196</v>
      </c>
      <c r="F557" s="493">
        <f>F558+F566</f>
        <v>0</v>
      </c>
      <c r="G557" s="493">
        <f>G558+G566</f>
        <v>0</v>
      </c>
      <c r="H557" s="540">
        <f>SUM(H558:H564)</f>
        <v>88715.85000000002</v>
      </c>
      <c r="I557" s="500">
        <f>F557-E557</f>
        <v>-1753.8196</v>
      </c>
      <c r="J557" s="495">
        <f>G557-D557</f>
        <v>-150.7194111678931</v>
      </c>
      <c r="K557" s="525"/>
    </row>
    <row r="558" spans="1:11" s="484" customFormat="1" ht="12.75" outlineLevel="3">
      <c r="A558" s="539"/>
      <c r="B558" s="11" t="s">
        <v>825</v>
      </c>
      <c r="C558" s="12"/>
      <c r="D558" s="35"/>
      <c r="E558" s="492"/>
      <c r="F558" s="492"/>
      <c r="G558" s="494"/>
      <c r="H558" s="493">
        <v>28642.5</v>
      </c>
      <c r="I558" s="500"/>
      <c r="J558" s="495"/>
      <c r="K558" s="525"/>
    </row>
    <row r="559" spans="1:11" s="484" customFormat="1" ht="12.75" outlineLevel="3">
      <c r="A559" s="539"/>
      <c r="B559" s="11" t="s">
        <v>826</v>
      </c>
      <c r="C559" s="12"/>
      <c r="D559" s="35"/>
      <c r="E559" s="492"/>
      <c r="F559" s="492"/>
      <c r="G559" s="494"/>
      <c r="H559" s="493">
        <v>20886.8</v>
      </c>
      <c r="I559" s="500"/>
      <c r="J559" s="495"/>
      <c r="K559" s="525"/>
    </row>
    <row r="560" spans="1:11" s="484" customFormat="1" ht="12.75" outlineLevel="3">
      <c r="A560" s="539"/>
      <c r="B560" s="11" t="s">
        <v>827</v>
      </c>
      <c r="C560" s="12"/>
      <c r="D560" s="35"/>
      <c r="E560" s="492"/>
      <c r="F560" s="516"/>
      <c r="G560" s="500"/>
      <c r="H560" s="516">
        <v>7083.65</v>
      </c>
      <c r="I560" s="500"/>
      <c r="J560" s="495"/>
      <c r="K560" s="525"/>
    </row>
    <row r="561" spans="1:11" s="484" customFormat="1" ht="12.75" outlineLevel="3">
      <c r="A561" s="539"/>
      <c r="B561" s="11" t="s">
        <v>828</v>
      </c>
      <c r="C561" s="12"/>
      <c r="D561" s="35"/>
      <c r="E561" s="492"/>
      <c r="F561" s="516"/>
      <c r="G561" s="500"/>
      <c r="H561" s="516">
        <v>26300</v>
      </c>
      <c r="I561" s="500"/>
      <c r="J561" s="495"/>
      <c r="K561" s="525"/>
    </row>
    <row r="562" spans="1:11" s="484" customFormat="1" ht="12.75" outlineLevel="3">
      <c r="A562" s="539"/>
      <c r="B562" s="11" t="s">
        <v>829</v>
      </c>
      <c r="C562" s="12"/>
      <c r="D562" s="35"/>
      <c r="E562" s="492"/>
      <c r="F562" s="516"/>
      <c r="G562" s="500"/>
      <c r="H562" s="516">
        <v>2300</v>
      </c>
      <c r="I562" s="500"/>
      <c r="J562" s="495"/>
      <c r="K562" s="525"/>
    </row>
    <row r="563" spans="1:11" s="484" customFormat="1" ht="12.75" outlineLevel="3">
      <c r="A563" s="539"/>
      <c r="B563" s="11" t="s">
        <v>830</v>
      </c>
      <c r="C563" s="12"/>
      <c r="D563" s="35"/>
      <c r="E563" s="492"/>
      <c r="F563" s="516"/>
      <c r="G563" s="500"/>
      <c r="H563" s="516">
        <v>1779.3</v>
      </c>
      <c r="I563" s="500"/>
      <c r="J563" s="495"/>
      <c r="K563" s="525"/>
    </row>
    <row r="564" spans="1:11" s="484" customFormat="1" ht="12.75" outlineLevel="3">
      <c r="A564" s="539"/>
      <c r="B564" s="11" t="s">
        <v>831</v>
      </c>
      <c r="C564" s="12"/>
      <c r="D564" s="35"/>
      <c r="E564" s="492"/>
      <c r="F564" s="516"/>
      <c r="G564" s="500"/>
      <c r="H564" s="516">
        <v>1723.6</v>
      </c>
      <c r="I564" s="500"/>
      <c r="J564" s="495"/>
      <c r="K564" s="525"/>
    </row>
    <row r="565" spans="1:11" s="484" customFormat="1" ht="12.75" outlineLevel="2">
      <c r="A565" s="15"/>
      <c r="B565" s="16" t="s">
        <v>833</v>
      </c>
      <c r="C565" s="12"/>
      <c r="D565" s="35">
        <f>E565/K$2*10000</f>
        <v>150.7194111678931</v>
      </c>
      <c r="E565" s="492">
        <f>17538196/10000</f>
        <v>1753.8196</v>
      </c>
      <c r="F565" s="493">
        <f>F566+F572</f>
        <v>0</v>
      </c>
      <c r="G565" s="493">
        <f>G566+G572</f>
        <v>0</v>
      </c>
      <c r="H565" s="540">
        <f>SUM(H566:H570)</f>
        <v>202385.45</v>
      </c>
      <c r="I565" s="500">
        <f>F565-E565</f>
        <v>-1753.8196</v>
      </c>
      <c r="J565" s="495">
        <f>G565-D565</f>
        <v>-150.7194111678931</v>
      </c>
      <c r="K565" s="525"/>
    </row>
    <row r="566" spans="1:11" s="484" customFormat="1" ht="13.5" customHeight="1" outlineLevel="3">
      <c r="A566" s="18"/>
      <c r="B566" s="11" t="s">
        <v>825</v>
      </c>
      <c r="C566" s="12"/>
      <c r="D566" s="35"/>
      <c r="E566" s="492"/>
      <c r="F566" s="492"/>
      <c r="G566" s="494"/>
      <c r="H566" s="493">
        <v>118886.45</v>
      </c>
      <c r="I566" s="503"/>
      <c r="J566" s="495"/>
      <c r="K566" s="525"/>
    </row>
    <row r="567" spans="1:11" s="484" customFormat="1" ht="12.75" outlineLevel="3">
      <c r="A567" s="18"/>
      <c r="B567" s="11" t="s">
        <v>826</v>
      </c>
      <c r="C567" s="12"/>
      <c r="D567" s="35"/>
      <c r="E567" s="492"/>
      <c r="F567" s="492"/>
      <c r="G567" s="494"/>
      <c r="H567" s="493">
        <v>5970</v>
      </c>
      <c r="I567" s="503"/>
      <c r="J567" s="495"/>
      <c r="K567" s="525"/>
    </row>
    <row r="568" spans="1:11" s="484" customFormat="1" ht="12.75" outlineLevel="3">
      <c r="A568" s="18"/>
      <c r="B568" s="11" t="s">
        <v>827</v>
      </c>
      <c r="C568" s="12"/>
      <c r="D568" s="35"/>
      <c r="E568" s="492"/>
      <c r="F568" s="516"/>
      <c r="G568" s="500"/>
      <c r="H568" s="516">
        <v>47800</v>
      </c>
      <c r="I568" s="503"/>
      <c r="J568" s="495"/>
      <c r="K568" s="525"/>
    </row>
    <row r="569" spans="1:11" s="484" customFormat="1" ht="12.75" outlineLevel="3">
      <c r="A569" s="18"/>
      <c r="B569" s="11" t="s">
        <v>830</v>
      </c>
      <c r="C569" s="12"/>
      <c r="D569" s="35"/>
      <c r="E569" s="492"/>
      <c r="F569" s="516"/>
      <c r="G569" s="500"/>
      <c r="H569" s="516">
        <v>26281</v>
      </c>
      <c r="I569" s="503"/>
      <c r="J569" s="495"/>
      <c r="K569" s="525"/>
    </row>
    <row r="570" spans="1:11" s="484" customFormat="1" ht="12.75" outlineLevel="3">
      <c r="A570" s="18"/>
      <c r="B570" s="11" t="s">
        <v>831</v>
      </c>
      <c r="C570" s="12"/>
      <c r="D570" s="35"/>
      <c r="E570" s="492"/>
      <c r="F570" s="516"/>
      <c r="G570" s="500"/>
      <c r="H570" s="516">
        <v>3448</v>
      </c>
      <c r="I570" s="503"/>
      <c r="J570" s="495"/>
      <c r="K570" s="525"/>
    </row>
    <row r="571" spans="1:11" s="484" customFormat="1" ht="12.75" outlineLevel="2">
      <c r="A571" s="15"/>
      <c r="B571" s="16" t="s">
        <v>834</v>
      </c>
      <c r="C571" s="12"/>
      <c r="D571" s="35">
        <f>E571/K$2*10000</f>
        <v>150.7194111678931</v>
      </c>
      <c r="E571" s="492">
        <f>17538196/10000</f>
        <v>1753.8196</v>
      </c>
      <c r="F571" s="493">
        <f>F572</f>
        <v>0</v>
      </c>
      <c r="G571" s="493">
        <f>G572</f>
        <v>0</v>
      </c>
      <c r="H571" s="540">
        <f>SUM(H572:H573)</f>
        <v>752071.96</v>
      </c>
      <c r="I571" s="500">
        <f>F571-E571</f>
        <v>-1753.8196</v>
      </c>
      <c r="J571" s="495">
        <f>G571-D571</f>
        <v>-150.7194111678931</v>
      </c>
      <c r="K571" s="525"/>
    </row>
    <row r="572" spans="1:11" s="484" customFormat="1" ht="12.75" outlineLevel="3">
      <c r="A572" s="18"/>
      <c r="B572" s="11" t="s">
        <v>825</v>
      </c>
      <c r="C572" s="12"/>
      <c r="D572" s="35"/>
      <c r="E572" s="492"/>
      <c r="F572" s="492"/>
      <c r="G572" s="494"/>
      <c r="H572" s="493">
        <v>750693.96</v>
      </c>
      <c r="I572" s="503"/>
      <c r="J572" s="495"/>
      <c r="K572" s="525"/>
    </row>
    <row r="573" spans="1:11" s="484" customFormat="1" ht="12.75" outlineLevel="3">
      <c r="A573" s="18"/>
      <c r="B573" s="11" t="s">
        <v>830</v>
      </c>
      <c r="C573" s="12"/>
      <c r="D573" s="35"/>
      <c r="E573" s="492"/>
      <c r="F573" s="516"/>
      <c r="G573" s="500"/>
      <c r="H573" s="516">
        <v>1378</v>
      </c>
      <c r="I573" s="503"/>
      <c r="J573" s="495"/>
      <c r="K573" s="525"/>
    </row>
    <row r="574" spans="1:11" s="484" customFormat="1" ht="12.75" outlineLevel="2">
      <c r="A574" s="15"/>
      <c r="B574" s="16" t="s">
        <v>835</v>
      </c>
      <c r="C574" s="12"/>
      <c r="D574" s="35">
        <f>E574/K$2*10000</f>
        <v>150.7194111678931</v>
      </c>
      <c r="E574" s="492">
        <f>17538196/10000</f>
        <v>1753.8196</v>
      </c>
      <c r="F574" s="493">
        <f>F575+F576</f>
        <v>0</v>
      </c>
      <c r="G574" s="493">
        <f t="shared" ref="G574" si="200">G575+G576</f>
        <v>0</v>
      </c>
      <c r="H574" s="540">
        <f>SUM(H575:H581)</f>
        <v>433552.64000000001</v>
      </c>
      <c r="I574" s="500">
        <f>F574-E574</f>
        <v>-1753.8196</v>
      </c>
      <c r="J574" s="495">
        <f>G574-D574</f>
        <v>-150.7194111678931</v>
      </c>
      <c r="K574" s="525"/>
    </row>
    <row r="575" spans="1:11" s="484" customFormat="1" ht="12.75" outlineLevel="3">
      <c r="A575" s="18"/>
      <c r="B575" s="11" t="s">
        <v>825</v>
      </c>
      <c r="C575" s="12"/>
      <c r="D575" s="35"/>
      <c r="E575" s="492"/>
      <c r="F575" s="492"/>
      <c r="G575" s="494"/>
      <c r="H575" s="493">
        <v>137610.64000000001</v>
      </c>
      <c r="I575" s="503"/>
      <c r="J575" s="495"/>
      <c r="K575" s="525"/>
    </row>
    <row r="576" spans="1:11" s="484" customFormat="1" ht="12.75" outlineLevel="3">
      <c r="A576" s="18"/>
      <c r="B576" s="11" t="s">
        <v>826</v>
      </c>
      <c r="C576" s="12"/>
      <c r="D576" s="35"/>
      <c r="E576" s="492"/>
      <c r="F576" s="492"/>
      <c r="G576" s="494"/>
      <c r="H576" s="493">
        <v>28757.7</v>
      </c>
      <c r="I576" s="503"/>
      <c r="J576" s="495"/>
      <c r="K576" s="525"/>
    </row>
    <row r="577" spans="1:11" s="484" customFormat="1" ht="12.75" outlineLevel="3">
      <c r="A577" s="18"/>
      <c r="B577" s="11" t="s">
        <v>827</v>
      </c>
      <c r="C577" s="12"/>
      <c r="D577" s="35"/>
      <c r="E577" s="492"/>
      <c r="F577" s="516"/>
      <c r="G577" s="500"/>
      <c r="H577" s="516">
        <v>69647.8</v>
      </c>
      <c r="I577" s="503"/>
      <c r="J577" s="495"/>
      <c r="K577" s="525"/>
    </row>
    <row r="578" spans="1:11" s="484" customFormat="1" ht="12.75" outlineLevel="3">
      <c r="A578" s="18"/>
      <c r="B578" s="11" t="s">
        <v>828</v>
      </c>
      <c r="C578" s="12"/>
      <c r="D578" s="35"/>
      <c r="E578" s="492"/>
      <c r="F578" s="516"/>
      <c r="G578" s="516"/>
      <c r="H578" s="516">
        <v>118200</v>
      </c>
      <c r="I578" s="503"/>
      <c r="J578" s="495"/>
      <c r="K578" s="525"/>
    </row>
    <row r="579" spans="1:11" s="484" customFormat="1" ht="12.75" outlineLevel="3">
      <c r="A579" s="18"/>
      <c r="B579" s="11" t="s">
        <v>829</v>
      </c>
      <c r="C579" s="12"/>
      <c r="D579" s="35"/>
      <c r="E579" s="492"/>
      <c r="F579" s="516"/>
      <c r="G579" s="516"/>
      <c r="H579" s="516">
        <v>29500</v>
      </c>
      <c r="I579" s="503"/>
      <c r="J579" s="495"/>
      <c r="K579" s="525"/>
    </row>
    <row r="580" spans="1:11" s="484" customFormat="1" ht="12.75" outlineLevel="3">
      <c r="A580" s="18"/>
      <c r="B580" s="11" t="s">
        <v>830</v>
      </c>
      <c r="C580" s="12"/>
      <c r="D580" s="35"/>
      <c r="E580" s="492"/>
      <c r="F580" s="516"/>
      <c r="G580" s="516"/>
      <c r="H580" s="516">
        <v>25028.5</v>
      </c>
      <c r="I580" s="503"/>
      <c r="J580" s="495"/>
      <c r="K580" s="525"/>
    </row>
    <row r="581" spans="1:11" s="484" customFormat="1" ht="12.75" outlineLevel="3">
      <c r="A581" s="18"/>
      <c r="B581" s="11" t="s">
        <v>831</v>
      </c>
      <c r="C581" s="12"/>
      <c r="D581" s="35"/>
      <c r="E581" s="492"/>
      <c r="F581" s="516"/>
      <c r="G581" s="516"/>
      <c r="H581" s="516">
        <v>24808</v>
      </c>
      <c r="I581" s="503"/>
      <c r="J581" s="495"/>
      <c r="K581" s="525"/>
    </row>
    <row r="582" spans="1:11" s="484" customFormat="1" ht="12.75" outlineLevel="2">
      <c r="A582" s="15"/>
      <c r="B582" s="16" t="s">
        <v>836</v>
      </c>
      <c r="C582" s="12"/>
      <c r="D582" s="35">
        <f>E582/K$2*10000</f>
        <v>150.7194111678931</v>
      </c>
      <c r="E582" s="492">
        <f>17538196/10000</f>
        <v>1753.8196</v>
      </c>
      <c r="F582" s="540">
        <f>SUM(F583:F585)</f>
        <v>0</v>
      </c>
      <c r="G582" s="540">
        <f>SUM(G583:G585)</f>
        <v>0</v>
      </c>
      <c r="H582" s="540">
        <f>SUM(H583:H589)</f>
        <v>123127.15000000001</v>
      </c>
      <c r="I582" s="500">
        <f>F582-E582</f>
        <v>-1753.8196</v>
      </c>
      <c r="J582" s="495">
        <f>G582-D582</f>
        <v>-150.7194111678931</v>
      </c>
      <c r="K582" s="525"/>
    </row>
    <row r="583" spans="1:11" s="484" customFormat="1" ht="12.75" outlineLevel="3">
      <c r="A583" s="18"/>
      <c r="B583" s="11" t="s">
        <v>825</v>
      </c>
      <c r="C583" s="12"/>
      <c r="D583" s="35"/>
      <c r="E583" s="492"/>
      <c r="F583" s="492"/>
      <c r="G583" s="494"/>
      <c r="H583" s="493">
        <v>61037.1</v>
      </c>
      <c r="I583" s="503"/>
      <c r="J583" s="495"/>
      <c r="K583" s="525"/>
    </row>
    <row r="584" spans="1:11" s="484" customFormat="1" ht="12.75" outlineLevel="3">
      <c r="A584" s="18"/>
      <c r="B584" s="11" t="s">
        <v>826</v>
      </c>
      <c r="C584" s="12"/>
      <c r="D584" s="35"/>
      <c r="E584" s="492"/>
      <c r="F584" s="492"/>
      <c r="G584" s="494"/>
      <c r="H584" s="493">
        <v>8483.85</v>
      </c>
      <c r="I584" s="503"/>
      <c r="J584" s="495"/>
      <c r="K584" s="525"/>
    </row>
    <row r="585" spans="1:11" s="484" customFormat="1" ht="12.75" outlineLevel="3">
      <c r="A585" s="18"/>
      <c r="B585" s="11" t="s">
        <v>827</v>
      </c>
      <c r="C585" s="12"/>
      <c r="D585" s="35"/>
      <c r="E585" s="492"/>
      <c r="F585" s="516"/>
      <c r="G585" s="500"/>
      <c r="H585" s="516">
        <v>10776.35</v>
      </c>
      <c r="I585" s="503"/>
      <c r="J585" s="495"/>
      <c r="K585" s="525"/>
    </row>
    <row r="586" spans="1:11" s="484" customFormat="1" ht="12.75" outlineLevel="3">
      <c r="A586" s="18"/>
      <c r="B586" s="11" t="s">
        <v>828</v>
      </c>
      <c r="C586" s="12"/>
      <c r="D586" s="35"/>
      <c r="E586" s="492"/>
      <c r="F586" s="516"/>
      <c r="G586" s="516"/>
      <c r="H586" s="516">
        <v>8100</v>
      </c>
      <c r="I586" s="503"/>
      <c r="J586" s="495"/>
      <c r="K586" s="525"/>
    </row>
    <row r="587" spans="1:11" s="484" customFormat="1" ht="12.75" outlineLevel="3">
      <c r="A587" s="18"/>
      <c r="B587" s="11" t="s">
        <v>829</v>
      </c>
      <c r="C587" s="12"/>
      <c r="D587" s="35"/>
      <c r="E587" s="492"/>
      <c r="F587" s="516"/>
      <c r="G587" s="516"/>
      <c r="H587" s="516">
        <v>10300</v>
      </c>
      <c r="I587" s="503"/>
      <c r="J587" s="495"/>
      <c r="K587" s="525"/>
    </row>
    <row r="588" spans="1:11" s="484" customFormat="1" ht="12.75" outlineLevel="3">
      <c r="A588" s="18"/>
      <c r="B588" s="11" t="s">
        <v>830</v>
      </c>
      <c r="C588" s="12"/>
      <c r="D588" s="35"/>
      <c r="E588" s="492"/>
      <c r="F588" s="516"/>
      <c r="G588" s="516"/>
      <c r="H588" s="516">
        <v>11159.8</v>
      </c>
      <c r="I588" s="503"/>
      <c r="J588" s="495"/>
      <c r="K588" s="525"/>
    </row>
    <row r="589" spans="1:11" s="484" customFormat="1" ht="12.75" outlineLevel="3">
      <c r="A589" s="18"/>
      <c r="B589" s="11" t="s">
        <v>831</v>
      </c>
      <c r="C589" s="12"/>
      <c r="D589" s="35"/>
      <c r="E589" s="492"/>
      <c r="F589" s="516"/>
      <c r="G589" s="516"/>
      <c r="H589" s="516">
        <v>13270.05</v>
      </c>
      <c r="I589" s="503"/>
      <c r="J589" s="495"/>
      <c r="K589" s="525"/>
    </row>
    <row r="590" spans="1:11" s="537" customFormat="1" ht="12.75" outlineLevel="2">
      <c r="A590" s="15"/>
      <c r="B590" s="16" t="s">
        <v>837</v>
      </c>
      <c r="C590" s="17"/>
      <c r="D590" s="35">
        <f>E590/K$2*10000</f>
        <v>150.7194111678931</v>
      </c>
      <c r="E590" s="523">
        <f>17538196/10000</f>
        <v>1753.8196</v>
      </c>
      <c r="F590" s="541">
        <f t="shared" ref="F590:G590" si="201">SUM(F591:F593)</f>
        <v>0</v>
      </c>
      <c r="G590" s="541">
        <f t="shared" si="201"/>
        <v>0</v>
      </c>
      <c r="H590" s="541">
        <f>SUM(H591:H597)</f>
        <v>64534.71</v>
      </c>
      <c r="I590" s="501">
        <f>F590-E590</f>
        <v>-1753.8196</v>
      </c>
      <c r="J590" s="495">
        <f>G590-D590</f>
        <v>-150.7194111678931</v>
      </c>
      <c r="K590" s="536"/>
    </row>
    <row r="591" spans="1:11" s="484" customFormat="1" ht="12.75" outlineLevel="3">
      <c r="A591" s="18"/>
      <c r="B591" s="11" t="s">
        <v>825</v>
      </c>
      <c r="C591" s="12"/>
      <c r="D591" s="35"/>
      <c r="E591" s="492"/>
      <c r="F591" s="492"/>
      <c r="G591" s="494"/>
      <c r="H591" s="493">
        <v>41055.31</v>
      </c>
      <c r="I591" s="503"/>
      <c r="J591" s="495"/>
      <c r="K591" s="525"/>
    </row>
    <row r="592" spans="1:11" s="484" customFormat="1" ht="12.75" outlineLevel="3">
      <c r="A592" s="18"/>
      <c r="B592" s="11" t="s">
        <v>826</v>
      </c>
      <c r="C592" s="12"/>
      <c r="D592" s="35"/>
      <c r="E592" s="492"/>
      <c r="F592" s="492"/>
      <c r="G592" s="494"/>
      <c r="H592" s="493">
        <v>515</v>
      </c>
      <c r="I592" s="503"/>
      <c r="J592" s="495"/>
      <c r="K592" s="525"/>
    </row>
    <row r="593" spans="1:11" s="484" customFormat="1" ht="12.75" outlineLevel="3">
      <c r="A593" s="18"/>
      <c r="B593" s="11" t="s">
        <v>827</v>
      </c>
      <c r="C593" s="12"/>
      <c r="D593" s="35"/>
      <c r="E593" s="492"/>
      <c r="F593" s="492"/>
      <c r="G593" s="500"/>
      <c r="H593" s="493">
        <v>2268.4</v>
      </c>
      <c r="I593" s="503"/>
      <c r="J593" s="495"/>
      <c r="K593" s="525"/>
    </row>
    <row r="594" spans="1:11" s="484" customFormat="1" ht="12.75" outlineLevel="3">
      <c r="A594" s="18"/>
      <c r="B594" s="11" t="s">
        <v>828</v>
      </c>
      <c r="C594" s="12"/>
      <c r="D594" s="35"/>
      <c r="E594" s="492"/>
      <c r="F594" s="516"/>
      <c r="G594" s="500"/>
      <c r="H594" s="493">
        <v>3200</v>
      </c>
      <c r="I594" s="503"/>
      <c r="J594" s="501"/>
      <c r="K594" s="525"/>
    </row>
    <row r="595" spans="1:11" s="484" customFormat="1" ht="12.75" outlineLevel="3">
      <c r="A595" s="18"/>
      <c r="B595" s="11" t="s">
        <v>829</v>
      </c>
      <c r="C595" s="12"/>
      <c r="D595" s="35"/>
      <c r="E595" s="492"/>
      <c r="F595" s="516"/>
      <c r="G595" s="500"/>
      <c r="H595" s="493">
        <v>200</v>
      </c>
      <c r="I595" s="503"/>
      <c r="J595" s="501"/>
      <c r="K595" s="525"/>
    </row>
    <row r="596" spans="1:11" s="484" customFormat="1" ht="12.75" outlineLevel="3">
      <c r="A596" s="18"/>
      <c r="B596" s="11" t="s">
        <v>830</v>
      </c>
      <c r="C596" s="12"/>
      <c r="D596" s="35"/>
      <c r="E596" s="492"/>
      <c r="F596" s="516"/>
      <c r="G596" s="500"/>
      <c r="H596" s="493">
        <v>276</v>
      </c>
      <c r="I596" s="503"/>
      <c r="J596" s="501"/>
      <c r="K596" s="525"/>
    </row>
    <row r="597" spans="1:11" s="484" customFormat="1" ht="12.75" outlineLevel="3">
      <c r="A597" s="18"/>
      <c r="B597" s="11" t="s">
        <v>831</v>
      </c>
      <c r="C597" s="12"/>
      <c r="D597" s="35"/>
      <c r="E597" s="492"/>
      <c r="F597" s="516"/>
      <c r="G597" s="500"/>
      <c r="H597" s="493">
        <v>17020</v>
      </c>
      <c r="I597" s="503"/>
      <c r="J597" s="501"/>
      <c r="K597" s="525"/>
    </row>
    <row r="598" spans="1:11" s="537" customFormat="1" ht="12.75" outlineLevel="3">
      <c r="A598" s="15"/>
      <c r="B598" s="16" t="s">
        <v>838</v>
      </c>
      <c r="C598" s="17"/>
      <c r="D598" s="35"/>
      <c r="E598" s="523"/>
      <c r="F598" s="524">
        <f t="shared" ref="F598:J598" si="202">SUM(F599:F600)</f>
        <v>199459.4</v>
      </c>
      <c r="G598" s="524">
        <f t="shared" si="202"/>
        <v>0</v>
      </c>
      <c r="H598" s="524">
        <f t="shared" si="202"/>
        <v>202610.84</v>
      </c>
      <c r="I598" s="524">
        <f t="shared" si="202"/>
        <v>0</v>
      </c>
      <c r="J598" s="524">
        <f t="shared" si="202"/>
        <v>0</v>
      </c>
      <c r="K598" s="536"/>
    </row>
    <row r="599" spans="1:11" s="537" customFormat="1" ht="12.75" outlineLevel="3">
      <c r="A599" s="15"/>
      <c r="B599" s="11" t="s">
        <v>826</v>
      </c>
      <c r="C599" s="17"/>
      <c r="D599" s="35"/>
      <c r="E599" s="523"/>
      <c r="F599" s="534">
        <v>199459.4</v>
      </c>
      <c r="G599" s="501"/>
      <c r="H599" s="524">
        <v>199459.4</v>
      </c>
      <c r="I599" s="535"/>
      <c r="J599" s="495"/>
      <c r="K599" s="536"/>
    </row>
    <row r="600" spans="1:11" s="537" customFormat="1" ht="12.75" outlineLevel="3">
      <c r="A600" s="15"/>
      <c r="B600" s="11" t="s">
        <v>828</v>
      </c>
      <c r="C600" s="17"/>
      <c r="D600" s="35"/>
      <c r="E600" s="523"/>
      <c r="F600" s="534"/>
      <c r="G600" s="501"/>
      <c r="H600" s="524">
        <v>3151.44</v>
      </c>
      <c r="I600" s="535"/>
      <c r="J600" s="495"/>
      <c r="K600" s="536"/>
    </row>
    <row r="601" spans="1:11" s="537" customFormat="1" ht="12.75" outlineLevel="1">
      <c r="A601" s="15"/>
      <c r="B601" s="16" t="s">
        <v>839</v>
      </c>
      <c r="C601" s="17"/>
      <c r="D601" s="35"/>
      <c r="E601" s="523"/>
      <c r="F601" s="524">
        <f>F602+F605</f>
        <v>0</v>
      </c>
      <c r="G601" s="524">
        <f t="shared" ref="G601:H601" si="203">G602+G605</f>
        <v>0</v>
      </c>
      <c r="H601" s="493">
        <f t="shared" si="203"/>
        <v>0</v>
      </c>
      <c r="I601" s="501">
        <f>F601-E601*10000</f>
        <v>0</v>
      </c>
      <c r="J601" s="495"/>
      <c r="K601" s="536"/>
    </row>
    <row r="602" spans="1:11" s="484" customFormat="1" ht="12.75" outlineLevel="2">
      <c r="A602" s="15"/>
      <c r="B602" s="16" t="s">
        <v>840</v>
      </c>
      <c r="C602" s="12"/>
      <c r="D602" s="35">
        <f>E602/K$2*10000</f>
        <v>135.02861986803046</v>
      </c>
      <c r="E602" s="492">
        <f>15712365/10000</f>
        <v>1571.2365</v>
      </c>
      <c r="F602" s="493">
        <f>SUM(F603:F604)</f>
        <v>0</v>
      </c>
      <c r="G602" s="493">
        <f t="shared" ref="G602:H602" si="204">SUM(G603:G604)</f>
        <v>0</v>
      </c>
      <c r="H602" s="493">
        <f t="shared" si="204"/>
        <v>0</v>
      </c>
      <c r="I602" s="493">
        <f>F602-E602*10000</f>
        <v>-15712365</v>
      </c>
      <c r="J602" s="495">
        <f>G602-D602</f>
        <v>-135.02861986803046</v>
      </c>
      <c r="K602" s="525"/>
    </row>
    <row r="603" spans="1:11" s="484" customFormat="1" ht="12.75" outlineLevel="3" collapsed="1">
      <c r="A603" s="538"/>
      <c r="B603" s="11"/>
      <c r="C603" s="12"/>
      <c r="D603" s="35"/>
      <c r="E603" s="492"/>
      <c r="F603" s="492"/>
      <c r="G603" s="494"/>
      <c r="H603" s="493"/>
      <c r="I603" s="500"/>
      <c r="J603" s="495"/>
      <c r="K603" s="525"/>
    </row>
    <row r="604" spans="1:11" s="484" customFormat="1" ht="12.75" outlineLevel="3">
      <c r="A604" s="538"/>
      <c r="B604" s="11"/>
      <c r="C604" s="12"/>
      <c r="D604" s="35"/>
      <c r="E604" s="492"/>
      <c r="F604" s="492"/>
      <c r="G604" s="494"/>
      <c r="H604" s="493"/>
      <c r="I604" s="500"/>
      <c r="J604" s="495"/>
      <c r="K604" s="525"/>
    </row>
    <row r="605" spans="1:11" s="484" customFormat="1" ht="12.75" outlineLevel="2">
      <c r="A605" s="15"/>
      <c r="B605" s="16" t="s">
        <v>841</v>
      </c>
      <c r="C605" s="12"/>
      <c r="D605" s="35">
        <f>E605/K$2*10000</f>
        <v>150.7194111678931</v>
      </c>
      <c r="E605" s="492">
        <f>17538196/10000</f>
        <v>1753.8196</v>
      </c>
      <c r="F605" s="493">
        <f>SUM(F606:F607)</f>
        <v>0</v>
      </c>
      <c r="G605" s="493">
        <f t="shared" ref="G605:H605" si="205">SUM(G606:G607)</f>
        <v>0</v>
      </c>
      <c r="H605" s="493">
        <f t="shared" si="205"/>
        <v>0</v>
      </c>
      <c r="I605" s="500">
        <f>F605-E605</f>
        <v>-1753.8196</v>
      </c>
      <c r="J605" s="495">
        <f t="shared" ref="J605" si="206">G605-D605</f>
        <v>-150.7194111678931</v>
      </c>
      <c r="K605" s="525"/>
    </row>
    <row r="606" spans="1:11" s="484" customFormat="1" ht="12.75" outlineLevel="3">
      <c r="A606" s="15"/>
      <c r="B606" s="16"/>
      <c r="C606" s="12"/>
      <c r="D606" s="35"/>
      <c r="E606" s="492"/>
      <c r="F606" s="516"/>
      <c r="G606" s="493"/>
      <c r="H606" s="493"/>
      <c r="I606" s="500"/>
      <c r="J606" s="495"/>
      <c r="K606" s="525"/>
    </row>
    <row r="607" spans="1:11" s="484" customFormat="1" ht="12.75" outlineLevel="3">
      <c r="A607" s="15"/>
      <c r="B607" s="16"/>
      <c r="C607" s="12"/>
      <c r="D607" s="35"/>
      <c r="E607" s="492"/>
      <c r="F607" s="516"/>
      <c r="G607" s="493"/>
      <c r="H607" s="493"/>
      <c r="I607" s="500"/>
      <c r="J607" s="495"/>
      <c r="K607" s="525"/>
    </row>
    <row r="608" spans="1:11" s="537" customFormat="1" ht="13.5" customHeight="1">
      <c r="A608" s="36"/>
      <c r="B608" s="37" t="s">
        <v>842</v>
      </c>
      <c r="C608" s="38"/>
      <c r="D608" s="39">
        <f>E608/K$2*10000</f>
        <v>100.37879666788182</v>
      </c>
      <c r="E608" s="542">
        <v>1168.04</v>
      </c>
      <c r="F608" s="542">
        <f>F609+F612+F615+F618</f>
        <v>0</v>
      </c>
      <c r="G608" s="542">
        <f t="shared" ref="G608:H608" si="207">G609+G612+G615+G618</f>
        <v>0</v>
      </c>
      <c r="H608" s="542">
        <f t="shared" si="207"/>
        <v>0</v>
      </c>
      <c r="I608" s="543">
        <f>F608-E608*10000</f>
        <v>-11680400</v>
      </c>
      <c r="J608" s="544">
        <f t="shared" ref="J608:J612" si="208">G608-D608</f>
        <v>-100.37879666788182</v>
      </c>
      <c r="K608" s="545"/>
    </row>
    <row r="609" spans="1:11" s="484" customFormat="1" ht="12.75" outlineLevel="1">
      <c r="A609" s="538"/>
      <c r="B609" s="11" t="s">
        <v>843</v>
      </c>
      <c r="C609" s="12"/>
      <c r="D609" s="13">
        <f>E609/K2</f>
        <v>14.695365081853183</v>
      </c>
      <c r="E609" s="492">
        <v>1710000</v>
      </c>
      <c r="F609" s="493">
        <f>SUM(F610:F611)</f>
        <v>0</v>
      </c>
      <c r="G609" s="493">
        <f t="shared" ref="G609:H609" si="209">SUM(G610:G611)</f>
        <v>0</v>
      </c>
      <c r="H609" s="493">
        <f t="shared" si="209"/>
        <v>0</v>
      </c>
      <c r="I609" s="500"/>
      <c r="J609" s="495">
        <f t="shared" si="208"/>
        <v>-14.695365081853183</v>
      </c>
      <c r="K609" s="525"/>
    </row>
    <row r="610" spans="1:11" s="484" customFormat="1" ht="12.75" outlineLevel="2">
      <c r="A610" s="538"/>
      <c r="B610" s="11"/>
      <c r="C610" s="12"/>
      <c r="D610" s="35"/>
      <c r="E610" s="492"/>
      <c r="F610" s="492"/>
      <c r="G610" s="494"/>
      <c r="H610" s="492"/>
      <c r="I610" s="500"/>
      <c r="J610" s="495"/>
      <c r="K610" s="525"/>
    </row>
    <row r="611" spans="1:11" s="484" customFormat="1" ht="12.75" outlineLevel="2">
      <c r="A611" s="538"/>
      <c r="B611" s="11"/>
      <c r="C611" s="12"/>
      <c r="D611" s="35"/>
      <c r="E611" s="492"/>
      <c r="F611" s="492"/>
      <c r="G611" s="494"/>
      <c r="H611" s="492"/>
      <c r="I611" s="500"/>
      <c r="J611" s="495"/>
      <c r="K611" s="525"/>
    </row>
    <row r="612" spans="1:11" s="484" customFormat="1" ht="14.25" customHeight="1" outlineLevel="1">
      <c r="A612" s="538"/>
      <c r="B612" s="11" t="s">
        <v>844</v>
      </c>
      <c r="C612" s="12"/>
      <c r="D612" s="13">
        <f>E612/K2</f>
        <v>14.695365081853183</v>
      </c>
      <c r="E612" s="492">
        <v>1710000</v>
      </c>
      <c r="F612" s="493">
        <f>SUM(F613:F614)</f>
        <v>0</v>
      </c>
      <c r="G612" s="493">
        <f t="shared" ref="G612:H612" si="210">SUM(G613:G614)</f>
        <v>0</v>
      </c>
      <c r="H612" s="493">
        <f t="shared" si="210"/>
        <v>0</v>
      </c>
      <c r="I612" s="500"/>
      <c r="J612" s="495">
        <f t="shared" si="208"/>
        <v>-14.695365081853183</v>
      </c>
      <c r="K612" s="525"/>
    </row>
    <row r="613" spans="1:11" s="484" customFormat="1" ht="12.75" outlineLevel="2">
      <c r="A613" s="538"/>
      <c r="B613" s="11"/>
      <c r="C613" s="12"/>
      <c r="D613" s="35"/>
      <c r="E613" s="492"/>
      <c r="F613" s="492"/>
      <c r="G613" s="494"/>
      <c r="H613" s="492"/>
      <c r="I613" s="500"/>
      <c r="J613" s="495"/>
      <c r="K613" s="525"/>
    </row>
    <row r="614" spans="1:11" s="484" customFormat="1" ht="12.75" outlineLevel="2">
      <c r="A614" s="538"/>
      <c r="B614" s="11"/>
      <c r="C614" s="12"/>
      <c r="D614" s="35"/>
      <c r="E614" s="492"/>
      <c r="F614" s="492"/>
      <c r="G614" s="494"/>
      <c r="H614" s="492"/>
      <c r="I614" s="500"/>
      <c r="J614" s="495"/>
      <c r="K614" s="525"/>
    </row>
    <row r="615" spans="1:11" s="484" customFormat="1" ht="12.75" outlineLevel="1">
      <c r="A615" s="538"/>
      <c r="B615" s="11" t="s">
        <v>845</v>
      </c>
      <c r="C615" s="12"/>
      <c r="D615" s="13">
        <f>E615/K2</f>
        <v>14.695365081853183</v>
      </c>
      <c r="E615" s="492">
        <v>1710000</v>
      </c>
      <c r="F615" s="493">
        <f>SUM(F616:F617)</f>
        <v>0</v>
      </c>
      <c r="G615" s="493">
        <f t="shared" ref="G615:H615" si="211">SUM(G616:G617)</f>
        <v>0</v>
      </c>
      <c r="H615" s="493">
        <f t="shared" si="211"/>
        <v>0</v>
      </c>
      <c r="I615" s="500"/>
      <c r="J615" s="495">
        <f>G615-D615</f>
        <v>-14.695365081853183</v>
      </c>
      <c r="K615" s="525"/>
    </row>
    <row r="616" spans="1:11" s="484" customFormat="1" ht="12.75" outlineLevel="2">
      <c r="A616" s="538"/>
      <c r="B616" s="11"/>
      <c r="C616" s="12"/>
      <c r="D616" s="35"/>
      <c r="E616" s="492"/>
      <c r="F616" s="492"/>
      <c r="G616" s="494"/>
      <c r="H616" s="492"/>
      <c r="I616" s="500"/>
      <c r="J616" s="495"/>
      <c r="K616" s="525"/>
    </row>
    <row r="617" spans="1:11" s="484" customFormat="1" ht="12.75" outlineLevel="2">
      <c r="A617" s="538"/>
      <c r="B617" s="11"/>
      <c r="C617" s="12"/>
      <c r="D617" s="35"/>
      <c r="E617" s="492"/>
      <c r="F617" s="492"/>
      <c r="G617" s="494"/>
      <c r="H617" s="492"/>
      <c r="I617" s="500"/>
      <c r="J617" s="495"/>
      <c r="K617" s="525"/>
    </row>
    <row r="618" spans="1:11" s="484" customFormat="1" ht="12.75" outlineLevel="1">
      <c r="A618" s="538"/>
      <c r="B618" s="11" t="s">
        <v>846</v>
      </c>
      <c r="C618" s="12"/>
      <c r="D618" s="13">
        <f>E618/K2</f>
        <v>14.695365081853183</v>
      </c>
      <c r="E618" s="492">
        <v>1710000</v>
      </c>
      <c r="F618" s="493">
        <f t="shared" ref="F618:H618" si="212">SUM(F619:F620)</f>
        <v>0</v>
      </c>
      <c r="G618" s="493">
        <f t="shared" si="212"/>
        <v>0</v>
      </c>
      <c r="H618" s="493">
        <f t="shared" si="212"/>
        <v>0</v>
      </c>
      <c r="I618" s="500"/>
      <c r="J618" s="495">
        <f t="shared" ref="J618" si="213">G618-D618</f>
        <v>-14.695365081853183</v>
      </c>
      <c r="K618" s="525"/>
    </row>
    <row r="619" spans="1:11" s="484" customFormat="1" ht="12.75" outlineLevel="2">
      <c r="A619" s="538"/>
      <c r="B619" s="11"/>
      <c r="C619" s="12"/>
      <c r="D619" s="35"/>
      <c r="E619" s="492"/>
      <c r="F619" s="492"/>
      <c r="G619" s="494"/>
      <c r="H619" s="492"/>
      <c r="I619" s="500"/>
      <c r="J619" s="495"/>
      <c r="K619" s="525"/>
    </row>
    <row r="620" spans="1:11" s="484" customFormat="1" ht="12.75" outlineLevel="2">
      <c r="A620" s="538"/>
      <c r="B620" s="11"/>
      <c r="C620" s="12"/>
      <c r="D620" s="35"/>
      <c r="E620" s="492"/>
      <c r="F620" s="492"/>
      <c r="G620" s="494"/>
      <c r="H620" s="492"/>
      <c r="I620" s="500"/>
      <c r="J620" s="495"/>
      <c r="K620" s="525"/>
    </row>
    <row r="621" spans="1:11" s="537" customFormat="1" ht="12.75">
      <c r="A621" s="15"/>
      <c r="B621" s="16" t="s">
        <v>847</v>
      </c>
      <c r="C621" s="17" t="s">
        <v>848</v>
      </c>
      <c r="D621" s="35">
        <f>E621/K$2*10000</f>
        <v>520.29842419279908</v>
      </c>
      <c r="E621" s="523">
        <v>6054.36</v>
      </c>
      <c r="F621" s="523">
        <f t="shared" ref="F621:H621" si="214">F622+F625+F628+F632+F635+F638</f>
        <v>383546.13</v>
      </c>
      <c r="G621" s="523">
        <f t="shared" si="214"/>
        <v>3.2961113485859195</v>
      </c>
      <c r="H621" s="523">
        <f t="shared" si="214"/>
        <v>0</v>
      </c>
      <c r="I621" s="501">
        <f>F621-E621*10000</f>
        <v>-60160053.869999997</v>
      </c>
      <c r="J621" s="495">
        <f t="shared" ref="J621:J625" si="215">G621-D621</f>
        <v>-517.00231284421318</v>
      </c>
      <c r="K621" s="536"/>
    </row>
    <row r="622" spans="1:11" s="484" customFormat="1" ht="12.75" outlineLevel="1">
      <c r="A622" s="538"/>
      <c r="B622" s="11" t="s">
        <v>849</v>
      </c>
      <c r="C622" s="12"/>
      <c r="D622" s="13">
        <f>E622/K2</f>
        <v>14.695365081853183</v>
      </c>
      <c r="E622" s="492">
        <v>1710000</v>
      </c>
      <c r="F622" s="493">
        <f t="shared" ref="F622" si="216">SUM(F623:F624)</f>
        <v>0</v>
      </c>
      <c r="G622" s="493">
        <f t="shared" ref="G622:H622" si="217">SUM(G623:G624)</f>
        <v>0</v>
      </c>
      <c r="H622" s="493">
        <f t="shared" si="217"/>
        <v>0</v>
      </c>
      <c r="I622" s="500"/>
      <c r="J622" s="495">
        <f t="shared" si="215"/>
        <v>-14.695365081853183</v>
      </c>
      <c r="K622" s="525"/>
    </row>
    <row r="623" spans="1:11" s="484" customFormat="1" ht="12.75" outlineLevel="2">
      <c r="A623" s="538"/>
      <c r="B623" s="11"/>
      <c r="C623" s="12"/>
      <c r="D623" s="35"/>
      <c r="E623" s="492"/>
      <c r="F623" s="492"/>
      <c r="G623" s="494"/>
      <c r="H623" s="492"/>
      <c r="I623" s="500"/>
      <c r="J623" s="495"/>
      <c r="K623" s="525"/>
    </row>
    <row r="624" spans="1:11" s="484" customFormat="1" ht="12.75" outlineLevel="2">
      <c r="A624" s="538"/>
      <c r="B624" s="11"/>
      <c r="C624" s="12"/>
      <c r="D624" s="35"/>
      <c r="E624" s="492"/>
      <c r="F624" s="492"/>
      <c r="G624" s="494"/>
      <c r="H624" s="492"/>
      <c r="I624" s="500"/>
      <c r="J624" s="495"/>
      <c r="K624" s="525"/>
    </row>
    <row r="625" spans="1:11" s="484" customFormat="1" ht="12.75" outlineLevel="1">
      <c r="A625" s="538"/>
      <c r="B625" s="11" t="s">
        <v>850</v>
      </c>
      <c r="C625" s="12"/>
      <c r="D625" s="13">
        <f>E625/K2</f>
        <v>14.695365081853183</v>
      </c>
      <c r="E625" s="492">
        <v>1710000</v>
      </c>
      <c r="F625" s="493">
        <f t="shared" ref="F625:H625" si="218">SUM(F626:F627)</f>
        <v>0</v>
      </c>
      <c r="G625" s="493">
        <f t="shared" si="218"/>
        <v>0</v>
      </c>
      <c r="H625" s="493">
        <f t="shared" si="218"/>
        <v>0</v>
      </c>
      <c r="I625" s="500"/>
      <c r="J625" s="495">
        <f t="shared" si="215"/>
        <v>-14.695365081853183</v>
      </c>
      <c r="K625" s="525"/>
    </row>
    <row r="626" spans="1:11" s="484" customFormat="1" ht="12.75" outlineLevel="2">
      <c r="A626" s="538"/>
      <c r="B626" s="11"/>
      <c r="C626" s="12"/>
      <c r="D626" s="35"/>
      <c r="E626" s="492"/>
      <c r="F626" s="492"/>
      <c r="G626" s="494"/>
      <c r="H626" s="492"/>
      <c r="I626" s="500"/>
      <c r="J626" s="495"/>
      <c r="K626" s="525"/>
    </row>
    <row r="627" spans="1:11" s="484" customFormat="1" ht="12.75" outlineLevel="2">
      <c r="A627" s="538"/>
      <c r="B627" s="11"/>
      <c r="C627" s="12"/>
      <c r="D627" s="35"/>
      <c r="E627" s="492"/>
      <c r="F627" s="492"/>
      <c r="G627" s="494"/>
      <c r="H627" s="492"/>
      <c r="I627" s="500"/>
      <c r="J627" s="495"/>
      <c r="K627" s="525"/>
    </row>
    <row r="628" spans="1:11" s="484" customFormat="1" ht="12.75" outlineLevel="1">
      <c r="A628" s="538"/>
      <c r="B628" s="11" t="s">
        <v>851</v>
      </c>
      <c r="C628" s="12"/>
      <c r="D628" s="13">
        <f>E628/K2</f>
        <v>14.695365081853183</v>
      </c>
      <c r="E628" s="492">
        <v>1710000</v>
      </c>
      <c r="F628" s="493">
        <f>SUM(F629:F631)</f>
        <v>349627.4</v>
      </c>
      <c r="G628" s="493">
        <f>SUM(G629:G631)</f>
        <v>3.0046212196603017</v>
      </c>
      <c r="H628" s="493">
        <f t="shared" ref="H628:K628" si="219">SUM(H629:H629)</f>
        <v>0</v>
      </c>
      <c r="I628" s="493">
        <f t="shared" si="219"/>
        <v>0</v>
      </c>
      <c r="J628" s="493">
        <f t="shared" si="219"/>
        <v>0</v>
      </c>
      <c r="K628" s="493">
        <f t="shared" si="219"/>
        <v>0</v>
      </c>
    </row>
    <row r="629" spans="1:11" s="484" customFormat="1" ht="12.75" outlineLevel="2">
      <c r="A629" s="506"/>
      <c r="B629" s="11" t="s">
        <v>328</v>
      </c>
      <c r="C629" s="12"/>
      <c r="D629" s="13"/>
      <c r="E629" s="492"/>
      <c r="F629" s="493">
        <v>150000</v>
      </c>
      <c r="G629" s="494">
        <f t="shared" ref="G629:G631" si="220">F629/K$2</f>
        <v>1.2890671124432618</v>
      </c>
      <c r="H629" s="492">
        <f>IF(A629&lt;&gt;0,IF($H$2="元",VLOOKUP(A629,合同台帐!$A$4:$K$1093,11,1),VLOOKUP(A629,合同台帐!$A$4:$K$1093,11,1)),0)</f>
        <v>0</v>
      </c>
      <c r="I629" s="500"/>
      <c r="J629" s="495"/>
      <c r="K629" s="479"/>
    </row>
    <row r="630" spans="1:11" s="484" customFormat="1" ht="12.75" outlineLevel="2">
      <c r="A630" s="506"/>
      <c r="B630" s="11" t="s">
        <v>852</v>
      </c>
      <c r="C630" s="12"/>
      <c r="D630" s="13"/>
      <c r="E630" s="492"/>
      <c r="F630" s="493">
        <v>168</v>
      </c>
      <c r="G630" s="494">
        <f t="shared" si="220"/>
        <v>1.4437551659364531E-3</v>
      </c>
      <c r="H630" s="516"/>
      <c r="I630" s="500"/>
      <c r="J630" s="495"/>
      <c r="K630" s="479"/>
    </row>
    <row r="631" spans="1:11" s="484" customFormat="1" ht="12.75" outlineLevel="2">
      <c r="A631" s="506"/>
      <c r="B631" s="11" t="s">
        <v>853</v>
      </c>
      <c r="C631" s="12"/>
      <c r="D631" s="13"/>
      <c r="E631" s="492"/>
      <c r="F631" s="493">
        <v>199459.4</v>
      </c>
      <c r="G631" s="494">
        <f t="shared" si="220"/>
        <v>1.7141103520511034</v>
      </c>
      <c r="H631" s="516"/>
      <c r="I631" s="500"/>
      <c r="J631" s="495"/>
      <c r="K631" s="479"/>
    </row>
    <row r="632" spans="1:11" s="484" customFormat="1" ht="12.75" outlineLevel="1">
      <c r="A632" s="538"/>
      <c r="B632" s="11" t="s">
        <v>854</v>
      </c>
      <c r="C632" s="12"/>
      <c r="D632" s="13">
        <f>E632/K2</f>
        <v>14.695365081853183</v>
      </c>
      <c r="E632" s="492">
        <v>1710000</v>
      </c>
      <c r="F632" s="493">
        <f t="shared" ref="F632" si="221">SUM(F633:F634)</f>
        <v>0</v>
      </c>
      <c r="G632" s="493">
        <f t="shared" ref="G632:H632" si="222">SUM(G633:G634)</f>
        <v>0</v>
      </c>
      <c r="H632" s="493">
        <f t="shared" si="222"/>
        <v>0</v>
      </c>
      <c r="I632" s="500"/>
      <c r="J632" s="495">
        <f>G632-D632</f>
        <v>-14.695365081853183</v>
      </c>
      <c r="K632" s="525"/>
    </row>
    <row r="633" spans="1:11" s="484" customFormat="1" ht="12.75" outlineLevel="2">
      <c r="A633" s="538"/>
      <c r="B633" s="11"/>
      <c r="C633" s="12"/>
      <c r="D633" s="35"/>
      <c r="E633" s="492"/>
      <c r="F633" s="492"/>
      <c r="G633" s="494"/>
      <c r="H633" s="492"/>
      <c r="I633" s="500"/>
      <c r="J633" s="495"/>
      <c r="K633" s="525"/>
    </row>
    <row r="634" spans="1:11" s="484" customFormat="1" ht="12.75" outlineLevel="2">
      <c r="A634" s="538"/>
      <c r="B634" s="11"/>
      <c r="C634" s="12"/>
      <c r="D634" s="35"/>
      <c r="E634" s="492"/>
      <c r="F634" s="492"/>
      <c r="G634" s="494"/>
      <c r="H634" s="492"/>
      <c r="I634" s="500"/>
      <c r="J634" s="495"/>
      <c r="K634" s="525"/>
    </row>
    <row r="635" spans="1:11" s="484" customFormat="1" ht="12.75" outlineLevel="1">
      <c r="A635" s="538"/>
      <c r="B635" s="11" t="s">
        <v>855</v>
      </c>
      <c r="C635" s="12"/>
      <c r="D635" s="13">
        <f>E635/K2</f>
        <v>14.695365081853183</v>
      </c>
      <c r="E635" s="492">
        <v>1710000</v>
      </c>
      <c r="F635" s="493">
        <f t="shared" ref="F635:H635" si="223">SUM(F636:F637)</f>
        <v>0</v>
      </c>
      <c r="G635" s="493">
        <f t="shared" si="223"/>
        <v>0</v>
      </c>
      <c r="H635" s="493">
        <f t="shared" si="223"/>
        <v>0</v>
      </c>
      <c r="I635" s="500"/>
      <c r="J635" s="495">
        <f>G635-D635</f>
        <v>-14.695365081853183</v>
      </c>
      <c r="K635" s="525"/>
    </row>
    <row r="636" spans="1:11" s="484" customFormat="1" ht="12.75" outlineLevel="2">
      <c r="A636" s="538"/>
      <c r="B636" s="11" t="str">
        <f>IF(A636&lt;&gt;0,VLOOKUP(A636,合同台帐!$A$4:$D$195,4,1),"")</f>
        <v/>
      </c>
      <c r="C636" s="12"/>
      <c r="D636" s="13"/>
      <c r="E636" s="492"/>
      <c r="F636" s="493">
        <f>IF(A636&lt;&gt;0,IF(VLOOKUP(A636,合同台帐!$A$4:$G$195,7,1),IF($H$2="元",VLOOKUP(A636,合同台帐!$A$4:$G$195,7,1),VLOOKUP(A636,合同台帐!$A$4:$G$195,7,1)),IF($H$2="元",VLOOKUP(A636,合同台帐!$A$4:$F$195,6,1),VLOOKUP(A636,合同台帐!$A$4:$F$195,6,1))),0)</f>
        <v>0</v>
      </c>
      <c r="G636" s="494">
        <f t="shared" ref="G636" si="224">F636/K$2</f>
        <v>0</v>
      </c>
      <c r="H636" s="492">
        <f>IF(A636&lt;&gt;0,IF($H$2="元",VLOOKUP(A636,合同台帐!$A$4:$K$1093,11,1),VLOOKUP(A636,合同台帐!$A$4:$K$1093,11,1)),0)</f>
        <v>0</v>
      </c>
      <c r="I636" s="500"/>
      <c r="J636" s="495"/>
      <c r="K636" s="479"/>
    </row>
    <row r="637" spans="1:11" s="484" customFormat="1" ht="12.75" outlineLevel="2">
      <c r="A637" s="538"/>
      <c r="B637" s="11"/>
      <c r="C637" s="12"/>
      <c r="D637" s="35"/>
      <c r="E637" s="492"/>
      <c r="F637" s="492"/>
      <c r="G637" s="494"/>
      <c r="H637" s="492"/>
      <c r="I637" s="500"/>
      <c r="J637" s="495"/>
      <c r="K637" s="525"/>
    </row>
    <row r="638" spans="1:11" s="484" customFormat="1" ht="12.75" outlineLevel="1">
      <c r="A638" s="538"/>
      <c r="B638" s="11" t="s">
        <v>856</v>
      </c>
      <c r="C638" s="12"/>
      <c r="D638" s="13">
        <f>E638/K2</f>
        <v>14.695365081853183</v>
      </c>
      <c r="E638" s="492">
        <v>1710000</v>
      </c>
      <c r="F638" s="493">
        <f t="shared" ref="F638" si="225">SUM(F639:F640)</f>
        <v>33918.730000000003</v>
      </c>
      <c r="G638" s="493">
        <f t="shared" ref="G638:H638" si="226">SUM(G639:G640)</f>
        <v>0.2914901289256176</v>
      </c>
      <c r="H638" s="493">
        <f t="shared" si="226"/>
        <v>0</v>
      </c>
      <c r="I638" s="500"/>
      <c r="J638" s="495">
        <f>G638-D638</f>
        <v>-14.403874952927564</v>
      </c>
      <c r="K638" s="525"/>
    </row>
    <row r="639" spans="1:11" s="484" customFormat="1" ht="12.75" outlineLevel="2">
      <c r="A639" s="538"/>
      <c r="B639" s="11" t="s">
        <v>826</v>
      </c>
      <c r="C639" s="12"/>
      <c r="D639" s="35"/>
      <c r="E639" s="492"/>
      <c r="F639" s="493">
        <v>15</v>
      </c>
      <c r="G639" s="494">
        <f t="shared" ref="G639:G640" si="227">F639/K$2</f>
        <v>1.2890671124432616E-4</v>
      </c>
      <c r="H639" s="492">
        <f>IF(A639&lt;&gt;0,IF($H$2="元",VLOOKUP(A639,合同台帐!$A$4:$K$1093,11,1),VLOOKUP(A639,合同台帐!$A$4:$K$1093,11,1)),0)</f>
        <v>0</v>
      </c>
      <c r="I639" s="500"/>
      <c r="J639" s="495"/>
      <c r="K639" s="479"/>
    </row>
    <row r="640" spans="1:11" s="484" customFormat="1" ht="12.75" outlineLevel="2">
      <c r="A640" s="538"/>
      <c r="B640" s="11" t="s">
        <v>827</v>
      </c>
      <c r="C640" s="12"/>
      <c r="D640" s="35"/>
      <c r="E640" s="492"/>
      <c r="F640" s="493">
        <v>33903.730000000003</v>
      </c>
      <c r="G640" s="494">
        <f t="shared" si="227"/>
        <v>0.29136122221437327</v>
      </c>
      <c r="H640" s="493">
        <f>IF(C640&lt;&gt;0,IF(VLOOKUP(C640,合同台帐!$A$4:$G$195,7,1),IF($H$2="元",VLOOKUP(C640,合同台帐!$A$4:$G$195,7,1),VLOOKUP(C640,合同台帐!$A$4:$G$195,7,1)),IF($H$2="元",VLOOKUP(C640,合同台帐!$A$4:$F$195,6,1),VLOOKUP(C640,合同台帐!$A$4:$F$195,6,1))),0)</f>
        <v>0</v>
      </c>
      <c r="I640" s="493">
        <f>IF(D640&lt;&gt;0,IF(VLOOKUP(D640,合同台帐!$A$4:$G$195,7,1),IF($H$2="元",VLOOKUP(D640,合同台帐!$A$4:$G$195,7,1),VLOOKUP(D640,合同台帐!$A$4:$G$195,7,1)),IF($H$2="元",VLOOKUP(D640,合同台帐!$A$4:$F$195,6,1),VLOOKUP(D640,合同台帐!$A$4:$F$195,6,1))),0)</f>
        <v>0</v>
      </c>
      <c r="J640" s="493">
        <f>IF(E640&lt;&gt;0,IF(VLOOKUP(E640,合同台帐!$A$4:$G$195,7,1),IF($H$2="元",VLOOKUP(E640,合同台帐!$A$4:$G$195,7,1),VLOOKUP(E640,合同台帐!$A$4:$G$195,7,1)),IF($H$2="元",VLOOKUP(E640,合同台帐!$A$4:$F$195,6,1),VLOOKUP(E640,合同台帐!$A$4:$F$195,6,1))),0)</f>
        <v>0</v>
      </c>
      <c r="K640" s="493" t="e">
        <f>IF(F640&lt;&gt;0,IF(VLOOKUP(F640,合同台帐!$A$4:$G$195,7,1),IF($H$2="元",VLOOKUP(F640,合同台帐!$A$4:$G$195,7,1),VLOOKUP(F640,合同台帐!$A$4:$G$195,7,1)),IF($H$2="元",VLOOKUP(F640,合同台帐!$A$4:$F$195,6,1),VLOOKUP(F640,合同台帐!$A$4:$F$195,6,1))),0)</f>
        <v>#N/A</v>
      </c>
    </row>
    <row r="641" spans="1:11" s="537" customFormat="1" ht="12.75" collapsed="1">
      <c r="A641" s="30"/>
      <c r="B641" s="40" t="s">
        <v>857</v>
      </c>
      <c r="C641" s="41"/>
      <c r="D641" s="42">
        <f t="shared" ref="D641:D645" si="228">E641/K$2*10000</f>
        <v>632.09749609885318</v>
      </c>
      <c r="E641" s="529">
        <v>7355.29</v>
      </c>
      <c r="F641" s="529">
        <f>F521+F522+F523+F621</f>
        <v>828828172.25999999</v>
      </c>
      <c r="G641" s="531"/>
      <c r="H641" s="546">
        <f t="shared" ref="H641:H644" si="229">F641</f>
        <v>828828172.25999999</v>
      </c>
      <c r="I641" s="547"/>
      <c r="J641" s="531">
        <f>G641-D641</f>
        <v>-632.09749609885318</v>
      </c>
      <c r="K641" s="532"/>
    </row>
    <row r="642" spans="1:11" s="537" customFormat="1" ht="13.5" customHeight="1">
      <c r="A642" s="15"/>
      <c r="B642" s="16" t="s">
        <v>858</v>
      </c>
      <c r="C642" s="17"/>
      <c r="D642" s="35">
        <f t="shared" si="228"/>
        <v>1004.9360957869677</v>
      </c>
      <c r="E642" s="523">
        <v>11693.76</v>
      </c>
      <c r="F642" s="523">
        <f>F608-F641</f>
        <v>-828828172.25999999</v>
      </c>
      <c r="G642" s="495">
        <f>F642/K2</f>
        <v>-7122.7675915121636</v>
      </c>
      <c r="H642" s="524">
        <f t="shared" si="229"/>
        <v>-828828172.25999999</v>
      </c>
      <c r="I642" s="501"/>
      <c r="J642" s="495">
        <f>成本明细!H1079</f>
        <v>0</v>
      </c>
      <c r="K642" s="536"/>
    </row>
    <row r="643" spans="1:11" s="537" customFormat="1" ht="12.75">
      <c r="A643" s="15"/>
      <c r="B643" s="16" t="s">
        <v>859</v>
      </c>
      <c r="C643" s="17"/>
      <c r="D643" s="35">
        <f t="shared" si="228"/>
        <v>14.388567109091689</v>
      </c>
      <c r="E643" s="523">
        <v>167.43</v>
      </c>
      <c r="F643" s="523" t="e">
        <f>F642/F608</f>
        <v>#DIV/0!</v>
      </c>
      <c r="G643" s="495" t="e">
        <f>F643/K2</f>
        <v>#DIV/0!</v>
      </c>
      <c r="H643" s="524" t="e">
        <f t="shared" si="229"/>
        <v>#DIV/0!</v>
      </c>
      <c r="I643" s="501"/>
      <c r="J643" s="495">
        <f>成本明细!H1080</f>
        <v>0</v>
      </c>
      <c r="K643" s="536"/>
    </row>
    <row r="644" spans="1:11" s="484" customFormat="1" ht="12.75">
      <c r="A644" s="30"/>
      <c r="B644" s="40" t="s">
        <v>860</v>
      </c>
      <c r="C644" s="41"/>
      <c r="D644" s="42">
        <f t="shared" si="228"/>
        <v>907.73871675259591</v>
      </c>
      <c r="E644" s="529">
        <v>10562.74</v>
      </c>
      <c r="F644" s="529">
        <f>F641+F621</f>
        <v>829211718.38999999</v>
      </c>
      <c r="G644" s="531">
        <f>F644/K2</f>
        <v>7126.0637028607489</v>
      </c>
      <c r="H644" s="546">
        <f t="shared" si="229"/>
        <v>829211718.38999999</v>
      </c>
      <c r="I644" s="548"/>
      <c r="J644" s="531">
        <f>成本明细!H1086</f>
        <v>0</v>
      </c>
      <c r="K644" s="549"/>
    </row>
    <row r="645" spans="1:11" s="484" customFormat="1" ht="12.75">
      <c r="A645" s="43"/>
      <c r="B645" s="44" t="s">
        <v>861</v>
      </c>
      <c r="C645" s="45"/>
      <c r="D645" s="46">
        <f t="shared" si="228"/>
        <v>11774.343095696389</v>
      </c>
      <c r="E645" s="550">
        <f>E521+E522+E523+E548+E608+E621+E641+E642+E643+E644</f>
        <v>137010.04759999999</v>
      </c>
      <c r="F645" s="550">
        <f>F608-F644</f>
        <v>-829211718.38999999</v>
      </c>
      <c r="G645" s="550">
        <f>F645/K2</f>
        <v>-7126.0637028607489</v>
      </c>
      <c r="H645" s="551">
        <f>IF($J$2="元",成本明细!G1334/10000,成本明细!G1334)</f>
        <v>0</v>
      </c>
      <c r="I645" s="551"/>
      <c r="J645" s="550">
        <f>成本明细!H1317</f>
        <v>0</v>
      </c>
      <c r="K645" s="552"/>
    </row>
    <row r="646" spans="1:11" s="484" customFormat="1" ht="12.75">
      <c r="A646" s="43"/>
      <c r="B646" s="44" t="s">
        <v>862</v>
      </c>
      <c r="C646" s="45"/>
      <c r="D646" s="46"/>
      <c r="E646" s="550"/>
      <c r="F646" s="551" t="e">
        <f>F645/F608</f>
        <v>#DIV/0!</v>
      </c>
      <c r="G646" s="550" t="e">
        <f>F646/K2</f>
        <v>#DIV/0!</v>
      </c>
      <c r="H646" s="551">
        <f>IF($J$2="元",成本明细!G1343/10000,成本明细!G1343)</f>
        <v>0</v>
      </c>
      <c r="I646" s="551"/>
      <c r="J646" s="550">
        <f>成本明细!H1333</f>
        <v>0</v>
      </c>
      <c r="K646" s="552"/>
    </row>
    <row r="647" spans="1:11" s="480" customFormat="1" ht="12.75">
      <c r="A647" s="43"/>
      <c r="B647" s="44" t="s">
        <v>863</v>
      </c>
      <c r="C647" s="47"/>
      <c r="D647" s="48"/>
      <c r="E647" s="553"/>
      <c r="F647" s="550"/>
      <c r="G647" s="550"/>
      <c r="H647" s="550"/>
      <c r="I647" s="550"/>
      <c r="J647" s="550"/>
      <c r="K647" s="554"/>
    </row>
    <row r="648" spans="1:11">
      <c r="A648" s="555"/>
      <c r="B648" s="44" t="s">
        <v>864</v>
      </c>
      <c r="C648" s="556"/>
      <c r="D648" s="557"/>
      <c r="E648" s="557"/>
      <c r="F648" s="557"/>
      <c r="G648" s="557"/>
      <c r="H648" s="557"/>
      <c r="I648" s="557"/>
      <c r="J648" s="558"/>
      <c r="K648" s="556"/>
    </row>
    <row r="649" spans="1:11">
      <c r="A649" s="555"/>
      <c r="B649" s="44" t="s">
        <v>865</v>
      </c>
      <c r="C649" s="556"/>
      <c r="D649" s="557"/>
      <c r="E649" s="557"/>
      <c r="F649" s="557"/>
      <c r="G649" s="557"/>
      <c r="H649" s="557"/>
      <c r="I649" s="557"/>
      <c r="J649" s="558"/>
      <c r="K649" s="556"/>
    </row>
    <row r="650" spans="1:11">
      <c r="A650" s="555"/>
      <c r="B650" s="44" t="s">
        <v>866</v>
      </c>
      <c r="C650" s="556"/>
      <c r="D650" s="557"/>
      <c r="E650" s="557"/>
      <c r="F650" s="557"/>
      <c r="G650" s="557"/>
      <c r="H650" s="557"/>
      <c r="I650" s="557"/>
      <c r="J650" s="558"/>
      <c r="K650" s="556"/>
    </row>
    <row r="651" spans="1:11">
      <c r="A651" s="555"/>
      <c r="B651" s="44" t="s">
        <v>867</v>
      </c>
      <c r="C651" s="556"/>
      <c r="D651" s="557"/>
      <c r="E651" s="557"/>
      <c r="F651" s="557"/>
      <c r="G651" s="557"/>
      <c r="H651" s="557"/>
      <c r="I651" s="557"/>
      <c r="J651" s="558"/>
      <c r="K651" s="556"/>
    </row>
    <row r="652" spans="1:11">
      <c r="A652" s="559"/>
      <c r="B652" s="44" t="s">
        <v>868</v>
      </c>
      <c r="C652" s="556"/>
      <c r="D652" s="557"/>
      <c r="E652" s="557"/>
      <c r="F652" s="560"/>
      <c r="G652" s="560"/>
      <c r="H652" s="557"/>
      <c r="I652" s="557"/>
      <c r="J652" s="558"/>
      <c r="K652" s="556"/>
    </row>
    <row r="653" spans="1:11" s="480" customFormat="1">
      <c r="A653" s="462"/>
      <c r="B653" s="462"/>
      <c r="C653" s="463"/>
      <c r="D653" s="561"/>
      <c r="E653" s="561"/>
      <c r="F653" s="561"/>
      <c r="G653" s="562"/>
      <c r="H653" s="562"/>
      <c r="I653" s="561"/>
      <c r="J653" s="465"/>
      <c r="K653" s="463"/>
    </row>
    <row r="654" spans="1:11" s="480" customFormat="1">
      <c r="C654" s="563"/>
      <c r="D654" s="561"/>
      <c r="E654" s="561"/>
      <c r="F654" s="561"/>
      <c r="G654" s="561"/>
      <c r="H654" s="561"/>
      <c r="I654" s="561"/>
      <c r="J654" s="465"/>
      <c r="K654" s="463"/>
    </row>
    <row r="655" spans="1:11" s="480" customFormat="1">
      <c r="C655" s="563"/>
      <c r="D655" s="561"/>
      <c r="E655" s="561"/>
      <c r="F655" s="561"/>
      <c r="G655" s="561"/>
      <c r="H655" s="561"/>
      <c r="I655" s="561"/>
      <c r="J655" s="465"/>
      <c r="K655" s="463"/>
    </row>
    <row r="656" spans="1:11" s="480" customFormat="1">
      <c r="C656" s="563"/>
      <c r="D656" s="561"/>
      <c r="E656" s="561"/>
      <c r="F656" s="561"/>
      <c r="G656" s="561"/>
      <c r="H656" s="561"/>
      <c r="I656" s="561"/>
      <c r="J656" s="465"/>
      <c r="K656" s="463"/>
    </row>
    <row r="657" spans="1:3">
      <c r="A657" s="480"/>
      <c r="B657" s="480"/>
      <c r="C657" s="563"/>
    </row>
    <row r="658" spans="1:3">
      <c r="A658" s="480"/>
      <c r="B658" s="480"/>
      <c r="C658" s="563"/>
    </row>
  </sheetData>
  <mergeCells count="2">
    <mergeCell ref="A1:K1"/>
    <mergeCell ref="D2:G2"/>
  </mergeCells>
  <phoneticPr fontId="4" type="noConversion"/>
  <dataValidations count="1">
    <dataValidation type="list" allowBlank="1" showInputMessage="1" showErrorMessage="1" sqref="A3">
      <formula1>$A$4:$A$647</formula1>
    </dataValidation>
  </dataValidations>
  <printOptions horizontalCentered="1"/>
  <pageMargins left="0.27500000000000002" right="0.156944444444444" top="0.59027777777777801" bottom="0.39305555555555599" header="0.51180555555555596" footer="0.51180555555555596"/>
  <pageSetup paperSize="9" orientation="portrait" useFirstPageNumber="1" r:id="rId1"/>
  <headerFooter alignWithMargins="0">
    <oddFooter>&amp;C第&amp;"Times New Roman,常规"&amp;P&amp;"宋体,常规"页&amp;"Times New Roman,常规"    &amp;"宋体,常规"共&amp;"Times New Roman,常规"&amp;N&amp;"宋体,常规"页</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7"/>
  <sheetViews>
    <sheetView workbookViewId="0">
      <selection activeCell="A6" sqref="A6"/>
    </sheetView>
  </sheetViews>
  <sheetFormatPr defaultColWidth="9" defaultRowHeight="14.25"/>
  <cols>
    <col min="1" max="1" width="8.125" style="666" customWidth="1"/>
    <col min="2" max="2" width="10.125" style="666" customWidth="1"/>
    <col min="3" max="3" width="22.125" style="460" customWidth="1"/>
    <col min="4" max="4" width="33" style="448" customWidth="1"/>
    <col min="5" max="5" width="12.625" style="667" customWidth="1"/>
    <col min="6" max="6" width="6" style="448" customWidth="1"/>
    <col min="7" max="7" width="8.125" style="448" customWidth="1"/>
    <col min="8" max="8" width="10.125" style="448" customWidth="1"/>
    <col min="9" max="10" width="10.125" style="666" customWidth="1"/>
    <col min="11" max="11" width="12.375" style="666" customWidth="1"/>
    <col min="12" max="16384" width="9" style="448"/>
  </cols>
  <sheetData>
    <row r="1" spans="1:17" s="647" customFormat="1" ht="43.5" customHeight="1">
      <c r="A1" s="792" t="s">
        <v>1720</v>
      </c>
      <c r="B1" s="792"/>
      <c r="C1" s="792"/>
      <c r="D1" s="792"/>
      <c r="E1" s="792"/>
      <c r="F1" s="792"/>
      <c r="G1" s="792"/>
      <c r="H1" s="792"/>
      <c r="I1" s="792"/>
      <c r="J1" s="792"/>
      <c r="K1" s="792"/>
      <c r="L1" s="792"/>
    </row>
    <row r="2" spans="1:17" s="654" customFormat="1" ht="33.75" customHeight="1">
      <c r="A2" s="648" t="s">
        <v>983</v>
      </c>
      <c r="B2" s="649" t="s">
        <v>1721</v>
      </c>
      <c r="C2" s="650" t="s">
        <v>985</v>
      </c>
      <c r="D2" s="649" t="s">
        <v>986</v>
      </c>
      <c r="E2" s="651" t="s">
        <v>1722</v>
      </c>
      <c r="F2" s="649" t="s">
        <v>994</v>
      </c>
      <c r="G2" s="649" t="s">
        <v>1723</v>
      </c>
      <c r="H2" s="649" t="s">
        <v>995</v>
      </c>
      <c r="I2" s="649" t="s">
        <v>1724</v>
      </c>
      <c r="J2" s="652" t="s">
        <v>1725</v>
      </c>
      <c r="K2" s="652" t="s">
        <v>1726</v>
      </c>
      <c r="L2" s="653" t="s">
        <v>998</v>
      </c>
    </row>
    <row r="3" spans="1:17" s="658" customFormat="1" ht="18" customHeight="1">
      <c r="A3" s="293" t="s">
        <v>1727</v>
      </c>
      <c r="B3" s="655" t="s">
        <v>1212</v>
      </c>
      <c r="C3" s="293" t="s">
        <v>1728</v>
      </c>
      <c r="D3" s="293" t="s">
        <v>1729</v>
      </c>
      <c r="E3" s="294">
        <v>10000</v>
      </c>
      <c r="F3" s="293" t="s">
        <v>1021</v>
      </c>
      <c r="G3" s="293" t="s">
        <v>1730</v>
      </c>
      <c r="H3" s="293"/>
      <c r="I3" s="655"/>
      <c r="J3" s="656">
        <v>0</v>
      </c>
      <c r="K3" s="657">
        <f>E3-J3</f>
        <v>10000</v>
      </c>
      <c r="L3" s="293"/>
    </row>
    <row r="4" spans="1:17" s="336" customFormat="1" ht="48">
      <c r="A4" s="290" t="s">
        <v>124</v>
      </c>
      <c r="B4" s="291" t="s">
        <v>1215</v>
      </c>
      <c r="C4" s="293" t="s">
        <v>1216</v>
      </c>
      <c r="D4" s="337" t="s">
        <v>1217</v>
      </c>
      <c r="E4" s="295"/>
      <c r="F4" s="293" t="s">
        <v>1021</v>
      </c>
      <c r="G4" s="296"/>
      <c r="H4" s="296"/>
      <c r="I4" s="296"/>
      <c r="J4" s="297"/>
      <c r="K4" s="657">
        <f t="shared" ref="K4:K13" si="0">E4-J4</f>
        <v>0</v>
      </c>
      <c r="L4" s="319" t="s">
        <v>1218</v>
      </c>
      <c r="M4" s="659"/>
      <c r="P4" s="335"/>
      <c r="Q4" s="335"/>
    </row>
    <row r="5" spans="1:17" s="336" customFormat="1">
      <c r="A5" s="290" t="s">
        <v>1309</v>
      </c>
      <c r="B5" s="317" t="s">
        <v>1310</v>
      </c>
      <c r="C5" s="319" t="s">
        <v>1312</v>
      </c>
      <c r="D5" s="333" t="s">
        <v>1229</v>
      </c>
      <c r="E5" s="336">
        <v>300000</v>
      </c>
      <c r="F5" s="293" t="s">
        <v>1021</v>
      </c>
      <c r="G5" s="293" t="s">
        <v>1731</v>
      </c>
      <c r="H5" s="296"/>
      <c r="I5" s="296"/>
      <c r="J5" s="297">
        <v>0</v>
      </c>
      <c r="K5" s="657">
        <f t="shared" si="0"/>
        <v>300000</v>
      </c>
      <c r="L5" s="319"/>
      <c r="M5" s="659"/>
      <c r="P5" s="335"/>
      <c r="Q5" s="335"/>
    </row>
    <row r="6" spans="1:17" s="658" customFormat="1" ht="18" customHeight="1">
      <c r="A6" s="370" t="s">
        <v>1732</v>
      </c>
      <c r="B6" s="341" t="s">
        <v>1310</v>
      </c>
      <c r="C6" s="343" t="s">
        <v>1733</v>
      </c>
      <c r="D6" s="344" t="s">
        <v>1229</v>
      </c>
      <c r="E6" s="345">
        <v>18110000</v>
      </c>
      <c r="F6" s="293" t="s">
        <v>1021</v>
      </c>
      <c r="G6" s="293" t="s">
        <v>1731</v>
      </c>
      <c r="H6" s="293"/>
      <c r="I6" s="655"/>
      <c r="J6" s="656"/>
      <c r="K6" s="657">
        <f t="shared" si="0"/>
        <v>18110000</v>
      </c>
      <c r="L6" s="293"/>
    </row>
    <row r="7" spans="1:17" s="658" customFormat="1" ht="18" customHeight="1">
      <c r="A7" s="370" t="s">
        <v>1316</v>
      </c>
      <c r="B7" s="341" t="s">
        <v>1310</v>
      </c>
      <c r="C7" s="343" t="s">
        <v>1317</v>
      </c>
      <c r="D7" s="344" t="s">
        <v>1229</v>
      </c>
      <c r="E7" s="345">
        <v>423900</v>
      </c>
      <c r="F7" s="293" t="s">
        <v>1021</v>
      </c>
      <c r="G7" s="293" t="s">
        <v>1731</v>
      </c>
      <c r="H7" s="293"/>
      <c r="I7" s="655"/>
      <c r="J7" s="656"/>
      <c r="K7" s="657">
        <f t="shared" si="0"/>
        <v>423900</v>
      </c>
      <c r="L7" s="293"/>
    </row>
    <row r="8" spans="1:17" s="658" customFormat="1" ht="18" customHeight="1">
      <c r="A8" s="370" t="s">
        <v>1334</v>
      </c>
      <c r="B8" s="341" t="s">
        <v>1330</v>
      </c>
      <c r="C8" s="343" t="s">
        <v>1335</v>
      </c>
      <c r="D8" s="343" t="s">
        <v>1308</v>
      </c>
      <c r="E8" s="660">
        <v>446476.84</v>
      </c>
      <c r="F8" s="293" t="s">
        <v>1021</v>
      </c>
      <c r="G8" s="293" t="s">
        <v>1731</v>
      </c>
      <c r="H8" s="293"/>
      <c r="I8" s="655"/>
      <c r="J8" s="656"/>
      <c r="K8" s="657">
        <f t="shared" si="0"/>
        <v>446476.84</v>
      </c>
      <c r="L8" s="293"/>
    </row>
    <row r="9" spans="1:17" s="658" customFormat="1" ht="18" customHeight="1">
      <c r="A9" s="370" t="s">
        <v>121</v>
      </c>
      <c r="B9" s="341" t="s">
        <v>1093</v>
      </c>
      <c r="C9" s="293" t="s">
        <v>1734</v>
      </c>
      <c r="D9" s="661" t="s">
        <v>1201</v>
      </c>
      <c r="E9" s="660">
        <v>2000</v>
      </c>
      <c r="F9" s="293"/>
      <c r="G9" s="293" t="s">
        <v>1735</v>
      </c>
      <c r="H9" s="293"/>
      <c r="I9" s="655"/>
      <c r="J9" s="656"/>
      <c r="K9" s="657">
        <f t="shared" si="0"/>
        <v>2000</v>
      </c>
      <c r="L9" s="293"/>
    </row>
    <row r="10" spans="1:17" s="658" customFormat="1" ht="18" customHeight="1">
      <c r="A10" s="370" t="s">
        <v>122</v>
      </c>
      <c r="B10" s="341" t="s">
        <v>1093</v>
      </c>
      <c r="C10" s="293" t="s">
        <v>1736</v>
      </c>
      <c r="D10" s="661" t="s">
        <v>1201</v>
      </c>
      <c r="E10" s="294">
        <v>10000</v>
      </c>
      <c r="F10" s="293"/>
      <c r="G10" s="293" t="s">
        <v>1735</v>
      </c>
      <c r="H10" s="293"/>
      <c r="I10" s="655"/>
      <c r="J10" s="656"/>
      <c r="K10" s="657">
        <f t="shared" si="0"/>
        <v>10000</v>
      </c>
      <c r="L10" s="293"/>
    </row>
    <row r="11" spans="1:17" s="658" customFormat="1" ht="18" customHeight="1">
      <c r="A11" s="370" t="s">
        <v>1313</v>
      </c>
      <c r="B11" s="341" t="s">
        <v>1681</v>
      </c>
      <c r="C11" s="343" t="s">
        <v>1737</v>
      </c>
      <c r="D11" s="344" t="s">
        <v>1229</v>
      </c>
      <c r="E11" s="345">
        <v>6000000</v>
      </c>
      <c r="F11" s="293" t="s">
        <v>1021</v>
      </c>
      <c r="G11" s="293" t="s">
        <v>1735</v>
      </c>
      <c r="H11" s="293"/>
      <c r="I11" s="655"/>
      <c r="J11" s="656"/>
      <c r="K11" s="657">
        <f t="shared" si="0"/>
        <v>6000000</v>
      </c>
      <c r="L11" s="293"/>
    </row>
    <row r="12" spans="1:17" s="658" customFormat="1" ht="18" customHeight="1">
      <c r="A12" s="303" t="s">
        <v>1553</v>
      </c>
      <c r="B12" s="341">
        <v>2016.01</v>
      </c>
      <c r="C12" s="306" t="s">
        <v>1738</v>
      </c>
      <c r="D12" s="344"/>
      <c r="E12" s="345">
        <v>810100</v>
      </c>
      <c r="F12" s="293"/>
      <c r="G12" s="293" t="s">
        <v>1739</v>
      </c>
      <c r="H12" s="293"/>
      <c r="I12" s="655"/>
      <c r="J12" s="656"/>
      <c r="K12" s="657"/>
      <c r="L12" s="293"/>
    </row>
    <row r="13" spans="1:17" s="658" customFormat="1" ht="18" customHeight="1">
      <c r="D13" s="293"/>
      <c r="E13" s="294">
        <f>SUM(E3:E12)</f>
        <v>26112476.84</v>
      </c>
      <c r="F13" s="293"/>
      <c r="G13" s="293"/>
      <c r="H13" s="293"/>
      <c r="I13" s="655"/>
      <c r="J13" s="655"/>
      <c r="K13" s="657">
        <f t="shared" si="0"/>
        <v>26112476.84</v>
      </c>
      <c r="L13" s="293"/>
    </row>
    <row r="14" spans="1:17" s="658" customFormat="1" ht="18" customHeight="1">
      <c r="A14" s="293"/>
      <c r="B14" s="655"/>
      <c r="C14" s="293"/>
      <c r="D14" s="293"/>
      <c r="E14" s="294"/>
      <c r="F14" s="293"/>
      <c r="G14" s="293"/>
      <c r="H14" s="293"/>
      <c r="I14" s="655"/>
      <c r="J14" s="655"/>
      <c r="K14" s="655"/>
      <c r="L14" s="293"/>
    </row>
    <row r="15" spans="1:17" s="658" customFormat="1" ht="18" customHeight="1">
      <c r="A15" s="293"/>
      <c r="B15" s="655"/>
      <c r="C15" s="293"/>
      <c r="D15" s="293"/>
      <c r="E15" s="294"/>
      <c r="F15" s="293"/>
      <c r="G15" s="293"/>
      <c r="H15" s="293"/>
      <c r="I15" s="655"/>
      <c r="J15" s="655"/>
      <c r="K15" s="655"/>
      <c r="L15" s="293"/>
    </row>
    <row r="16" spans="1:17" s="658" customFormat="1" ht="18" customHeight="1">
      <c r="A16" s="293"/>
      <c r="B16" s="655"/>
      <c r="C16" s="293"/>
      <c r="D16" s="293"/>
      <c r="E16" s="294"/>
      <c r="F16" s="293"/>
      <c r="G16" s="293"/>
      <c r="H16" s="293"/>
      <c r="I16" s="655"/>
      <c r="J16" s="655"/>
      <c r="K16" s="655"/>
      <c r="L16" s="293"/>
    </row>
    <row r="17" spans="1:12" s="658" customFormat="1" ht="18" customHeight="1">
      <c r="A17" s="293"/>
      <c r="B17" s="655"/>
      <c r="C17" s="293"/>
      <c r="D17" s="293"/>
      <c r="E17" s="294"/>
      <c r="F17" s="293"/>
      <c r="G17" s="293"/>
      <c r="H17" s="293"/>
      <c r="I17" s="655"/>
      <c r="J17" s="655"/>
      <c r="K17" s="655"/>
      <c r="L17" s="293"/>
    </row>
    <row r="18" spans="1:12" ht="18" customHeight="1">
      <c r="A18" s="662"/>
      <c r="B18" s="662"/>
      <c r="C18" s="663"/>
      <c r="D18" s="664"/>
      <c r="E18" s="665"/>
      <c r="F18" s="664"/>
      <c r="G18" s="664"/>
      <c r="H18" s="664"/>
      <c r="I18" s="662"/>
      <c r="J18" s="662"/>
      <c r="K18" s="662"/>
      <c r="L18" s="664"/>
    </row>
    <row r="19" spans="1:12" ht="18" customHeight="1">
      <c r="A19" s="662"/>
      <c r="B19" s="662"/>
      <c r="C19" s="663"/>
      <c r="D19" s="664"/>
      <c r="E19" s="665"/>
      <c r="F19" s="664"/>
      <c r="G19" s="664"/>
      <c r="H19" s="664"/>
      <c r="I19" s="662"/>
      <c r="J19" s="662"/>
      <c r="K19" s="662"/>
      <c r="L19" s="664"/>
    </row>
    <row r="20" spans="1:12" ht="18" customHeight="1">
      <c r="A20" s="662"/>
      <c r="B20" s="662"/>
      <c r="C20" s="663"/>
      <c r="D20" s="664"/>
      <c r="E20" s="665"/>
      <c r="F20" s="664"/>
      <c r="G20" s="664"/>
      <c r="H20" s="664"/>
      <c r="I20" s="662"/>
      <c r="J20" s="662"/>
      <c r="K20" s="662"/>
      <c r="L20" s="664"/>
    </row>
    <row r="21" spans="1:12" ht="18" customHeight="1">
      <c r="A21" s="662"/>
      <c r="B21" s="662"/>
      <c r="C21" s="663"/>
      <c r="D21" s="664"/>
      <c r="E21" s="665"/>
      <c r="F21" s="664"/>
      <c r="G21" s="664"/>
      <c r="H21" s="664"/>
      <c r="I21" s="662"/>
      <c r="J21" s="662"/>
      <c r="K21" s="662"/>
      <c r="L21" s="664"/>
    </row>
    <row r="22" spans="1:12" ht="18" customHeight="1">
      <c r="A22" s="662"/>
      <c r="B22" s="662"/>
      <c r="C22" s="663"/>
      <c r="D22" s="664"/>
      <c r="E22" s="665"/>
      <c r="F22" s="664"/>
      <c r="G22" s="664"/>
      <c r="H22" s="664"/>
      <c r="I22" s="662"/>
      <c r="J22" s="662"/>
      <c r="K22" s="662"/>
      <c r="L22" s="664"/>
    </row>
    <row r="23" spans="1:12" ht="18" customHeight="1">
      <c r="A23" s="662"/>
      <c r="B23" s="662"/>
      <c r="C23" s="663"/>
      <c r="D23" s="664"/>
      <c r="E23" s="665"/>
      <c r="F23" s="664"/>
      <c r="G23" s="664"/>
      <c r="H23" s="664"/>
      <c r="I23" s="662"/>
      <c r="J23" s="662"/>
      <c r="K23" s="662"/>
      <c r="L23" s="664"/>
    </row>
    <row r="24" spans="1:12" ht="18" customHeight="1">
      <c r="A24" s="662"/>
      <c r="B24" s="662"/>
      <c r="C24" s="663"/>
      <c r="D24" s="664"/>
      <c r="E24" s="665"/>
      <c r="F24" s="664"/>
      <c r="G24" s="664"/>
      <c r="H24" s="664"/>
      <c r="I24" s="662"/>
      <c r="J24" s="662"/>
      <c r="K24" s="662"/>
      <c r="L24" s="664"/>
    </row>
    <row r="25" spans="1:12" ht="18" customHeight="1">
      <c r="A25" s="662"/>
      <c r="B25" s="662"/>
      <c r="C25" s="663"/>
      <c r="D25" s="664"/>
      <c r="E25" s="665"/>
      <c r="F25" s="664"/>
      <c r="G25" s="664"/>
      <c r="H25" s="664"/>
      <c r="I25" s="662"/>
      <c r="J25" s="662"/>
      <c r="K25" s="662"/>
      <c r="L25" s="664"/>
    </row>
    <row r="26" spans="1:12" ht="18" customHeight="1"/>
    <row r="27" spans="1:12" ht="18" customHeight="1"/>
    <row r="28" spans="1:12" ht="18" customHeight="1"/>
    <row r="29" spans="1:12" ht="18" customHeight="1"/>
    <row r="30" spans="1:12" ht="18" customHeight="1"/>
    <row r="31" spans="1:12" ht="18" customHeight="1"/>
    <row r="32" spans="1:1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sheetData>
  <mergeCells count="1">
    <mergeCell ref="A1:L1"/>
  </mergeCells>
  <phoneticPr fontId="4"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4</vt:i4>
      </vt:variant>
    </vt:vector>
  </HeadingPairs>
  <TitlesOfParts>
    <vt:vector size="15" baseType="lpstr">
      <vt:lpstr>封面</vt:lpstr>
      <vt:lpstr>台帐使用说明</vt:lpstr>
      <vt:lpstr>拨款台帐</vt:lpstr>
      <vt:lpstr>合同台帐</vt:lpstr>
      <vt:lpstr>销售价格测算</vt:lpstr>
      <vt:lpstr>动态成本</vt:lpstr>
      <vt:lpstr>动态成本基本结构</vt:lpstr>
      <vt:lpstr>成本明细</vt:lpstr>
      <vt:lpstr>往来款台账</vt:lpstr>
      <vt:lpstr>Sheet1</vt:lpstr>
      <vt:lpstr>Sheet2</vt:lpstr>
      <vt:lpstr>封面!Print_Area</vt:lpstr>
      <vt:lpstr>拨款台帐!Print_Titles</vt:lpstr>
      <vt:lpstr>成本明细!Print_Titles</vt:lpstr>
      <vt:lpstr>合同台帐!Print_Titles</vt:lpstr>
    </vt:vector>
  </TitlesOfParts>
  <Company>天津顺驰发展股份有限公司</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王晨</dc:creator>
  <cp:lastModifiedBy>admin</cp:lastModifiedBy>
  <cp:lastPrinted>2015-12-30T07:08:00Z</cp:lastPrinted>
  <dcterms:created xsi:type="dcterms:W3CDTF">2001-02-11T03:26:00Z</dcterms:created>
  <dcterms:modified xsi:type="dcterms:W3CDTF">2016-10-31T08:39:53Z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