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oprmdt/Library/CloudStorage/GoogleDrive-rpk2133@columbia.edu/My Drive/1. Columbia/1. Academics/Consulting Project/For Submission/"/>
    </mc:Choice>
  </mc:AlternateContent>
  <xr:revisionPtr revIDLastSave="0" documentId="13_ncr:1_{C10BF92C-0F3D-7546-B26D-14153D98B8A5}" xr6:coauthVersionLast="47" xr6:coauthVersionMax="47" xr10:uidLastSave="{00000000-0000-0000-0000-000000000000}"/>
  <bookViews>
    <workbookView xWindow="1360" yWindow="740" windowWidth="28040" windowHeight="16740" activeTab="2" xr2:uid="{EDEE5AAE-0CE6-684F-9618-2FE35C9A65F6}"/>
  </bookViews>
  <sheets>
    <sheet name="Baseline" sheetId="2" r:id="rId1"/>
    <sheet name="Optimistic Scenario" sheetId="3" r:id="rId2"/>
    <sheet name="Conservatice Scenari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 l="1"/>
  <c r="B38" i="4" s="1"/>
  <c r="B27" i="3"/>
  <c r="F13" i="3"/>
  <c r="E13" i="3"/>
  <c r="D13" i="3"/>
  <c r="G13" i="3" s="1"/>
  <c r="F13" i="4"/>
  <c r="E13" i="4"/>
  <c r="D13" i="4"/>
  <c r="G13" i="4" s="1"/>
  <c r="D26" i="3"/>
  <c r="G26" i="3" s="1"/>
  <c r="F26" i="4"/>
  <c r="E26" i="4"/>
  <c r="D26" i="4"/>
  <c r="G26" i="4" s="1"/>
  <c r="C22" i="4"/>
  <c r="C35" i="4" s="1"/>
  <c r="B22" i="4"/>
  <c r="B35" i="4" s="1"/>
  <c r="C21" i="4"/>
  <c r="B21" i="4"/>
  <c r="B34" i="4" s="1"/>
  <c r="C20" i="4"/>
  <c r="C33" i="4" s="1"/>
  <c r="B20" i="4"/>
  <c r="B33" i="4" s="1"/>
  <c r="C19" i="4"/>
  <c r="C32" i="4" s="1"/>
  <c r="B19" i="4"/>
  <c r="B32" i="4" s="1"/>
  <c r="C18" i="4"/>
  <c r="C31" i="4" s="1"/>
  <c r="B18" i="4"/>
  <c r="B31" i="4" s="1"/>
  <c r="C17" i="4"/>
  <c r="C30" i="4" s="1"/>
  <c r="B17" i="4"/>
  <c r="B30" i="4" s="1"/>
  <c r="C16" i="4"/>
  <c r="B16" i="4"/>
  <c r="C15" i="4"/>
  <c r="C28" i="4" s="1"/>
  <c r="B15" i="4"/>
  <c r="B28" i="4" s="1"/>
  <c r="D14" i="3"/>
  <c r="E26" i="3"/>
  <c r="F26" i="3"/>
  <c r="C15" i="3"/>
  <c r="C28" i="3" s="1"/>
  <c r="C16" i="3"/>
  <c r="C29" i="3" s="1"/>
  <c r="C17" i="3"/>
  <c r="C30" i="3" s="1"/>
  <c r="C18" i="3"/>
  <c r="C31" i="3" s="1"/>
  <c r="C19" i="3"/>
  <c r="C32" i="3" s="1"/>
  <c r="C20" i="3"/>
  <c r="C33" i="3" s="1"/>
  <c r="C21" i="3"/>
  <c r="C34" i="3" s="1"/>
  <c r="C22" i="3"/>
  <c r="C35" i="3" s="1"/>
  <c r="B38" i="3"/>
  <c r="B22" i="3"/>
  <c r="B35" i="3" s="1"/>
  <c r="B21" i="3"/>
  <c r="B34" i="3" s="1"/>
  <c r="B20" i="3"/>
  <c r="B33" i="3" s="1"/>
  <c r="B19" i="3"/>
  <c r="B32" i="3" s="1"/>
  <c r="B18" i="3"/>
  <c r="B31" i="3" s="1"/>
  <c r="B17" i="3"/>
  <c r="B30" i="3" s="1"/>
  <c r="B16" i="3"/>
  <c r="B29" i="3" s="1"/>
  <c r="B15" i="3"/>
  <c r="B28" i="3" s="1"/>
  <c r="E5" i="2"/>
  <c r="F5" i="2" s="1"/>
  <c r="F13" i="2"/>
  <c r="E13" i="2"/>
  <c r="F8" i="2"/>
  <c r="E8" i="2"/>
  <c r="D8" i="2"/>
  <c r="F7" i="2"/>
  <c r="E7" i="2"/>
  <c r="D7" i="2"/>
  <c r="F12" i="2"/>
  <c r="E12" i="2"/>
  <c r="D12" i="2"/>
  <c r="C15" i="2"/>
  <c r="C10" i="2"/>
  <c r="F21" i="2"/>
  <c r="F22" i="2"/>
  <c r="F23" i="2"/>
  <c r="F24" i="2"/>
  <c r="F25" i="2"/>
  <c r="F20" i="2"/>
  <c r="E26" i="2"/>
  <c r="F26" i="2" s="1"/>
  <c r="D25" i="2"/>
  <c r="D24" i="2"/>
  <c r="D23" i="2"/>
  <c r="D22" i="2"/>
  <c r="D21" i="2"/>
  <c r="D20" i="2"/>
  <c r="E28" i="2"/>
  <c r="E30" i="2"/>
  <c r="E32" i="2"/>
  <c r="E34" i="2"/>
  <c r="E36" i="2"/>
  <c r="E38" i="2"/>
  <c r="E40" i="2"/>
  <c r="E42" i="2"/>
  <c r="F41" i="2"/>
  <c r="E41" i="2" s="1"/>
  <c r="F39" i="2"/>
  <c r="E39" i="2" s="1"/>
  <c r="F37" i="2"/>
  <c r="E37" i="2" s="1"/>
  <c r="F35" i="2"/>
  <c r="E35" i="2" s="1"/>
  <c r="F33" i="2"/>
  <c r="E33" i="2" s="1"/>
  <c r="F31" i="2"/>
  <c r="E31" i="2" s="1"/>
  <c r="F29" i="2"/>
  <c r="E29" i="2" s="1"/>
  <c r="F27" i="2"/>
  <c r="E27" i="2" s="1"/>
  <c r="C36" i="2"/>
  <c r="C38" i="2"/>
  <c r="C40" i="2"/>
  <c r="C42" i="2"/>
  <c r="D41" i="2"/>
  <c r="C41" i="2" s="1"/>
  <c r="D39" i="2"/>
  <c r="C39" i="2" s="1"/>
  <c r="D37" i="2"/>
  <c r="C37" i="2" s="1"/>
  <c r="D35" i="2"/>
  <c r="C35" i="2" s="1"/>
  <c r="C34" i="2"/>
  <c r="D33" i="2"/>
  <c r="C33" i="2" s="1"/>
  <c r="C32" i="2"/>
  <c r="D31" i="2"/>
  <c r="C31" i="2" s="1"/>
  <c r="C30" i="2"/>
  <c r="D29" i="2"/>
  <c r="C29" i="2" s="1"/>
  <c r="C28" i="2"/>
  <c r="D27" i="2"/>
  <c r="C27" i="2" s="1"/>
  <c r="C26" i="2"/>
  <c r="D26" i="2" s="1"/>
  <c r="F15" i="3" l="1"/>
  <c r="E33" i="4"/>
  <c r="D32" i="4"/>
  <c r="F33" i="4"/>
  <c r="B29" i="4"/>
  <c r="B40" i="4" s="1"/>
  <c r="C29" i="4"/>
  <c r="C40" i="4" s="1"/>
  <c r="D19" i="4"/>
  <c r="C41" i="4"/>
  <c r="E21" i="4"/>
  <c r="B42" i="4"/>
  <c r="F20" i="4"/>
  <c r="C42" i="4"/>
  <c r="C34" i="4"/>
  <c r="C45" i="4" s="1"/>
  <c r="B39" i="4"/>
  <c r="B46" i="4"/>
  <c r="B43" i="4"/>
  <c r="B44" i="4"/>
  <c r="B41" i="4"/>
  <c r="B45" i="4"/>
  <c r="C46" i="4"/>
  <c r="C43" i="4"/>
  <c r="C44" i="4"/>
  <c r="C39" i="4"/>
  <c r="B40" i="3"/>
  <c r="B41" i="3"/>
  <c r="C45" i="3"/>
  <c r="C44" i="3"/>
  <c r="C43" i="3"/>
  <c r="C46" i="3"/>
  <c r="B44" i="3"/>
  <c r="C42" i="3"/>
  <c r="B42" i="3"/>
  <c r="B45" i="3"/>
  <c r="C41" i="3"/>
  <c r="C39" i="3"/>
  <c r="B46" i="3"/>
  <c r="C40" i="3"/>
  <c r="B43" i="3"/>
  <c r="B39" i="3"/>
  <c r="D30" i="4"/>
  <c r="F30" i="4"/>
  <c r="F31" i="4"/>
  <c r="E19" i="4"/>
  <c r="E22" i="4"/>
  <c r="E14" i="4"/>
  <c r="F27" i="4"/>
  <c r="E28" i="4"/>
  <c r="F34" i="4"/>
  <c r="E16" i="4"/>
  <c r="E32" i="4"/>
  <c r="D27" i="4"/>
  <c r="F32" i="4"/>
  <c r="E20" i="4"/>
  <c r="D34" i="4"/>
  <c r="E15" i="4"/>
  <c r="E18" i="4"/>
  <c r="F28" i="4"/>
  <c r="F35" i="4"/>
  <c r="D14" i="4"/>
  <c r="F15" i="4"/>
  <c r="D18" i="4"/>
  <c r="F19" i="4"/>
  <c r="D22" i="4"/>
  <c r="D31" i="4"/>
  <c r="D35" i="4"/>
  <c r="E27" i="4"/>
  <c r="E31" i="4"/>
  <c r="E35" i="4"/>
  <c r="F14" i="4"/>
  <c r="D17" i="4"/>
  <c r="F18" i="4"/>
  <c r="D21" i="4"/>
  <c r="F22" i="4"/>
  <c r="E17" i="4"/>
  <c r="E30" i="4"/>
  <c r="E34" i="4"/>
  <c r="D16" i="4"/>
  <c r="F17" i="4"/>
  <c r="D20" i="4"/>
  <c r="F21" i="4"/>
  <c r="D29" i="4"/>
  <c r="D33" i="4"/>
  <c r="E29" i="4"/>
  <c r="D15" i="4"/>
  <c r="F16" i="4"/>
  <c r="D28" i="4"/>
  <c r="F29" i="4"/>
  <c r="D15" i="3"/>
  <c r="E33" i="3"/>
  <c r="F22" i="3"/>
  <c r="F18" i="3"/>
  <c r="F21" i="3"/>
  <c r="F17" i="3"/>
  <c r="F20" i="3"/>
  <c r="F16" i="3"/>
  <c r="F19" i="3"/>
  <c r="F14" i="3"/>
  <c r="G19" i="4" l="1"/>
  <c r="G30" i="4"/>
  <c r="G33" i="4"/>
  <c r="G32" i="4"/>
  <c r="G20" i="4"/>
  <c r="D44" i="4" s="1"/>
  <c r="F44" i="4" s="1"/>
  <c r="G22" i="4"/>
  <c r="G28" i="4"/>
  <c r="D43" i="4"/>
  <c r="F43" i="4" s="1"/>
  <c r="G16" i="4"/>
  <c r="G15" i="4"/>
  <c r="G34" i="4"/>
  <c r="G27" i="4"/>
  <c r="G18" i="4"/>
  <c r="G14" i="4"/>
  <c r="G29" i="4"/>
  <c r="G35" i="4"/>
  <c r="G21" i="4"/>
  <c r="G31" i="4"/>
  <c r="G17" i="4"/>
  <c r="D41" i="4" s="1"/>
  <c r="F41" i="4" s="1"/>
  <c r="E15" i="3"/>
  <c r="G15" i="3" s="1"/>
  <c r="E17" i="3"/>
  <c r="E16" i="3"/>
  <c r="E18" i="3"/>
  <c r="E20" i="3"/>
  <c r="E22" i="3"/>
  <c r="D18" i="3"/>
  <c r="D16" i="3"/>
  <c r="D35" i="3"/>
  <c r="D22" i="3"/>
  <c r="D20" i="3"/>
  <c r="E19" i="3"/>
  <c r="E32" i="3"/>
  <c r="E29" i="3"/>
  <c r="E14" i="3"/>
  <c r="G14" i="3" s="1"/>
  <c r="D21" i="3"/>
  <c r="D17" i="3"/>
  <c r="E21" i="3"/>
  <c r="E27" i="3"/>
  <c r="E34" i="3"/>
  <c r="E35" i="3"/>
  <c r="E30" i="3"/>
  <c r="E31" i="3"/>
  <c r="F27" i="3"/>
  <c r="F30" i="3"/>
  <c r="F32" i="3"/>
  <c r="F29" i="3"/>
  <c r="F33" i="3"/>
  <c r="F34" i="3"/>
  <c r="F31" i="3"/>
  <c r="F35" i="3"/>
  <c r="D46" i="4" l="1"/>
  <c r="F46" i="4" s="1"/>
  <c r="D45" i="4"/>
  <c r="F45" i="4" s="1"/>
  <c r="D39" i="4"/>
  <c r="F39" i="4" s="1"/>
  <c r="D40" i="4"/>
  <c r="F40" i="4" s="1"/>
  <c r="D38" i="4"/>
  <c r="F38" i="4" s="1"/>
  <c r="D42" i="4"/>
  <c r="F42" i="4" s="1"/>
  <c r="G17" i="3"/>
  <c r="G18" i="3"/>
  <c r="G21" i="3"/>
  <c r="G19" i="3"/>
  <c r="G20" i="3"/>
  <c r="G16" i="3"/>
  <c r="G22" i="3"/>
  <c r="D28" i="3"/>
  <c r="D32" i="3"/>
  <c r="G32" i="3" s="1"/>
  <c r="D34" i="3"/>
  <c r="G34" i="3" s="1"/>
  <c r="F28" i="3"/>
  <c r="E28" i="3"/>
  <c r="D29" i="3"/>
  <c r="G29" i="3" s="1"/>
  <c r="D31" i="3"/>
  <c r="G31" i="3" s="1"/>
  <c r="D27" i="3"/>
  <c r="G27" i="3" s="1"/>
  <c r="D38" i="3" s="1"/>
  <c r="F38" i="3" s="1"/>
  <c r="D33" i="3"/>
  <c r="G33" i="3" s="1"/>
  <c r="D30" i="3"/>
  <c r="G30" i="3" s="1"/>
  <c r="G35" i="3"/>
  <c r="D41" i="3" l="1"/>
  <c r="F41" i="3" s="1"/>
  <c r="D42" i="3"/>
  <c r="F42" i="3" s="1"/>
  <c r="D43" i="3"/>
  <c r="F43" i="3" s="1"/>
  <c r="D46" i="3"/>
  <c r="F46" i="3" s="1"/>
  <c r="D44" i="3"/>
  <c r="F44" i="3" s="1"/>
  <c r="D45" i="3"/>
  <c r="F45" i="3" s="1"/>
  <c r="D40" i="3"/>
  <c r="F40" i="3" s="1"/>
  <c r="G28" i="3"/>
  <c r="D39" i="3" s="1"/>
  <c r="F39" i="3" s="1"/>
</calcChain>
</file>

<file path=xl/sharedStrings.xml><?xml version="1.0" encoding="utf-8"?>
<sst xmlns="http://schemas.openxmlformats.org/spreadsheetml/2006/main" count="200" uniqueCount="94">
  <si>
    <t>Year</t>
  </si>
  <si>
    <t>Annual Impact</t>
  </si>
  <si>
    <t>Ferro</t>
  </si>
  <si>
    <t>Non-ferro metals</t>
  </si>
  <si>
    <t>Total resource used</t>
  </si>
  <si>
    <t>Electronics</t>
  </si>
  <si>
    <t>Unit</t>
  </si>
  <si>
    <t>Sales in US</t>
  </si>
  <si>
    <t>Theory of change</t>
  </si>
  <si>
    <t>million</t>
  </si>
  <si>
    <t>Source</t>
  </si>
  <si>
    <t>TecPlastics</t>
  </si>
  <si>
    <t>g</t>
  </si>
  <si>
    <t>Item</t>
  </si>
  <si>
    <t>Misc</t>
  </si>
  <si>
    <t>Domestics, EU, sold in 2016</t>
  </si>
  <si>
    <t>Total Energy, excl Use</t>
  </si>
  <si>
    <t>Energy, Use</t>
  </si>
  <si>
    <t>MJ</t>
  </si>
  <si>
    <t>Total Electricity, excl Use</t>
  </si>
  <si>
    <t>Electricity, Use</t>
  </si>
  <si>
    <t>Waste, non-haz./ landfill, excl Use</t>
  </si>
  <si>
    <t>Waste, non-haz./ landfill, Use</t>
  </si>
  <si>
    <t>Waste, hazardous/ incinerated, Use</t>
  </si>
  <si>
    <t>Waste, hazardous/ incinerated, excl Use</t>
  </si>
  <si>
    <t>calculation, Page 290</t>
  </si>
  <si>
    <t>GWP100, excl Use</t>
  </si>
  <si>
    <t>GWP100, Use</t>
  </si>
  <si>
    <t>SO2-eq, excl Use</t>
  </si>
  <si>
    <t>SO2-eq, Use</t>
  </si>
  <si>
    <t>VOC, excl Use</t>
  </si>
  <si>
    <t>VOC, Use</t>
  </si>
  <si>
    <t>PM, excl Use</t>
  </si>
  <si>
    <t>PM, Use</t>
  </si>
  <si>
    <t>kg CO2-eq</t>
  </si>
  <si>
    <t>g SO2-eq</t>
  </si>
  <si>
    <t>Domestics, EU, per unit</t>
  </si>
  <si>
    <t>Cordless, EU, per unit</t>
  </si>
  <si>
    <t>Cordless, EU, 2016</t>
  </si>
  <si>
    <t>calculation, Page 291</t>
  </si>
  <si>
    <t>Page 202, Calculation</t>
  </si>
  <si>
    <t>page 202, Calculation</t>
  </si>
  <si>
    <t>Bulk Plastics</t>
  </si>
  <si>
    <t>Life Cycle materials </t>
  </si>
  <si>
    <t>Production </t>
  </si>
  <si>
    <t>Use </t>
  </si>
  <si>
    <t>End of life </t>
  </si>
  <si>
    <t>Impacts per product </t>
  </si>
  <si>
    <t>Virgin + recycled </t>
  </si>
  <si>
    <t>Only recycled </t>
  </si>
  <si>
    <t>Disposal </t>
  </si>
  <si>
    <t>Recycle </t>
  </si>
  <si>
    <t>Materials </t>
  </si>
  <si>
    <t>g </t>
  </si>
  <si>
    <t>Bulk Plastics </t>
  </si>
  <si>
    <t>TecPlastics </t>
  </si>
  <si>
    <t>Ferro </t>
  </si>
  <si>
    <t>Non-ferro </t>
  </si>
  <si>
    <t>Electronics </t>
  </si>
  <si>
    <t>Misc. </t>
  </si>
  <si>
    <t>Auxiliaries </t>
  </si>
  <si>
    <t>Total weight </t>
  </si>
  <si>
    <t>Cordless, Page 182</t>
  </si>
  <si>
    <t>Domestics, Page 176</t>
  </si>
  <si>
    <t>Cordless Sales, EU</t>
  </si>
  <si>
    <t>Domestics Sales, EU</t>
  </si>
  <si>
    <t>Commercial Sales, EU</t>
  </si>
  <si>
    <t>Robo Sales, EU</t>
  </si>
  <si>
    <t>Total Sales, EU</t>
  </si>
  <si>
    <t>Cordless Stocks, EU</t>
  </si>
  <si>
    <t>Domestics Stocks, EU</t>
  </si>
  <si>
    <t>Commercial Stocks, EU</t>
  </si>
  <si>
    <t>Robo Stocks, EU</t>
  </si>
  <si>
    <t>Total Stocks, EU</t>
  </si>
  <si>
    <t>Additional unit sold</t>
  </si>
  <si>
    <t>TULU Case</t>
  </si>
  <si>
    <t>Page 193</t>
  </si>
  <si>
    <t>Page 282</t>
  </si>
  <si>
    <t>Additional TULU unit needed</t>
  </si>
  <si>
    <t>TOTAL</t>
  </si>
  <si>
    <t>Material used</t>
  </si>
  <si>
    <t>Total Net Impact</t>
  </si>
  <si>
    <t>Number of additional building</t>
  </si>
  <si>
    <t>Number of vacuum per building</t>
  </si>
  <si>
    <t>ton</t>
  </si>
  <si>
    <t>Counterfactual scenario</t>
  </si>
  <si>
    <t>TJ</t>
  </si>
  <si>
    <t>ton CO2-eq</t>
  </si>
  <si>
    <t>ton SO2-eq</t>
  </si>
  <si>
    <t>Number of  additional user</t>
  </si>
  <si>
    <t>Domestics vacuum ratio</t>
  </si>
  <si>
    <t>Cordless vacuum ratio</t>
  </si>
  <si>
    <t>Ratio of vacuum user</t>
  </si>
  <si>
    <t xml:space="preserve">1. Instead of buying new, Re-use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</si>
</sst>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164" fontId="0" fillId="0" borderId="1" xfId="1" applyNumberFormat="1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0" fillId="6" borderId="0" xfId="0" applyFill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9" xfId="0" applyFill="1" applyBorder="1"/>
    <xf numFmtId="0" fontId="0" fillId="7" borderId="0" xfId="0" applyFill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1" fontId="0" fillId="7" borderId="12" xfId="0" applyNumberFormat="1" applyFill="1" applyBorder="1"/>
    <xf numFmtId="1" fontId="0" fillId="7" borderId="13" xfId="0" applyNumberFormat="1" applyFill="1" applyBorder="1"/>
    <xf numFmtId="0" fontId="0" fillId="7" borderId="6" xfId="0" applyFill="1" applyBorder="1"/>
    <xf numFmtId="0" fontId="0" fillId="7" borderId="8" xfId="0" applyFill="1" applyBorder="1"/>
    <xf numFmtId="9" fontId="0" fillId="7" borderId="13" xfId="0" applyNumberFormat="1" applyFill="1" applyBorder="1"/>
    <xf numFmtId="0" fontId="1" fillId="0" borderId="2" xfId="0" applyFont="1" applyBorder="1"/>
    <xf numFmtId="43" fontId="1" fillId="0" borderId="2" xfId="0" applyNumberFormat="1" applyFont="1" applyBorder="1"/>
    <xf numFmtId="43" fontId="1" fillId="0" borderId="1" xfId="0" applyNumberFormat="1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9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1" xfId="0" applyFont="1" applyFill="1" applyBorder="1"/>
    <xf numFmtId="0" fontId="4" fillId="8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164" fontId="2" fillId="0" borderId="1" xfId="1" applyNumberFormat="1" applyFont="1" applyBorder="1"/>
    <xf numFmtId="0" fontId="4" fillId="8" borderId="3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4E89-E9C7-A94F-912C-9E0942E99357}">
  <dimension ref="A1:F68"/>
  <sheetViews>
    <sheetView showGridLines="0" topLeftCell="A49" zoomScale="112" workbookViewId="0">
      <selection activeCell="A3" sqref="A3"/>
    </sheetView>
  </sheetViews>
  <sheetFormatPr baseColWidth="10" defaultRowHeight="16" x14ac:dyDescent="0.2"/>
  <cols>
    <col min="1" max="1" width="32.1640625" customWidth="1"/>
    <col min="3" max="3" width="24.33203125" bestFit="1" customWidth="1"/>
    <col min="4" max="4" width="23.5" bestFit="1" customWidth="1"/>
    <col min="5" max="5" width="31" bestFit="1" customWidth="1"/>
    <col min="6" max="6" width="32.5" bestFit="1" customWidth="1"/>
  </cols>
  <sheetData>
    <row r="1" spans="1:6" x14ac:dyDescent="0.2">
      <c r="A1" t="s">
        <v>8</v>
      </c>
    </row>
    <row r="2" spans="1:6" x14ac:dyDescent="0.2">
      <c r="A2" s="12" t="s">
        <v>93</v>
      </c>
    </row>
    <row r="4" spans="1:6" x14ac:dyDescent="0.2">
      <c r="A4" s="38" t="s">
        <v>13</v>
      </c>
      <c r="B4" s="38" t="s">
        <v>6</v>
      </c>
      <c r="C4" s="38">
        <v>2016</v>
      </c>
      <c r="D4" s="38">
        <v>2023</v>
      </c>
      <c r="E4" s="38">
        <v>2024</v>
      </c>
      <c r="F4" s="38">
        <v>2025</v>
      </c>
    </row>
    <row r="5" spans="1:6" x14ac:dyDescent="0.2">
      <c r="A5" s="2" t="s">
        <v>7</v>
      </c>
      <c r="B5" s="2" t="s">
        <v>9</v>
      </c>
      <c r="C5" s="2"/>
      <c r="D5" s="33">
        <v>28.545000000000002</v>
      </c>
      <c r="E5" s="33">
        <f>D5*E10/D10</f>
        <v>28.89871747211896</v>
      </c>
      <c r="F5" s="33">
        <f>E5*F10/E10</f>
        <v>29.231211895910782</v>
      </c>
    </row>
    <row r="6" spans="1:6" x14ac:dyDescent="0.2">
      <c r="A6" s="1" t="s">
        <v>64</v>
      </c>
      <c r="B6" s="1" t="s">
        <v>9</v>
      </c>
      <c r="C6" s="1">
        <v>6.05</v>
      </c>
      <c r="D6" s="1">
        <v>7.39</v>
      </c>
      <c r="E6" s="1">
        <v>8.25</v>
      </c>
      <c r="F6" s="1">
        <v>9.11</v>
      </c>
    </row>
    <row r="7" spans="1:6" x14ac:dyDescent="0.2">
      <c r="A7" s="1" t="s">
        <v>65</v>
      </c>
      <c r="B7" s="1" t="s">
        <v>9</v>
      </c>
      <c r="C7" s="1">
        <v>30.31</v>
      </c>
      <c r="D7" s="1">
        <f>23.43+2.6+1.66</f>
        <v>27.69</v>
      </c>
      <c r="E7" s="1">
        <f>22.77+2.58+1.77</f>
        <v>27.12</v>
      </c>
      <c r="F7" s="1">
        <f>22.06+2.56+1.87</f>
        <v>26.49</v>
      </c>
    </row>
    <row r="8" spans="1:6" x14ac:dyDescent="0.2">
      <c r="A8" s="1" t="s">
        <v>66</v>
      </c>
      <c r="B8" s="1" t="s">
        <v>9</v>
      </c>
      <c r="C8" s="1">
        <v>3.45</v>
      </c>
      <c r="D8" s="1">
        <f>2.95+0.31</f>
        <v>3.2600000000000002</v>
      </c>
      <c r="E8" s="1">
        <f t="shared" ref="E8:F8" si="0">2.95+0.31</f>
        <v>3.2600000000000002</v>
      </c>
      <c r="F8" s="1">
        <f t="shared" si="0"/>
        <v>3.2600000000000002</v>
      </c>
    </row>
    <row r="9" spans="1:6" x14ac:dyDescent="0.2">
      <c r="A9" s="1" t="s">
        <v>67</v>
      </c>
      <c r="B9" s="1" t="s">
        <v>9</v>
      </c>
      <c r="C9" s="1">
        <v>1.66</v>
      </c>
      <c r="D9" s="1">
        <v>2</v>
      </c>
      <c r="E9" s="1">
        <v>2.2200000000000002</v>
      </c>
      <c r="F9" s="1">
        <v>2.4500000000000002</v>
      </c>
    </row>
    <row r="10" spans="1:6" x14ac:dyDescent="0.2">
      <c r="A10" s="2" t="s">
        <v>68</v>
      </c>
      <c r="B10" s="2" t="s">
        <v>9</v>
      </c>
      <c r="C10" s="2">
        <f>SUM(C6:C9)</f>
        <v>41.47</v>
      </c>
      <c r="D10" s="2">
        <v>40.35</v>
      </c>
      <c r="E10" s="2">
        <v>40.85</v>
      </c>
      <c r="F10" s="2">
        <v>41.32</v>
      </c>
    </row>
    <row r="11" spans="1:6" x14ac:dyDescent="0.2">
      <c r="A11" s="1" t="s">
        <v>69</v>
      </c>
      <c r="B11" s="1" t="s">
        <v>9</v>
      </c>
      <c r="C11" s="1">
        <v>19.72</v>
      </c>
      <c r="D11" s="1">
        <v>28</v>
      </c>
      <c r="E11" s="1">
        <v>33.5</v>
      </c>
      <c r="F11" s="1">
        <v>39.200000000000003</v>
      </c>
    </row>
    <row r="12" spans="1:6" x14ac:dyDescent="0.2">
      <c r="A12" s="1" t="s">
        <v>70</v>
      </c>
      <c r="B12" s="1" t="s">
        <v>9</v>
      </c>
      <c r="C12" s="1">
        <v>253.57</v>
      </c>
      <c r="D12" s="1">
        <f>213+25.1+10.7</f>
        <v>248.79999999999998</v>
      </c>
      <c r="E12" s="1">
        <f>210.2+24.3+11.5</f>
        <v>246</v>
      </c>
      <c r="F12" s="1">
        <f>206.7+23.6+12.3</f>
        <v>242.6</v>
      </c>
    </row>
    <row r="13" spans="1:6" x14ac:dyDescent="0.2">
      <c r="A13" s="1" t="s">
        <v>71</v>
      </c>
      <c r="B13" s="1" t="s">
        <v>9</v>
      </c>
      <c r="C13" s="1">
        <v>21.2</v>
      </c>
      <c r="D13" s="1"/>
      <c r="E13" s="1">
        <f>16.5+1.8</f>
        <v>18.3</v>
      </c>
      <c r="F13" s="1">
        <f>16.4+1.8</f>
        <v>18.2</v>
      </c>
    </row>
    <row r="14" spans="1:6" x14ac:dyDescent="0.2">
      <c r="A14" s="1" t="s">
        <v>72</v>
      </c>
      <c r="B14" s="1" t="s">
        <v>9</v>
      </c>
      <c r="C14" s="1">
        <v>6.29</v>
      </c>
      <c r="D14" s="1">
        <v>9.5</v>
      </c>
      <c r="E14" s="1">
        <v>10.5</v>
      </c>
      <c r="F14" s="1">
        <v>11.7</v>
      </c>
    </row>
    <row r="15" spans="1:6" x14ac:dyDescent="0.2">
      <c r="A15" s="2" t="s">
        <v>73</v>
      </c>
      <c r="B15" s="2" t="s">
        <v>9</v>
      </c>
      <c r="C15" s="2">
        <f>SUM(C12:C14)</f>
        <v>281.06</v>
      </c>
      <c r="D15" s="2">
        <v>304.7</v>
      </c>
      <c r="E15" s="2">
        <v>308.3</v>
      </c>
      <c r="F15" s="2">
        <v>311.7</v>
      </c>
    </row>
    <row r="16" spans="1:6" x14ac:dyDescent="0.2">
      <c r="C16" t="s">
        <v>76</v>
      </c>
      <c r="D16" t="s">
        <v>77</v>
      </c>
      <c r="E16" t="s">
        <v>77</v>
      </c>
      <c r="F16" t="s">
        <v>77</v>
      </c>
    </row>
    <row r="18" spans="1:6" x14ac:dyDescent="0.2">
      <c r="A18" s="38" t="s">
        <v>1</v>
      </c>
      <c r="B18" s="38" t="s">
        <v>6</v>
      </c>
      <c r="C18" s="38" t="s">
        <v>15</v>
      </c>
      <c r="D18" s="38" t="s">
        <v>36</v>
      </c>
      <c r="E18" s="38" t="s">
        <v>38</v>
      </c>
      <c r="F18" s="38" t="s">
        <v>37</v>
      </c>
    </row>
    <row r="19" spans="1:6" x14ac:dyDescent="0.2">
      <c r="A19" s="41" t="s">
        <v>10</v>
      </c>
      <c r="B19" s="41"/>
      <c r="C19" s="41" t="s">
        <v>40</v>
      </c>
      <c r="D19" s="41" t="s">
        <v>25</v>
      </c>
      <c r="E19" s="41" t="s">
        <v>41</v>
      </c>
      <c r="F19" s="41" t="s">
        <v>39</v>
      </c>
    </row>
    <row r="20" spans="1:6" x14ac:dyDescent="0.2">
      <c r="A20" s="3" t="s">
        <v>42</v>
      </c>
      <c r="B20" s="1" t="s">
        <v>12</v>
      </c>
      <c r="C20" s="42">
        <v>40000000000</v>
      </c>
      <c r="D20" s="4">
        <f t="shared" ref="D20:D26" si="1">C20/$C$7/1000000</f>
        <v>1319.6964698119432</v>
      </c>
      <c r="E20" s="42">
        <v>6000000000</v>
      </c>
      <c r="F20" s="4">
        <f t="shared" ref="F20:F26" si="2">E20/$C$7/1000000</f>
        <v>197.9544704717915</v>
      </c>
    </row>
    <row r="21" spans="1:6" x14ac:dyDescent="0.2">
      <c r="A21" s="3" t="s">
        <v>11</v>
      </c>
      <c r="B21" s="1" t="s">
        <v>12</v>
      </c>
      <c r="C21" s="42">
        <v>5000000000</v>
      </c>
      <c r="D21" s="4">
        <f t="shared" si="1"/>
        <v>164.9620587264929</v>
      </c>
      <c r="E21" s="42">
        <v>1000000000</v>
      </c>
      <c r="F21" s="4">
        <f t="shared" si="2"/>
        <v>32.992411745298583</v>
      </c>
    </row>
    <row r="22" spans="1:6" x14ac:dyDescent="0.2">
      <c r="A22" s="3" t="s">
        <v>2</v>
      </c>
      <c r="B22" s="1" t="s">
        <v>12</v>
      </c>
      <c r="C22" s="42">
        <v>2000000000</v>
      </c>
      <c r="D22" s="4">
        <f t="shared" si="1"/>
        <v>65.984823490597165</v>
      </c>
      <c r="E22" s="42">
        <v>0</v>
      </c>
      <c r="F22" s="4">
        <f t="shared" si="2"/>
        <v>0</v>
      </c>
    </row>
    <row r="23" spans="1:6" x14ac:dyDescent="0.2">
      <c r="A23" s="3" t="s">
        <v>3</v>
      </c>
      <c r="B23" s="1" t="s">
        <v>12</v>
      </c>
      <c r="C23" s="42">
        <v>1000000000</v>
      </c>
      <c r="D23" s="4">
        <f t="shared" si="1"/>
        <v>32.992411745298583</v>
      </c>
      <c r="E23" s="42">
        <v>0</v>
      </c>
      <c r="F23" s="4">
        <f t="shared" si="2"/>
        <v>0</v>
      </c>
    </row>
    <row r="24" spans="1:6" x14ac:dyDescent="0.2">
      <c r="A24" s="3" t="s">
        <v>5</v>
      </c>
      <c r="B24" s="1" t="s">
        <v>12</v>
      </c>
      <c r="C24" s="42">
        <v>0</v>
      </c>
      <c r="D24" s="4">
        <f t="shared" si="1"/>
        <v>0</v>
      </c>
      <c r="E24" s="42">
        <v>0</v>
      </c>
      <c r="F24" s="4">
        <f t="shared" si="2"/>
        <v>0</v>
      </c>
    </row>
    <row r="25" spans="1:6" x14ac:dyDescent="0.2">
      <c r="A25" s="3" t="s">
        <v>14</v>
      </c>
      <c r="B25" s="1" t="s">
        <v>12</v>
      </c>
      <c r="C25" s="42">
        <v>13000000000</v>
      </c>
      <c r="D25" s="4">
        <f t="shared" si="1"/>
        <v>428.90135268888156</v>
      </c>
      <c r="E25" s="42">
        <v>1000000000</v>
      </c>
      <c r="F25" s="4">
        <f t="shared" si="2"/>
        <v>32.992411745298583</v>
      </c>
    </row>
    <row r="26" spans="1:6" x14ac:dyDescent="0.2">
      <c r="A26" s="3" t="s">
        <v>4</v>
      </c>
      <c r="B26" s="1" t="s">
        <v>12</v>
      </c>
      <c r="C26" s="42">
        <f>SUM(C20:C25)</f>
        <v>61000000000</v>
      </c>
      <c r="D26" s="4">
        <f t="shared" si="1"/>
        <v>2012.5371164632134</v>
      </c>
      <c r="E26" s="42">
        <f>SUM(E20:E25)</f>
        <v>8000000000</v>
      </c>
      <c r="F26" s="4">
        <f t="shared" si="2"/>
        <v>263.93929396238866</v>
      </c>
    </row>
    <row r="27" spans="1:6" x14ac:dyDescent="0.2">
      <c r="A27" s="41" t="s">
        <v>16</v>
      </c>
      <c r="B27" s="1" t="s">
        <v>18</v>
      </c>
      <c r="C27" s="42">
        <f t="shared" ref="C27:C42" si="3">D27*$C$7*1000000</f>
        <v>26036289999.999996</v>
      </c>
      <c r="D27" s="4">
        <f>3293-2434</f>
        <v>859</v>
      </c>
      <c r="E27" s="42">
        <f t="shared" ref="E27:E42" si="4">F27*$C$6*1000000</f>
        <v>5027550000</v>
      </c>
      <c r="F27" s="4">
        <f>3014-2183</f>
        <v>831</v>
      </c>
    </row>
    <row r="28" spans="1:6" x14ac:dyDescent="0.2">
      <c r="A28" s="41" t="s">
        <v>17</v>
      </c>
      <c r="B28" s="1" t="s">
        <v>18</v>
      </c>
      <c r="C28" s="42">
        <f t="shared" si="3"/>
        <v>73774540000</v>
      </c>
      <c r="D28" s="4">
        <v>2434</v>
      </c>
      <c r="E28" s="42">
        <f t="shared" si="4"/>
        <v>13207150000</v>
      </c>
      <c r="F28" s="4">
        <v>2183</v>
      </c>
    </row>
    <row r="29" spans="1:6" x14ac:dyDescent="0.2">
      <c r="A29" s="41" t="s">
        <v>19</v>
      </c>
      <c r="B29" s="1" t="s">
        <v>18</v>
      </c>
      <c r="C29" s="42">
        <f t="shared" si="3"/>
        <v>5061770000</v>
      </c>
      <c r="D29" s="4">
        <f>2587-2420</f>
        <v>167</v>
      </c>
      <c r="E29" s="42">
        <f t="shared" si="4"/>
        <v>774400000</v>
      </c>
      <c r="F29" s="4">
        <f>2306-2178</f>
        <v>128</v>
      </c>
    </row>
    <row r="30" spans="1:6" x14ac:dyDescent="0.2">
      <c r="A30" s="41" t="s">
        <v>20</v>
      </c>
      <c r="B30" s="1" t="s">
        <v>18</v>
      </c>
      <c r="C30" s="42">
        <f t="shared" si="3"/>
        <v>73350200000</v>
      </c>
      <c r="D30" s="4">
        <v>2420</v>
      </c>
      <c r="E30" s="42">
        <f t="shared" si="4"/>
        <v>13176900000</v>
      </c>
      <c r="F30" s="4">
        <v>2178</v>
      </c>
    </row>
    <row r="31" spans="1:6" x14ac:dyDescent="0.2">
      <c r="A31" s="5" t="s">
        <v>21</v>
      </c>
      <c r="B31" s="1" t="s">
        <v>12</v>
      </c>
      <c r="C31" s="42">
        <f t="shared" si="3"/>
        <v>45131590000</v>
      </c>
      <c r="D31" s="4">
        <f>2769-1280</f>
        <v>1489</v>
      </c>
      <c r="E31" s="42">
        <f t="shared" si="4"/>
        <v>9589250000</v>
      </c>
      <c r="F31" s="4">
        <f>2717-1132</f>
        <v>1585</v>
      </c>
    </row>
    <row r="32" spans="1:6" x14ac:dyDescent="0.2">
      <c r="A32" s="5" t="s">
        <v>22</v>
      </c>
      <c r="B32" s="1" t="s">
        <v>12</v>
      </c>
      <c r="C32" s="42">
        <f t="shared" si="3"/>
        <v>38796799999.999992</v>
      </c>
      <c r="D32" s="4">
        <v>1280</v>
      </c>
      <c r="E32" s="42">
        <f t="shared" si="4"/>
        <v>6848599999.999999</v>
      </c>
      <c r="F32" s="4">
        <v>1132</v>
      </c>
    </row>
    <row r="33" spans="1:6" x14ac:dyDescent="0.2">
      <c r="A33" s="5" t="s">
        <v>24</v>
      </c>
      <c r="B33" s="1" t="s">
        <v>12</v>
      </c>
      <c r="C33" s="42">
        <f t="shared" si="3"/>
        <v>1454880000</v>
      </c>
      <c r="D33" s="4">
        <f>87-39</f>
        <v>48</v>
      </c>
      <c r="E33" s="42">
        <f t="shared" si="4"/>
        <v>235950000</v>
      </c>
      <c r="F33" s="4">
        <f>74-35</f>
        <v>39</v>
      </c>
    </row>
    <row r="34" spans="1:6" x14ac:dyDescent="0.2">
      <c r="A34" s="5" t="s">
        <v>23</v>
      </c>
      <c r="B34" s="1" t="s">
        <v>12</v>
      </c>
      <c r="C34" s="42">
        <f t="shared" si="3"/>
        <v>1182090000</v>
      </c>
      <c r="D34" s="4">
        <v>39</v>
      </c>
      <c r="E34" s="42">
        <f t="shared" si="4"/>
        <v>211750000</v>
      </c>
      <c r="F34" s="4">
        <v>35</v>
      </c>
    </row>
    <row r="35" spans="1:6" x14ac:dyDescent="0.2">
      <c r="A35" s="6" t="s">
        <v>26</v>
      </c>
      <c r="B35" s="1" t="s">
        <v>34</v>
      </c>
      <c r="C35" s="42">
        <f t="shared" si="3"/>
        <v>1363950000</v>
      </c>
      <c r="D35" s="4">
        <f>149-104</f>
        <v>45</v>
      </c>
      <c r="E35" s="42">
        <f t="shared" si="4"/>
        <v>266200000</v>
      </c>
      <c r="F35" s="4">
        <f>137-93</f>
        <v>44</v>
      </c>
    </row>
    <row r="36" spans="1:6" x14ac:dyDescent="0.2">
      <c r="A36" s="6" t="s">
        <v>27</v>
      </c>
      <c r="B36" s="1" t="s">
        <v>34</v>
      </c>
      <c r="C36" s="42">
        <f t="shared" si="3"/>
        <v>3152240000</v>
      </c>
      <c r="D36" s="4">
        <v>104</v>
      </c>
      <c r="E36" s="42">
        <f t="shared" si="4"/>
        <v>562650000</v>
      </c>
      <c r="F36" s="4">
        <v>93</v>
      </c>
    </row>
    <row r="37" spans="1:6" x14ac:dyDescent="0.2">
      <c r="A37" s="6" t="s">
        <v>28</v>
      </c>
      <c r="B37" s="1" t="s">
        <v>35</v>
      </c>
      <c r="C37" s="42">
        <f t="shared" si="3"/>
        <v>6122620000</v>
      </c>
      <c r="D37" s="4">
        <f>662-460</f>
        <v>202</v>
      </c>
      <c r="E37" s="42">
        <f t="shared" si="4"/>
        <v>1306800000</v>
      </c>
      <c r="F37" s="4">
        <f>629-413</f>
        <v>216</v>
      </c>
    </row>
    <row r="38" spans="1:6" x14ac:dyDescent="0.2">
      <c r="A38" s="6" t="s">
        <v>29</v>
      </c>
      <c r="B38" s="1" t="s">
        <v>35</v>
      </c>
      <c r="C38" s="42">
        <f t="shared" si="3"/>
        <v>13942599999.999998</v>
      </c>
      <c r="D38" s="4">
        <v>460</v>
      </c>
      <c r="E38" s="42">
        <f t="shared" si="4"/>
        <v>2498650000</v>
      </c>
      <c r="F38" s="4">
        <v>413</v>
      </c>
    </row>
    <row r="39" spans="1:6" x14ac:dyDescent="0.2">
      <c r="A39" s="6" t="s">
        <v>30</v>
      </c>
      <c r="B39" s="1" t="s">
        <v>12</v>
      </c>
      <c r="C39" s="42">
        <f t="shared" si="3"/>
        <v>60620000</v>
      </c>
      <c r="D39" s="4">
        <f>56-54</f>
        <v>2</v>
      </c>
      <c r="E39" s="42">
        <f t="shared" si="4"/>
        <v>6050000</v>
      </c>
      <c r="F39" s="4">
        <f>50-49</f>
        <v>1</v>
      </c>
    </row>
    <row r="40" spans="1:6" x14ac:dyDescent="0.2">
      <c r="A40" s="6" t="s">
        <v>31</v>
      </c>
      <c r="B40" s="1" t="s">
        <v>12</v>
      </c>
      <c r="C40" s="42">
        <f t="shared" si="3"/>
        <v>1636740000</v>
      </c>
      <c r="D40" s="4">
        <v>54</v>
      </c>
      <c r="E40" s="42">
        <f t="shared" si="4"/>
        <v>296450000</v>
      </c>
      <c r="F40" s="4">
        <v>49</v>
      </c>
    </row>
    <row r="41" spans="1:6" x14ac:dyDescent="0.2">
      <c r="A41" s="6" t="s">
        <v>32</v>
      </c>
      <c r="B41" s="1" t="s">
        <v>12</v>
      </c>
      <c r="C41" s="42">
        <f t="shared" si="3"/>
        <v>9729510000</v>
      </c>
      <c r="D41" s="4">
        <f>331-10</f>
        <v>321</v>
      </c>
      <c r="E41" s="42">
        <f t="shared" si="4"/>
        <v>1282600000</v>
      </c>
      <c r="F41" s="4">
        <f>221-9</f>
        <v>212</v>
      </c>
    </row>
    <row r="42" spans="1:6" x14ac:dyDescent="0.2">
      <c r="A42" s="6" t="s">
        <v>33</v>
      </c>
      <c r="B42" s="1" t="s">
        <v>12</v>
      </c>
      <c r="C42" s="42">
        <f t="shared" si="3"/>
        <v>303099999.99999994</v>
      </c>
      <c r="D42" s="4">
        <v>10</v>
      </c>
      <c r="E42" s="42">
        <f t="shared" si="4"/>
        <v>54449999.999999993</v>
      </c>
      <c r="F42" s="4">
        <v>9</v>
      </c>
    </row>
    <row r="45" spans="1:6" x14ac:dyDescent="0.2">
      <c r="A45" t="s">
        <v>63</v>
      </c>
    </row>
    <row r="46" spans="1:6" x14ac:dyDescent="0.2">
      <c r="A46" s="39" t="s">
        <v>43</v>
      </c>
      <c r="B46" s="43" t="s">
        <v>44</v>
      </c>
      <c r="C46" s="44"/>
      <c r="D46" s="45" t="s">
        <v>45</v>
      </c>
      <c r="E46" s="43" t="s">
        <v>46</v>
      </c>
      <c r="F46" s="44"/>
    </row>
    <row r="47" spans="1:6" x14ac:dyDescent="0.2">
      <c r="A47" s="39" t="s">
        <v>47</v>
      </c>
      <c r="B47" s="39" t="s">
        <v>48</v>
      </c>
      <c r="C47" s="39" t="s">
        <v>49</v>
      </c>
      <c r="D47" s="46"/>
      <c r="E47" s="39" t="s">
        <v>50</v>
      </c>
      <c r="F47" s="39" t="s">
        <v>51</v>
      </c>
    </row>
    <row r="48" spans="1:6" x14ac:dyDescent="0.2">
      <c r="A48" s="40" t="s">
        <v>52</v>
      </c>
      <c r="B48" s="40" t="s">
        <v>53</v>
      </c>
      <c r="C48" s="41" t="s">
        <v>53</v>
      </c>
      <c r="D48" s="40" t="s">
        <v>53</v>
      </c>
      <c r="E48" s="40" t="s">
        <v>53</v>
      </c>
      <c r="F48" s="40" t="s">
        <v>53</v>
      </c>
    </row>
    <row r="49" spans="1:6" x14ac:dyDescent="0.2">
      <c r="A49" s="10" t="s">
        <v>54</v>
      </c>
      <c r="B49" s="10">
        <v>3480</v>
      </c>
      <c r="C49" s="11">
        <v>873</v>
      </c>
      <c r="D49" s="10">
        <v>35</v>
      </c>
      <c r="E49" s="10">
        <v>1044</v>
      </c>
      <c r="F49" s="10">
        <v>1044</v>
      </c>
    </row>
    <row r="50" spans="1:6" x14ac:dyDescent="0.2">
      <c r="A50" s="10" t="s">
        <v>55</v>
      </c>
      <c r="B50" s="10">
        <v>596</v>
      </c>
      <c r="C50" s="11">
        <v>0</v>
      </c>
      <c r="D50" s="10">
        <v>6</v>
      </c>
      <c r="E50" s="10">
        <v>179</v>
      </c>
      <c r="F50" s="10">
        <v>179</v>
      </c>
    </row>
    <row r="51" spans="1:6" x14ac:dyDescent="0.2">
      <c r="A51" s="10" t="s">
        <v>56</v>
      </c>
      <c r="B51" s="10">
        <v>1192</v>
      </c>
      <c r="C51" s="11">
        <v>477</v>
      </c>
      <c r="D51" s="10">
        <v>12</v>
      </c>
      <c r="E51" s="10">
        <v>60</v>
      </c>
      <c r="F51" s="10">
        <v>1132</v>
      </c>
    </row>
    <row r="52" spans="1:6" x14ac:dyDescent="0.2">
      <c r="A52" s="10" t="s">
        <v>57</v>
      </c>
      <c r="B52" s="10">
        <v>451</v>
      </c>
      <c r="C52" s="11">
        <v>181</v>
      </c>
      <c r="D52" s="10">
        <v>5</v>
      </c>
      <c r="E52" s="10">
        <v>23</v>
      </c>
      <c r="F52" s="10">
        <v>429</v>
      </c>
    </row>
    <row r="53" spans="1:6" x14ac:dyDescent="0.2">
      <c r="A53" s="10" t="s">
        <v>58</v>
      </c>
      <c r="B53" s="10">
        <v>21</v>
      </c>
      <c r="C53" s="11">
        <v>5</v>
      </c>
      <c r="D53" s="10">
        <v>0</v>
      </c>
      <c r="E53" s="10">
        <v>10</v>
      </c>
      <c r="F53" s="10">
        <v>10</v>
      </c>
    </row>
    <row r="54" spans="1:6" x14ac:dyDescent="0.2">
      <c r="A54" s="10" t="s">
        <v>59</v>
      </c>
      <c r="B54" s="10">
        <v>1338</v>
      </c>
      <c r="C54" s="11">
        <v>1199</v>
      </c>
      <c r="D54" s="10">
        <v>13</v>
      </c>
      <c r="E54" s="10">
        <v>453</v>
      </c>
      <c r="F54" s="10">
        <v>872</v>
      </c>
    </row>
    <row r="55" spans="1:6" x14ac:dyDescent="0.2">
      <c r="A55" s="10" t="s">
        <v>60</v>
      </c>
      <c r="B55" s="10">
        <v>0</v>
      </c>
      <c r="C55" s="11">
        <v>0</v>
      </c>
      <c r="D55" s="10">
        <v>640</v>
      </c>
      <c r="E55" s="10">
        <v>352</v>
      </c>
      <c r="F55" s="10">
        <v>224</v>
      </c>
    </row>
    <row r="56" spans="1:6" x14ac:dyDescent="0.2">
      <c r="A56" s="9" t="s">
        <v>61</v>
      </c>
      <c r="B56" s="9">
        <v>7079</v>
      </c>
      <c r="C56" s="11">
        <v>2734</v>
      </c>
      <c r="D56" s="9">
        <v>711</v>
      </c>
      <c r="E56" s="9">
        <v>2121</v>
      </c>
      <c r="F56" s="9">
        <v>3890</v>
      </c>
    </row>
    <row r="58" spans="1:6" x14ac:dyDescent="0.2">
      <c r="A58" s="8" t="s">
        <v>62</v>
      </c>
    </row>
    <row r="59" spans="1:6" x14ac:dyDescent="0.2">
      <c r="A59" s="39" t="s">
        <v>43</v>
      </c>
      <c r="B59" s="43" t="s">
        <v>44</v>
      </c>
      <c r="C59" s="44"/>
      <c r="D59" s="45" t="s">
        <v>45</v>
      </c>
      <c r="E59" s="43" t="s">
        <v>46</v>
      </c>
      <c r="F59" s="44"/>
    </row>
    <row r="60" spans="1:6" x14ac:dyDescent="0.2">
      <c r="A60" s="39" t="s">
        <v>47</v>
      </c>
      <c r="B60" s="39" t="s">
        <v>48</v>
      </c>
      <c r="C60" s="39" t="s">
        <v>49</v>
      </c>
      <c r="D60" s="46"/>
      <c r="E60" s="39" t="s">
        <v>50</v>
      </c>
      <c r="F60" s="39" t="s">
        <v>51</v>
      </c>
    </row>
    <row r="61" spans="1:6" x14ac:dyDescent="0.2">
      <c r="A61" s="40" t="s">
        <v>52</v>
      </c>
      <c r="B61" s="40" t="s">
        <v>53</v>
      </c>
      <c r="C61" s="40" t="s">
        <v>53</v>
      </c>
      <c r="D61" s="40" t="s">
        <v>53</v>
      </c>
      <c r="E61" s="40" t="s">
        <v>53</v>
      </c>
      <c r="F61" s="40" t="s">
        <v>53</v>
      </c>
    </row>
    <row r="62" spans="1:6" x14ac:dyDescent="0.2">
      <c r="A62" s="10" t="s">
        <v>54</v>
      </c>
      <c r="B62" s="10">
        <v>3035</v>
      </c>
      <c r="C62" s="11">
        <v>759</v>
      </c>
      <c r="D62" s="1">
        <v>30</v>
      </c>
      <c r="E62" s="10">
        <v>643</v>
      </c>
      <c r="F62" s="10">
        <v>630</v>
      </c>
    </row>
    <row r="63" spans="1:6" x14ac:dyDescent="0.2">
      <c r="A63" s="10" t="s">
        <v>55</v>
      </c>
      <c r="B63" s="10">
        <v>426</v>
      </c>
      <c r="C63" s="11">
        <v>0</v>
      </c>
      <c r="D63" s="1">
        <v>4</v>
      </c>
      <c r="E63" s="10">
        <v>90</v>
      </c>
      <c r="F63" s="10">
        <v>88</v>
      </c>
    </row>
    <row r="64" spans="1:6" x14ac:dyDescent="0.2">
      <c r="A64" s="10" t="s">
        <v>56</v>
      </c>
      <c r="B64" s="10">
        <v>1120</v>
      </c>
      <c r="C64" s="11">
        <v>448</v>
      </c>
      <c r="D64" s="1">
        <v>11</v>
      </c>
      <c r="E64" s="10">
        <v>40</v>
      </c>
      <c r="F64" s="10">
        <v>751</v>
      </c>
    </row>
    <row r="65" spans="1:6" x14ac:dyDescent="0.2">
      <c r="A65" s="10" t="s">
        <v>57</v>
      </c>
      <c r="B65" s="10">
        <v>1428</v>
      </c>
      <c r="C65" s="11">
        <v>571</v>
      </c>
      <c r="D65" s="1">
        <v>14</v>
      </c>
      <c r="E65" s="10">
        <v>50</v>
      </c>
      <c r="F65" s="10">
        <v>958</v>
      </c>
    </row>
    <row r="66" spans="1:6" x14ac:dyDescent="0.2">
      <c r="A66" s="10" t="s">
        <v>58</v>
      </c>
      <c r="B66" s="10">
        <v>2</v>
      </c>
      <c r="C66" s="11">
        <v>1</v>
      </c>
      <c r="D66" s="1">
        <v>0</v>
      </c>
      <c r="E66" s="10">
        <v>1</v>
      </c>
      <c r="F66" s="10">
        <v>1</v>
      </c>
    </row>
    <row r="67" spans="1:6" x14ac:dyDescent="0.2">
      <c r="A67" s="10" t="s">
        <v>59</v>
      </c>
      <c r="B67" s="10">
        <v>824</v>
      </c>
      <c r="C67" s="11">
        <v>742</v>
      </c>
      <c r="D67" s="1">
        <v>8</v>
      </c>
      <c r="E67" s="10">
        <v>198</v>
      </c>
      <c r="F67" s="10">
        <v>377</v>
      </c>
    </row>
    <row r="68" spans="1:6" x14ac:dyDescent="0.2">
      <c r="A68" s="10" t="s">
        <v>61</v>
      </c>
      <c r="B68" s="10">
        <v>6835</v>
      </c>
      <c r="C68" s="11">
        <v>2520</v>
      </c>
      <c r="D68" s="10">
        <v>68</v>
      </c>
      <c r="E68" s="10">
        <v>1022</v>
      </c>
      <c r="F68" s="10">
        <v>2806</v>
      </c>
    </row>
  </sheetData>
  <mergeCells count="6">
    <mergeCell ref="B46:C46"/>
    <mergeCell ref="E46:F46"/>
    <mergeCell ref="D59:D60"/>
    <mergeCell ref="B59:C59"/>
    <mergeCell ref="D46:D47"/>
    <mergeCell ref="E59:F59"/>
  </mergeCells>
  <phoneticPr fontId="6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80BF-5B37-034C-946B-82478CA7CD4A}">
  <dimension ref="B2:G46"/>
  <sheetViews>
    <sheetView showGridLines="0" workbookViewId="0">
      <selection activeCell="B35" sqref="B35"/>
    </sheetView>
  </sheetViews>
  <sheetFormatPr baseColWidth="10" defaultRowHeight="16" x14ac:dyDescent="0.2"/>
  <cols>
    <col min="1" max="1" width="7.1640625" customWidth="1"/>
    <col min="2" max="2" width="36.6640625" bestFit="1" customWidth="1"/>
    <col min="3" max="3" width="9" bestFit="1" customWidth="1"/>
    <col min="4" max="4" width="13" bestFit="1" customWidth="1"/>
    <col min="5" max="6" width="11.5" bestFit="1" customWidth="1"/>
    <col min="7" max="7" width="12.5" bestFit="1" customWidth="1"/>
  </cols>
  <sheetData>
    <row r="2" spans="2:7" x14ac:dyDescent="0.2">
      <c r="B2" s="26" t="s">
        <v>90</v>
      </c>
      <c r="C2" s="27">
        <v>0.75</v>
      </c>
    </row>
    <row r="3" spans="2:7" x14ac:dyDescent="0.2">
      <c r="B3" s="19" t="s">
        <v>91</v>
      </c>
      <c r="C3" s="21">
        <v>0.25</v>
      </c>
    </row>
    <row r="4" spans="2:7" x14ac:dyDescent="0.2">
      <c r="B4" s="19" t="s">
        <v>83</v>
      </c>
      <c r="C4" s="21">
        <v>4</v>
      </c>
    </row>
    <row r="5" spans="2:7" x14ac:dyDescent="0.2">
      <c r="B5" s="22" t="s">
        <v>92</v>
      </c>
      <c r="C5" s="28">
        <v>0.75</v>
      </c>
    </row>
    <row r="7" spans="2:7" x14ac:dyDescent="0.2">
      <c r="B7" s="16" t="s">
        <v>0</v>
      </c>
      <c r="C7" s="17"/>
      <c r="D7" s="17">
        <v>2023</v>
      </c>
      <c r="E7" s="17">
        <v>2025</v>
      </c>
      <c r="F7" s="18">
        <v>2028</v>
      </c>
    </row>
    <row r="8" spans="2:7" x14ac:dyDescent="0.2">
      <c r="B8" s="19" t="s">
        <v>82</v>
      </c>
      <c r="C8" s="20" t="s">
        <v>6</v>
      </c>
      <c r="D8" s="20">
        <v>180</v>
      </c>
      <c r="E8" s="20">
        <v>180</v>
      </c>
      <c r="F8" s="21">
        <v>180</v>
      </c>
    </row>
    <row r="9" spans="2:7" x14ac:dyDescent="0.2">
      <c r="B9" s="22" t="s">
        <v>89</v>
      </c>
      <c r="C9" s="23" t="s">
        <v>6</v>
      </c>
      <c r="D9" s="24">
        <v>17000</v>
      </c>
      <c r="E9" s="24">
        <v>19550</v>
      </c>
      <c r="F9" s="25">
        <v>22483</v>
      </c>
    </row>
    <row r="11" spans="2:7" x14ac:dyDescent="0.2">
      <c r="B11" s="47" t="s">
        <v>85</v>
      </c>
      <c r="C11" s="48"/>
      <c r="D11" s="48"/>
      <c r="E11" s="48"/>
      <c r="F11" s="48"/>
      <c r="G11" s="49"/>
    </row>
    <row r="12" spans="2:7" x14ac:dyDescent="0.2">
      <c r="B12" s="34" t="s">
        <v>0</v>
      </c>
      <c r="C12" s="34"/>
      <c r="D12" s="34">
        <v>2023</v>
      </c>
      <c r="E12" s="34">
        <v>2025</v>
      </c>
      <c r="F12" s="34">
        <v>2028</v>
      </c>
      <c r="G12" s="34" t="s">
        <v>79</v>
      </c>
    </row>
    <row r="13" spans="2:7" x14ac:dyDescent="0.2">
      <c r="B13" s="1" t="s">
        <v>74</v>
      </c>
      <c r="C13" s="1" t="s">
        <v>6</v>
      </c>
      <c r="D13" s="7">
        <f>D9*$C$5</f>
        <v>12750</v>
      </c>
      <c r="E13" s="7">
        <f t="shared" ref="E13:F13" si="0">E9*$C$5</f>
        <v>14662.5</v>
      </c>
      <c r="F13" s="7">
        <f t="shared" si="0"/>
        <v>16862.25</v>
      </c>
      <c r="G13" s="13">
        <f>SUM(D13:F13)</f>
        <v>44274.75</v>
      </c>
    </row>
    <row r="14" spans="2:7" x14ac:dyDescent="0.2">
      <c r="B14" s="1" t="s">
        <v>80</v>
      </c>
      <c r="C14" s="1" t="s">
        <v>12</v>
      </c>
      <c r="D14" s="7">
        <f>D$13*((Baseline!$B$56-Baseline!$C$56)*$C$2+(Baseline!$B$68-Baseline!$C$68)*'Optimistic Scenario'!$C$3)</f>
        <v>55303125</v>
      </c>
      <c r="E14" s="7">
        <f>E$13*((Baseline!$B$56-Baseline!$C$56)*$C$2+(Baseline!$B$68-Baseline!$C$68)*'Optimistic Scenario'!$C$3)</f>
        <v>63598593.75</v>
      </c>
      <c r="F14" s="7">
        <f>F$13*((Baseline!$B$56-Baseline!$C$56)*$C$2+(Baseline!$B$68-Baseline!$C$68)*'Optimistic Scenario'!$C$3)</f>
        <v>73140009.375</v>
      </c>
      <c r="G14" s="13">
        <f>SUM(D14:F14)</f>
        <v>192041728.125</v>
      </c>
    </row>
    <row r="15" spans="2:7" x14ac:dyDescent="0.2">
      <c r="B15" s="1" t="str">
        <f>Baseline!A27</f>
        <v>Total Energy, excl Use</v>
      </c>
      <c r="C15" s="1" t="str">
        <f>Baseline!B27</f>
        <v>MJ</v>
      </c>
      <c r="D15" s="7">
        <f>D$13*((Baseline!$D$27)*$C$2+(Baseline!$F$27)*'Optimistic Scenario'!$C$3)</f>
        <v>10863000</v>
      </c>
      <c r="E15" s="7">
        <f>E$13*((Baseline!$D$27)*$C$2+(Baseline!$F$27)*'Optimistic Scenario'!$C$3)</f>
        <v>12492450</v>
      </c>
      <c r="F15" s="7">
        <f>F$13*((Baseline!$D$27)*$C$2+(Baseline!$F$27)*'Optimistic Scenario'!$C$3)</f>
        <v>14366637</v>
      </c>
      <c r="G15" s="13">
        <f t="shared" ref="G15:G22" si="1">SUM(D15:F15)</f>
        <v>37722087</v>
      </c>
    </row>
    <row r="16" spans="2:7" x14ac:dyDescent="0.2">
      <c r="B16" s="1" t="str">
        <f>Baseline!A29</f>
        <v>Total Electricity, excl Use</v>
      </c>
      <c r="C16" s="1" t="str">
        <f>Baseline!B29</f>
        <v>MJ</v>
      </c>
      <c r="D16" s="7">
        <f>D$13*((Baseline!$D$29)*$C$2+(Baseline!$F$29)*'Optimistic Scenario'!$C$3)</f>
        <v>2004937.5</v>
      </c>
      <c r="E16" s="7">
        <f>E$13*((Baseline!$D$29)*$C$2+(Baseline!$F$29)*'Optimistic Scenario'!$C$3)</f>
        <v>2305678.125</v>
      </c>
      <c r="F16" s="7">
        <f>F$13*((Baseline!$D$29)*$C$2+(Baseline!$F$29)*'Optimistic Scenario'!$C$3)</f>
        <v>2651588.8125</v>
      </c>
      <c r="G16" s="13">
        <f t="shared" si="1"/>
        <v>6962204.4375</v>
      </c>
    </row>
    <row r="17" spans="2:7" x14ac:dyDescent="0.2">
      <c r="B17" s="1" t="str">
        <f>Baseline!A31</f>
        <v>Waste, non-haz./ landfill, excl Use</v>
      </c>
      <c r="C17" s="1" t="str">
        <f>Baseline!B31</f>
        <v>g</v>
      </c>
      <c r="D17" s="7">
        <f>D$13*((Baseline!$D$31)*$C$2+(Baseline!$F$31)*'Optimistic Scenario'!$C$3)</f>
        <v>19290750</v>
      </c>
      <c r="E17" s="7">
        <f>E$13*((Baseline!$D$31)*$C$2+(Baseline!$F$31)*'Optimistic Scenario'!$C$3)</f>
        <v>22184362.5</v>
      </c>
      <c r="F17" s="7">
        <f>F$13*((Baseline!$D$31)*$C$2+(Baseline!$F$31)*'Optimistic Scenario'!$C$3)</f>
        <v>25512584.25</v>
      </c>
      <c r="G17" s="13">
        <f t="shared" si="1"/>
        <v>66987696.75</v>
      </c>
    </row>
    <row r="18" spans="2:7" x14ac:dyDescent="0.2">
      <c r="B18" s="1" t="str">
        <f>Baseline!A33</f>
        <v>Waste, hazardous/ incinerated, excl Use</v>
      </c>
      <c r="C18" s="1" t="str">
        <f>Baseline!B33</f>
        <v>g</v>
      </c>
      <c r="D18" s="7">
        <f>D$13*((Baseline!$D$33)*$C$2+(Baseline!$F$33)*'Optimistic Scenario'!$C$3)</f>
        <v>583312.5</v>
      </c>
      <c r="E18" s="7">
        <f>E$13*((Baseline!$D$33)*$C$2+(Baseline!$F$33)*'Optimistic Scenario'!$C$3)</f>
        <v>670809.375</v>
      </c>
      <c r="F18" s="7">
        <f>F$13*((Baseline!$D$33)*$C$2+(Baseline!$F$33)*'Optimistic Scenario'!$C$3)</f>
        <v>771447.9375</v>
      </c>
      <c r="G18" s="13">
        <f t="shared" si="1"/>
        <v>2025569.8125</v>
      </c>
    </row>
    <row r="19" spans="2:7" x14ac:dyDescent="0.2">
      <c r="B19" s="1" t="str">
        <f>Baseline!A35</f>
        <v>GWP100, excl Use</v>
      </c>
      <c r="C19" s="1" t="str">
        <f>Baseline!B35</f>
        <v>kg CO2-eq</v>
      </c>
      <c r="D19" s="7">
        <v>0</v>
      </c>
      <c r="E19" s="7">
        <f>E$13*((Baseline!$D$35)*$C$2+(Baseline!$F$35)*'Optimistic Scenario'!$C$3)</f>
        <v>656146.875</v>
      </c>
      <c r="F19" s="7">
        <f>F$13*((Baseline!$D$35)*$C$2+(Baseline!$F$35)*'Optimistic Scenario'!$C$3)</f>
        <v>754585.6875</v>
      </c>
      <c r="G19" s="13">
        <f t="shared" si="1"/>
        <v>1410732.5625</v>
      </c>
    </row>
    <row r="20" spans="2:7" x14ac:dyDescent="0.2">
      <c r="B20" s="1" t="str">
        <f>Baseline!A37</f>
        <v>SO2-eq, excl Use</v>
      </c>
      <c r="C20" s="1" t="str">
        <f>Baseline!B37</f>
        <v>g SO2-eq</v>
      </c>
      <c r="D20" s="7">
        <f>D$13*((Baseline!$D$37)*$C$2+(Baseline!$F$37)*'Optimistic Scenario'!$C$3)</f>
        <v>2620125</v>
      </c>
      <c r="E20" s="7">
        <f>E$13*((Baseline!$D$37)*$C$2+(Baseline!$F$37)*'Optimistic Scenario'!$C$3)</f>
        <v>3013143.75</v>
      </c>
      <c r="F20" s="7">
        <f>F$13*((Baseline!$D$37)*$C$2+(Baseline!$F$37)*'Optimistic Scenario'!$C$3)</f>
        <v>3465192.375</v>
      </c>
      <c r="G20" s="13">
        <f t="shared" si="1"/>
        <v>9098461.125</v>
      </c>
    </row>
    <row r="21" spans="2:7" x14ac:dyDescent="0.2">
      <c r="B21" s="1" t="str">
        <f>Baseline!A39</f>
        <v>VOC, excl Use</v>
      </c>
      <c r="C21" s="1" t="str">
        <f>Baseline!B39</f>
        <v>g</v>
      </c>
      <c r="D21" s="7">
        <f>D$13*((Baseline!$D$39)*$C$2+(Baseline!$F$39)*'Optimistic Scenario'!$C$3)</f>
        <v>22312.5</v>
      </c>
      <c r="E21" s="7">
        <f>E$13*((Baseline!$D$39)*$C$2+(Baseline!$F$39)*'Optimistic Scenario'!$C$3)</f>
        <v>25659.375</v>
      </c>
      <c r="F21" s="7">
        <f>F$13*((Baseline!$D$39)*$C$2+(Baseline!$F$39)*'Optimistic Scenario'!$C$3)</f>
        <v>29508.9375</v>
      </c>
      <c r="G21" s="13">
        <f t="shared" si="1"/>
        <v>77480.8125</v>
      </c>
    </row>
    <row r="22" spans="2:7" x14ac:dyDescent="0.2">
      <c r="B22" s="1" t="str">
        <f>Baseline!A41</f>
        <v>PM, excl Use</v>
      </c>
      <c r="C22" s="1" t="str">
        <f>Baseline!B41</f>
        <v>g</v>
      </c>
      <c r="D22" s="7">
        <f>D$13*((Baseline!$D$41)*$C$2+(Baseline!$F$41)*'Optimistic Scenario'!$C$3)</f>
        <v>3745312.5</v>
      </c>
      <c r="E22" s="7">
        <f>E$13*((Baseline!$D$41)*$C$2+(Baseline!$F$41)*'Optimistic Scenario'!$C$3)</f>
        <v>4307109.375</v>
      </c>
      <c r="F22" s="7">
        <f>F$13*((Baseline!$D$41)*$C$2+(Baseline!$F$41)*'Optimistic Scenario'!$C$3)</f>
        <v>4953285.9375</v>
      </c>
      <c r="G22" s="13">
        <f t="shared" si="1"/>
        <v>13005707.8125</v>
      </c>
    </row>
    <row r="24" spans="2:7" x14ac:dyDescent="0.2">
      <c r="B24" s="47" t="s">
        <v>75</v>
      </c>
      <c r="C24" s="48"/>
      <c r="D24" s="48"/>
      <c r="E24" s="48"/>
      <c r="F24" s="48"/>
      <c r="G24" s="49"/>
    </row>
    <row r="25" spans="2:7" x14ac:dyDescent="0.2">
      <c r="B25" s="34" t="s">
        <v>0</v>
      </c>
      <c r="C25" s="34"/>
      <c r="D25" s="34">
        <v>2023</v>
      </c>
      <c r="E25" s="34">
        <v>2024</v>
      </c>
      <c r="F25" s="34">
        <v>2025</v>
      </c>
      <c r="G25" s="34" t="s">
        <v>79</v>
      </c>
    </row>
    <row r="26" spans="2:7" x14ac:dyDescent="0.2">
      <c r="B26" s="1" t="s">
        <v>78</v>
      </c>
      <c r="C26" s="1" t="s">
        <v>6</v>
      </c>
      <c r="D26" s="4">
        <f>D8*$C$4</f>
        <v>720</v>
      </c>
      <c r="E26" s="4">
        <f>E8*$C$4</f>
        <v>720</v>
      </c>
      <c r="F26" s="4">
        <f>F8*$C$4</f>
        <v>720</v>
      </c>
      <c r="G26" s="13">
        <f>SUM(D26:F26)</f>
        <v>2160</v>
      </c>
    </row>
    <row r="27" spans="2:7" x14ac:dyDescent="0.2">
      <c r="B27" s="1" t="str">
        <f>B14</f>
        <v>Material used</v>
      </c>
      <c r="C27" s="1" t="s">
        <v>12</v>
      </c>
      <c r="D27" s="7">
        <f>D$26*((Baseline!$B$56-Baseline!$C$56)*0+(Baseline!$B$68-Baseline!$C$68)*1)</f>
        <v>3106800</v>
      </c>
      <c r="E27" s="7">
        <f>E$26*((Baseline!$B$56-Baseline!$C$56)*0+(Baseline!$B$68-Baseline!$C$68)*1)</f>
        <v>3106800</v>
      </c>
      <c r="F27" s="7">
        <f>F$26*((Baseline!$B$56-Baseline!$C$56)*0+(Baseline!$B$68-Baseline!$C$68)*1)</f>
        <v>3106800</v>
      </c>
      <c r="G27" s="13">
        <f>SUM(D27:F27)</f>
        <v>9320400</v>
      </c>
    </row>
    <row r="28" spans="2:7" x14ac:dyDescent="0.2">
      <c r="B28" s="1" t="str">
        <f t="shared" ref="B28:C35" si="2">B15</f>
        <v>Total Energy, excl Use</v>
      </c>
      <c r="C28" s="1" t="str">
        <f>C15</f>
        <v>MJ</v>
      </c>
      <c r="D28" s="7">
        <f>$D$26*((Baseline!$D$27)*$C$2+(Baseline!$F$27)*'Optimistic Scenario'!$C$3)</f>
        <v>613440</v>
      </c>
      <c r="E28" s="7">
        <f>$D$26*((Baseline!$D$27)*$C$2+(Baseline!$F$27)*'Optimistic Scenario'!$C$3)</f>
        <v>613440</v>
      </c>
      <c r="F28" s="7">
        <f>$D$26*((Baseline!$D$27)*$C$2+(Baseline!$F$27)*'Optimistic Scenario'!$C$3)</f>
        <v>613440</v>
      </c>
      <c r="G28" s="13">
        <f t="shared" ref="G28:G35" si="3">SUM(D28:F28)</f>
        <v>1840320</v>
      </c>
    </row>
    <row r="29" spans="2:7" x14ac:dyDescent="0.2">
      <c r="B29" s="1" t="str">
        <f t="shared" si="2"/>
        <v>Total Electricity, excl Use</v>
      </c>
      <c r="C29" s="1" t="str">
        <f t="shared" si="2"/>
        <v>MJ</v>
      </c>
      <c r="D29" s="7">
        <f>D$26*((Baseline!$D$29)*$C$2+(Baseline!$F$29)*'Optimistic Scenario'!$C$3)</f>
        <v>113220</v>
      </c>
      <c r="E29" s="7">
        <f>E$26*((Baseline!$D$29)*$C$2+(Baseline!$F$29)*'Optimistic Scenario'!$C$3)</f>
        <v>113220</v>
      </c>
      <c r="F29" s="7">
        <f>F$26*((Baseline!$D$29)*$C$2+(Baseline!$F$29)*'Optimistic Scenario'!$C$3)</f>
        <v>113220</v>
      </c>
      <c r="G29" s="13">
        <f t="shared" si="3"/>
        <v>339660</v>
      </c>
    </row>
    <row r="30" spans="2:7" x14ac:dyDescent="0.2">
      <c r="B30" s="1" t="str">
        <f t="shared" si="2"/>
        <v>Waste, non-haz./ landfill, excl Use</v>
      </c>
      <c r="C30" s="1" t="str">
        <f t="shared" si="2"/>
        <v>g</v>
      </c>
      <c r="D30" s="7">
        <f>D$26*((Baseline!$D$31)*$C$2+(Baseline!$F$31)*'Optimistic Scenario'!$C$3)</f>
        <v>1089360</v>
      </c>
      <c r="E30" s="7">
        <f>E$26*((Baseline!$D$31)*$C$2+(Baseline!$F$31)*'Optimistic Scenario'!$C$3)</f>
        <v>1089360</v>
      </c>
      <c r="F30" s="7">
        <f>F$26*((Baseline!$D$31)*$C$2+(Baseline!$F$31)*'Optimistic Scenario'!$C$3)</f>
        <v>1089360</v>
      </c>
      <c r="G30" s="13">
        <f t="shared" si="3"/>
        <v>3268080</v>
      </c>
    </row>
    <row r="31" spans="2:7" x14ac:dyDescent="0.2">
      <c r="B31" s="1" t="str">
        <f t="shared" si="2"/>
        <v>Waste, hazardous/ incinerated, excl Use</v>
      </c>
      <c r="C31" s="1" t="str">
        <f t="shared" si="2"/>
        <v>g</v>
      </c>
      <c r="D31" s="7">
        <f>D$26*((Baseline!$D$33)*$C$2+(Baseline!$F$33)*'Optimistic Scenario'!$C$3)</f>
        <v>32940</v>
      </c>
      <c r="E31" s="7">
        <f>E$26*((Baseline!$D$33)*$C$2+(Baseline!$F$33)*'Optimistic Scenario'!$C$3)</f>
        <v>32940</v>
      </c>
      <c r="F31" s="7">
        <f>F$26*((Baseline!$D$33)*$C$2+(Baseline!$F$33)*'Optimistic Scenario'!$C$3)</f>
        <v>32940</v>
      </c>
      <c r="G31" s="13">
        <f t="shared" si="3"/>
        <v>98820</v>
      </c>
    </row>
    <row r="32" spans="2:7" x14ac:dyDescent="0.2">
      <c r="B32" s="1" t="str">
        <f t="shared" si="2"/>
        <v>GWP100, excl Use</v>
      </c>
      <c r="C32" s="1" t="str">
        <f t="shared" si="2"/>
        <v>kg CO2-eq</v>
      </c>
      <c r="D32" s="7">
        <f>D$26*((Baseline!$D$35)*$C$2+(Baseline!$F$35)*'Optimistic Scenario'!$C$3)</f>
        <v>32220</v>
      </c>
      <c r="E32" s="7">
        <f>E$26*((Baseline!$D$35)*$C$2+(Baseline!$F$35)*'Optimistic Scenario'!$C$3)</f>
        <v>32220</v>
      </c>
      <c r="F32" s="7">
        <f>F$26*((Baseline!$D$35)*$C$2+(Baseline!$F$35)*'Optimistic Scenario'!$C$3)</f>
        <v>32220</v>
      </c>
      <c r="G32" s="13">
        <f t="shared" si="3"/>
        <v>96660</v>
      </c>
    </row>
    <row r="33" spans="2:7" x14ac:dyDescent="0.2">
      <c r="B33" s="1" t="str">
        <f t="shared" si="2"/>
        <v>SO2-eq, excl Use</v>
      </c>
      <c r="C33" s="1" t="str">
        <f t="shared" si="2"/>
        <v>g SO2-eq</v>
      </c>
      <c r="D33" s="7">
        <f>D$26*((Baseline!$D$37)*$C$2+(Baseline!$F$37)*'Optimistic Scenario'!$C$3)</f>
        <v>147960</v>
      </c>
      <c r="E33" s="7">
        <f>E$26*((Baseline!$D$37)*$C$2+(Baseline!$F$37)*'Optimistic Scenario'!$C$3)</f>
        <v>147960</v>
      </c>
      <c r="F33" s="7">
        <f>F$26*((Baseline!$D$37)*$C$2+(Baseline!$F$37)*'Optimistic Scenario'!$C$3)</f>
        <v>147960</v>
      </c>
      <c r="G33" s="13">
        <f t="shared" si="3"/>
        <v>443880</v>
      </c>
    </row>
    <row r="34" spans="2:7" x14ac:dyDescent="0.2">
      <c r="B34" s="1" t="str">
        <f t="shared" si="2"/>
        <v>VOC, excl Use</v>
      </c>
      <c r="C34" s="1" t="str">
        <f t="shared" si="2"/>
        <v>g</v>
      </c>
      <c r="D34" s="7">
        <f>D$26*((Baseline!$D$39)*$C$2+(Baseline!$F$39)*'Optimistic Scenario'!$C$3)</f>
        <v>1260</v>
      </c>
      <c r="E34" s="7">
        <f>E$26*((Baseline!$D$39)*$C$2+(Baseline!$F$39)*'Optimistic Scenario'!$C$3)</f>
        <v>1260</v>
      </c>
      <c r="F34" s="7">
        <f>F$26*((Baseline!$D$39)*$C$2+(Baseline!$F$39)*'Optimistic Scenario'!$C$3)</f>
        <v>1260</v>
      </c>
      <c r="G34" s="13">
        <f t="shared" si="3"/>
        <v>3780</v>
      </c>
    </row>
    <row r="35" spans="2:7" x14ac:dyDescent="0.2">
      <c r="B35" s="1" t="str">
        <f t="shared" si="2"/>
        <v>PM, excl Use</v>
      </c>
      <c r="C35" s="1" t="str">
        <f t="shared" si="2"/>
        <v>g</v>
      </c>
      <c r="D35" s="7">
        <f>D$26*((Baseline!$D$41)*$C$2+(Baseline!$F$41)*'Optimistic Scenario'!$C$3)</f>
        <v>211500</v>
      </c>
      <c r="E35" s="7">
        <f>E$26*((Baseline!$D$41)*$C$2+(Baseline!$F$41)*'Optimistic Scenario'!$C$3)</f>
        <v>211500</v>
      </c>
      <c r="F35" s="7">
        <f>F$26*((Baseline!$D$41)*$C$2+(Baseline!$F$41)*'Optimistic Scenario'!$C$3)</f>
        <v>211500</v>
      </c>
      <c r="G35" s="13">
        <f t="shared" si="3"/>
        <v>634500</v>
      </c>
    </row>
    <row r="37" spans="2:7" x14ac:dyDescent="0.2">
      <c r="B37" s="35" t="s">
        <v>81</v>
      </c>
      <c r="C37" s="36">
        <v>2025</v>
      </c>
      <c r="D37" s="36"/>
      <c r="E37" s="36"/>
      <c r="F37" s="37">
        <v>2025</v>
      </c>
    </row>
    <row r="38" spans="2:7" x14ac:dyDescent="0.2">
      <c r="B38" s="14" t="str">
        <f>B27</f>
        <v>Material used</v>
      </c>
      <c r="C38" s="14" t="s">
        <v>12</v>
      </c>
      <c r="D38" s="15">
        <f t="shared" ref="D38:D46" si="4">G14-G27</f>
        <v>182721328.125</v>
      </c>
      <c r="E38" s="29" t="s">
        <v>84</v>
      </c>
      <c r="F38" s="30">
        <f>D38/1000000</f>
        <v>182.72132812500001</v>
      </c>
    </row>
    <row r="39" spans="2:7" x14ac:dyDescent="0.2">
      <c r="B39" s="1" t="str">
        <f t="shared" ref="B39:C39" si="5">B28</f>
        <v>Total Energy, excl Use</v>
      </c>
      <c r="C39" s="1" t="str">
        <f t="shared" si="5"/>
        <v>MJ</v>
      </c>
      <c r="D39" s="13">
        <f t="shared" si="4"/>
        <v>35881767</v>
      </c>
      <c r="E39" s="2" t="s">
        <v>86</v>
      </c>
      <c r="F39" s="31">
        <f>D39/1000000</f>
        <v>35.881767000000004</v>
      </c>
    </row>
    <row r="40" spans="2:7" x14ac:dyDescent="0.2">
      <c r="B40" s="1" t="str">
        <f t="shared" ref="B40:C40" si="6">B29</f>
        <v>Total Electricity, excl Use</v>
      </c>
      <c r="C40" s="1" t="str">
        <f t="shared" si="6"/>
        <v>MJ</v>
      </c>
      <c r="D40" s="13">
        <f t="shared" si="4"/>
        <v>6622544.4375</v>
      </c>
      <c r="E40" s="2" t="s">
        <v>86</v>
      </c>
      <c r="F40" s="31">
        <f>D40/1000000</f>
        <v>6.6225444375000002</v>
      </c>
    </row>
    <row r="41" spans="2:7" x14ac:dyDescent="0.2">
      <c r="B41" s="1" t="str">
        <f t="shared" ref="B41:C41" si="7">B30</f>
        <v>Waste, non-haz./ landfill, excl Use</v>
      </c>
      <c r="C41" s="1" t="str">
        <f t="shared" si="7"/>
        <v>g</v>
      </c>
      <c r="D41" s="13">
        <f t="shared" si="4"/>
        <v>63719616.75</v>
      </c>
      <c r="E41" s="2" t="s">
        <v>84</v>
      </c>
      <c r="F41" s="31">
        <f t="shared" ref="F41:F46" si="8">D41/1000000</f>
        <v>63.71961675</v>
      </c>
    </row>
    <row r="42" spans="2:7" x14ac:dyDescent="0.2">
      <c r="B42" s="1" t="str">
        <f t="shared" ref="B42:C42" si="9">B31</f>
        <v>Waste, hazardous/ incinerated, excl Use</v>
      </c>
      <c r="C42" s="1" t="str">
        <f t="shared" si="9"/>
        <v>g</v>
      </c>
      <c r="D42" s="13">
        <f t="shared" si="4"/>
        <v>1926749.8125</v>
      </c>
      <c r="E42" s="2" t="s">
        <v>84</v>
      </c>
      <c r="F42" s="31">
        <f t="shared" si="8"/>
        <v>1.9267498125</v>
      </c>
    </row>
    <row r="43" spans="2:7" x14ac:dyDescent="0.2">
      <c r="B43" s="1" t="str">
        <f t="shared" ref="B43:C43" si="10">B32</f>
        <v>GWP100, excl Use</v>
      </c>
      <c r="C43" s="1" t="str">
        <f t="shared" si="10"/>
        <v>kg CO2-eq</v>
      </c>
      <c r="D43" s="13">
        <f t="shared" si="4"/>
        <v>1314072.5625</v>
      </c>
      <c r="E43" s="2" t="s">
        <v>87</v>
      </c>
      <c r="F43" s="32">
        <f>D43/1000</f>
        <v>1314.0725625</v>
      </c>
    </row>
    <row r="44" spans="2:7" x14ac:dyDescent="0.2">
      <c r="B44" s="1" t="str">
        <f t="shared" ref="B44:C44" si="11">B33</f>
        <v>SO2-eq, excl Use</v>
      </c>
      <c r="C44" s="1" t="str">
        <f t="shared" si="11"/>
        <v>g SO2-eq</v>
      </c>
      <c r="D44" s="13">
        <f t="shared" si="4"/>
        <v>8654581.125</v>
      </c>
      <c r="E44" s="2" t="s">
        <v>88</v>
      </c>
      <c r="F44" s="31">
        <f>D44/1000000</f>
        <v>8.654581125</v>
      </c>
    </row>
    <row r="45" spans="2:7" x14ac:dyDescent="0.2">
      <c r="B45" s="1" t="str">
        <f t="shared" ref="B45:C45" si="12">B34</f>
        <v>VOC, excl Use</v>
      </c>
      <c r="C45" s="1" t="str">
        <f t="shared" si="12"/>
        <v>g</v>
      </c>
      <c r="D45" s="13">
        <f t="shared" si="4"/>
        <v>73700.8125</v>
      </c>
      <c r="E45" s="2" t="s">
        <v>84</v>
      </c>
      <c r="F45" s="31">
        <f t="shared" si="8"/>
        <v>7.3700812500000004E-2</v>
      </c>
    </row>
    <row r="46" spans="2:7" x14ac:dyDescent="0.2">
      <c r="B46" s="1" t="str">
        <f>B35</f>
        <v>PM, excl Use</v>
      </c>
      <c r="C46" s="1" t="str">
        <f>C35</f>
        <v>g</v>
      </c>
      <c r="D46" s="13">
        <f t="shared" si="4"/>
        <v>12371207.8125</v>
      </c>
      <c r="E46" s="2" t="s">
        <v>84</v>
      </c>
      <c r="F46" s="31">
        <f t="shared" si="8"/>
        <v>12.3712078125</v>
      </c>
    </row>
  </sheetData>
  <mergeCells count="2">
    <mergeCell ref="B11:G11"/>
    <mergeCell ref="B24:G2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E14F-8A69-7549-848A-29C88EAB69F0}">
  <dimension ref="B2:G46"/>
  <sheetViews>
    <sheetView showGridLines="0" tabSelected="1" workbookViewId="0">
      <selection activeCell="B1" sqref="B1"/>
    </sheetView>
  </sheetViews>
  <sheetFormatPr baseColWidth="10" defaultRowHeight="16" x14ac:dyDescent="0.2"/>
  <cols>
    <col min="2" max="2" width="36.6640625" bestFit="1" customWidth="1"/>
    <col min="3" max="3" width="9" bestFit="1" customWidth="1"/>
    <col min="4" max="4" width="13" bestFit="1" customWidth="1"/>
    <col min="5" max="6" width="11.5" bestFit="1" customWidth="1"/>
    <col min="7" max="7" width="12.5" bestFit="1" customWidth="1"/>
  </cols>
  <sheetData>
    <row r="2" spans="2:7" x14ac:dyDescent="0.2">
      <c r="B2" s="26" t="s">
        <v>90</v>
      </c>
      <c r="C2" s="27">
        <v>0.75</v>
      </c>
    </row>
    <row r="3" spans="2:7" x14ac:dyDescent="0.2">
      <c r="B3" s="19" t="s">
        <v>91</v>
      </c>
      <c r="C3" s="21">
        <v>0.25</v>
      </c>
    </row>
    <row r="4" spans="2:7" x14ac:dyDescent="0.2">
      <c r="B4" s="19" t="s">
        <v>83</v>
      </c>
      <c r="C4" s="21">
        <v>4</v>
      </c>
    </row>
    <row r="5" spans="2:7" x14ac:dyDescent="0.2">
      <c r="B5" s="22" t="s">
        <v>92</v>
      </c>
      <c r="C5" s="28">
        <v>0.5</v>
      </c>
    </row>
    <row r="7" spans="2:7" x14ac:dyDescent="0.2">
      <c r="B7" s="16" t="s">
        <v>0</v>
      </c>
      <c r="C7" s="17"/>
      <c r="D7" s="17">
        <v>2023</v>
      </c>
      <c r="E7" s="17">
        <v>2025</v>
      </c>
      <c r="F7" s="18">
        <v>2028</v>
      </c>
    </row>
    <row r="8" spans="2:7" x14ac:dyDescent="0.2">
      <c r="B8" s="19" t="s">
        <v>82</v>
      </c>
      <c r="C8" s="20" t="s">
        <v>6</v>
      </c>
      <c r="D8" s="20">
        <v>180</v>
      </c>
      <c r="E8" s="20">
        <v>180</v>
      </c>
      <c r="F8" s="21">
        <v>180</v>
      </c>
    </row>
    <row r="9" spans="2:7" x14ac:dyDescent="0.2">
      <c r="B9" s="22" t="s">
        <v>89</v>
      </c>
      <c r="C9" s="23" t="s">
        <v>6</v>
      </c>
      <c r="D9" s="24">
        <v>17000</v>
      </c>
      <c r="E9" s="24">
        <v>19550</v>
      </c>
      <c r="F9" s="25">
        <v>22483</v>
      </c>
    </row>
    <row r="11" spans="2:7" x14ac:dyDescent="0.2">
      <c r="B11" s="47" t="s">
        <v>85</v>
      </c>
      <c r="C11" s="48"/>
      <c r="D11" s="48"/>
      <c r="E11" s="48"/>
      <c r="F11" s="48"/>
      <c r="G11" s="49"/>
    </row>
    <row r="12" spans="2:7" x14ac:dyDescent="0.2">
      <c r="B12" s="34" t="s">
        <v>0</v>
      </c>
      <c r="C12" s="34"/>
      <c r="D12" s="34">
        <v>2023</v>
      </c>
      <c r="E12" s="34">
        <v>2025</v>
      </c>
      <c r="F12" s="34">
        <v>2028</v>
      </c>
      <c r="G12" s="34" t="s">
        <v>79</v>
      </c>
    </row>
    <row r="13" spans="2:7" x14ac:dyDescent="0.2">
      <c r="B13" s="1" t="s">
        <v>74</v>
      </c>
      <c r="C13" s="1" t="s">
        <v>6</v>
      </c>
      <c r="D13" s="7">
        <f>D9*$C$5</f>
        <v>8500</v>
      </c>
      <c r="E13" s="7">
        <f t="shared" ref="E13:F13" si="0">E9*$C$5</f>
        <v>9775</v>
      </c>
      <c r="F13" s="7">
        <f t="shared" si="0"/>
        <v>11241.5</v>
      </c>
      <c r="G13" s="13">
        <f>SUM(D13:F13)</f>
        <v>29516.5</v>
      </c>
    </row>
    <row r="14" spans="2:7" x14ac:dyDescent="0.2">
      <c r="B14" s="1" t="s">
        <v>80</v>
      </c>
      <c r="C14" s="1" t="s">
        <v>12</v>
      </c>
      <c r="D14" s="7">
        <f>D$13*((Baseline!$B$56-Baseline!$C$56)*$C$2+(Baseline!$B$68-Baseline!$C$68)*'Conservatice Scenario'!$C$3)</f>
        <v>36868750</v>
      </c>
      <c r="E14" s="7">
        <f>E$13*((Baseline!$B$56-Baseline!$C$56)*$C$2+(Baseline!$B$68-Baseline!$C$68)*'Conservatice Scenario'!$C$3)</f>
        <v>42399062.5</v>
      </c>
      <c r="F14" s="7">
        <f>F$13*((Baseline!$B$56-Baseline!$C$56)*$C$2+(Baseline!$B$68-Baseline!$C$68)*'Conservatice Scenario'!$C$3)</f>
        <v>48760006.25</v>
      </c>
      <c r="G14" s="13">
        <f>SUM(D14:F14)</f>
        <v>128027818.75</v>
      </c>
    </row>
    <row r="15" spans="2:7" x14ac:dyDescent="0.2">
      <c r="B15" s="1" t="str">
        <f>Baseline!A27</f>
        <v>Total Energy, excl Use</v>
      </c>
      <c r="C15" s="1" t="str">
        <f>Baseline!B27</f>
        <v>MJ</v>
      </c>
      <c r="D15" s="7">
        <f>D$13*((Baseline!$D$27)*$C$2+(Baseline!$F$27)*'Conservatice Scenario'!$C$3)</f>
        <v>7242000</v>
      </c>
      <c r="E15" s="7">
        <f>E$13*((Baseline!$D$27)*$C$2+(Baseline!$F$27)*'Conservatice Scenario'!$C$3)</f>
        <v>8328300</v>
      </c>
      <c r="F15" s="7">
        <f>F$13*((Baseline!$D$27)*$C$2+(Baseline!$F$27)*'Conservatice Scenario'!$C$3)</f>
        <v>9577758</v>
      </c>
      <c r="G15" s="13">
        <f t="shared" ref="G15:G22" si="1">SUM(D15:F15)</f>
        <v>25148058</v>
      </c>
    </row>
    <row r="16" spans="2:7" x14ac:dyDescent="0.2">
      <c r="B16" s="1" t="str">
        <f>Baseline!A29</f>
        <v>Total Electricity, excl Use</v>
      </c>
      <c r="C16" s="1" t="str">
        <f>Baseline!B29</f>
        <v>MJ</v>
      </c>
      <c r="D16" s="7">
        <f>D$13*((Baseline!$D$29)*$C$2+(Baseline!$F$29)*'Conservatice Scenario'!$C$3)</f>
        <v>1336625</v>
      </c>
      <c r="E16" s="7">
        <f>E$13*((Baseline!$D$29)*$C$2+(Baseline!$F$29)*'Conservatice Scenario'!$C$3)</f>
        <v>1537118.75</v>
      </c>
      <c r="F16" s="7">
        <f>F$13*((Baseline!$D$29)*$C$2+(Baseline!$F$29)*'Conservatice Scenario'!$C$3)</f>
        <v>1767725.875</v>
      </c>
      <c r="G16" s="13">
        <f t="shared" si="1"/>
        <v>4641469.625</v>
      </c>
    </row>
    <row r="17" spans="2:7" x14ac:dyDescent="0.2">
      <c r="B17" s="1" t="str">
        <f>Baseline!A31</f>
        <v>Waste, non-haz./ landfill, excl Use</v>
      </c>
      <c r="C17" s="1" t="str">
        <f>Baseline!B31</f>
        <v>g</v>
      </c>
      <c r="D17" s="7">
        <f>D$13*((Baseline!$D$31)*$C$2+(Baseline!$F$31)*'Conservatice Scenario'!$C$3)</f>
        <v>12860500</v>
      </c>
      <c r="E17" s="7">
        <f>E$13*((Baseline!$D$31)*$C$2+(Baseline!$F$31)*'Conservatice Scenario'!$C$3)</f>
        <v>14789575</v>
      </c>
      <c r="F17" s="7">
        <f>F$13*((Baseline!$D$31)*$C$2+(Baseline!$F$31)*'Conservatice Scenario'!$C$3)</f>
        <v>17008389.5</v>
      </c>
      <c r="G17" s="13">
        <f t="shared" si="1"/>
        <v>44658464.5</v>
      </c>
    </row>
    <row r="18" spans="2:7" x14ac:dyDescent="0.2">
      <c r="B18" s="1" t="str">
        <f>Baseline!A33</f>
        <v>Waste, hazardous/ incinerated, excl Use</v>
      </c>
      <c r="C18" s="1" t="str">
        <f>Baseline!B33</f>
        <v>g</v>
      </c>
      <c r="D18" s="7">
        <f>D$13*((Baseline!$D$33)*$C$2+(Baseline!$F$33)*'Conservatice Scenario'!$C$3)</f>
        <v>388875</v>
      </c>
      <c r="E18" s="7">
        <f>E$13*((Baseline!$D$33)*$C$2+(Baseline!$F$33)*'Conservatice Scenario'!$C$3)</f>
        <v>447206.25</v>
      </c>
      <c r="F18" s="7">
        <f>F$13*((Baseline!$D$33)*$C$2+(Baseline!$F$33)*'Conservatice Scenario'!$C$3)</f>
        <v>514298.625</v>
      </c>
      <c r="G18" s="13">
        <f t="shared" si="1"/>
        <v>1350379.875</v>
      </c>
    </row>
    <row r="19" spans="2:7" x14ac:dyDescent="0.2">
      <c r="B19" s="1" t="str">
        <f>Baseline!A35</f>
        <v>GWP100, excl Use</v>
      </c>
      <c r="C19" s="1" t="str">
        <f>Baseline!B35</f>
        <v>kg CO2-eq</v>
      </c>
      <c r="D19" s="7">
        <f>D$13*((Baseline!$D$35)*$C$2+(Baseline!$F$35)*'Conservatice Scenario'!$C$3)</f>
        <v>380375</v>
      </c>
      <c r="E19" s="7">
        <f>E$13*((Baseline!$D$35)*$C$2+(Baseline!$F$35)*'Conservatice Scenario'!$C$3)</f>
        <v>437431.25</v>
      </c>
      <c r="F19" s="7">
        <f>F$13*((Baseline!$D$35)*$C$2+(Baseline!$F$35)*'Conservatice Scenario'!$C$3)</f>
        <v>503057.125</v>
      </c>
      <c r="G19" s="13">
        <f t="shared" si="1"/>
        <v>1320863.375</v>
      </c>
    </row>
    <row r="20" spans="2:7" x14ac:dyDescent="0.2">
      <c r="B20" s="1" t="str">
        <f>Baseline!A37</f>
        <v>SO2-eq, excl Use</v>
      </c>
      <c r="C20" s="1" t="str">
        <f>Baseline!B37</f>
        <v>g SO2-eq</v>
      </c>
      <c r="D20" s="7">
        <f>D$13*((Baseline!$D$37)*$C$2+(Baseline!$F$37)*'Conservatice Scenario'!$C$3)</f>
        <v>1746750</v>
      </c>
      <c r="E20" s="7">
        <f>E$13*((Baseline!$D$37)*$C$2+(Baseline!$F$37)*'Conservatice Scenario'!$C$3)</f>
        <v>2008762.5</v>
      </c>
      <c r="F20" s="7">
        <f>F$13*((Baseline!$D$37)*$C$2+(Baseline!$F$37)*'Conservatice Scenario'!$C$3)</f>
        <v>2310128.25</v>
      </c>
      <c r="G20" s="13">
        <f t="shared" si="1"/>
        <v>6065640.75</v>
      </c>
    </row>
    <row r="21" spans="2:7" x14ac:dyDescent="0.2">
      <c r="B21" s="1" t="str">
        <f>Baseline!A39</f>
        <v>VOC, excl Use</v>
      </c>
      <c r="C21" s="1" t="str">
        <f>Baseline!B39</f>
        <v>g</v>
      </c>
      <c r="D21" s="7">
        <f>D$13*((Baseline!$D$39)*$C$2+(Baseline!$F$39)*'Conservatice Scenario'!$C$3)</f>
        <v>14875</v>
      </c>
      <c r="E21" s="7">
        <f>E$13*((Baseline!$D$39)*$C$2+(Baseline!$F$39)*'Conservatice Scenario'!$C$3)</f>
        <v>17106.25</v>
      </c>
      <c r="F21" s="7">
        <f>F$13*((Baseline!$D$39)*$C$2+(Baseline!$F$39)*'Conservatice Scenario'!$C$3)</f>
        <v>19672.625</v>
      </c>
      <c r="G21" s="13">
        <f t="shared" si="1"/>
        <v>51653.875</v>
      </c>
    </row>
    <row r="22" spans="2:7" x14ac:dyDescent="0.2">
      <c r="B22" s="1" t="str">
        <f>Baseline!A41</f>
        <v>PM, excl Use</v>
      </c>
      <c r="C22" s="1" t="str">
        <f>Baseline!B41</f>
        <v>g</v>
      </c>
      <c r="D22" s="7">
        <f>D$13*((Baseline!$D$41)*$C$2+(Baseline!$F$41)*'Conservatice Scenario'!$C$3)</f>
        <v>2496875</v>
      </c>
      <c r="E22" s="7">
        <f>E$13*((Baseline!$D$41)*$C$2+(Baseline!$F$41)*'Conservatice Scenario'!$C$3)</f>
        <v>2871406.25</v>
      </c>
      <c r="F22" s="7">
        <f>F$13*((Baseline!$D$41)*$C$2+(Baseline!$F$41)*'Conservatice Scenario'!$C$3)</f>
        <v>3302190.625</v>
      </c>
      <c r="G22" s="13">
        <f t="shared" si="1"/>
        <v>8670471.875</v>
      </c>
    </row>
    <row r="24" spans="2:7" x14ac:dyDescent="0.2">
      <c r="B24" s="47" t="s">
        <v>75</v>
      </c>
      <c r="C24" s="48"/>
      <c r="D24" s="48"/>
      <c r="E24" s="48"/>
      <c r="F24" s="48"/>
      <c r="G24" s="49"/>
    </row>
    <row r="25" spans="2:7" x14ac:dyDescent="0.2">
      <c r="B25" s="34" t="s">
        <v>0</v>
      </c>
      <c r="C25" s="34"/>
      <c r="D25" s="34">
        <v>2023</v>
      </c>
      <c r="E25" s="34">
        <v>2024</v>
      </c>
      <c r="F25" s="34">
        <v>2025</v>
      </c>
      <c r="G25" s="34" t="s">
        <v>79</v>
      </c>
    </row>
    <row r="26" spans="2:7" x14ac:dyDescent="0.2">
      <c r="B26" s="1" t="s">
        <v>78</v>
      </c>
      <c r="C26" s="1" t="s">
        <v>6</v>
      </c>
      <c r="D26" s="4">
        <f>D8*$C$4</f>
        <v>720</v>
      </c>
      <c r="E26" s="4">
        <f>E8*$C$4</f>
        <v>720</v>
      </c>
      <c r="F26" s="4">
        <f>F8*$C$4</f>
        <v>720</v>
      </c>
      <c r="G26" s="13">
        <f>SUM(D26:F26)</f>
        <v>2160</v>
      </c>
    </row>
    <row r="27" spans="2:7" x14ac:dyDescent="0.2">
      <c r="B27" s="1" t="str">
        <f>B14</f>
        <v>Material used</v>
      </c>
      <c r="C27" s="1" t="s">
        <v>12</v>
      </c>
      <c r="D27" s="7">
        <f>D$26*((Baseline!$B$56-Baseline!$C$56)*0+(Baseline!$B$68-Baseline!$C$68)*1)</f>
        <v>3106800</v>
      </c>
      <c r="E27" s="7">
        <f>E$26*((Baseline!$B$56-Baseline!$C$56)*0+(Baseline!$B$68-Baseline!$C$68)*1)</f>
        <v>3106800</v>
      </c>
      <c r="F27" s="7">
        <f>F$26*((Baseline!$B$56-Baseline!$C$56)*0+(Baseline!$B$68-Baseline!$C$68)*1)</f>
        <v>3106800</v>
      </c>
      <c r="G27" s="13">
        <f>SUM(D27:F27)</f>
        <v>9320400</v>
      </c>
    </row>
    <row r="28" spans="2:7" x14ac:dyDescent="0.2">
      <c r="B28" s="1" t="str">
        <f t="shared" ref="B28:B35" si="2">B15</f>
        <v>Total Energy, excl Use</v>
      </c>
      <c r="C28" s="1" t="str">
        <f>C15</f>
        <v>MJ</v>
      </c>
      <c r="D28" s="7">
        <f>$D$26*((Baseline!$D$27)*$C$2+(Baseline!$F$27)*'Conservatice Scenario'!$C$3)</f>
        <v>613440</v>
      </c>
      <c r="E28" s="7">
        <f>$D$26*((Baseline!$D$27)*$C$2+(Baseline!$F$27)*'Conservatice Scenario'!$C$3)</f>
        <v>613440</v>
      </c>
      <c r="F28" s="7">
        <f>$D$26*((Baseline!$D$27)*$C$2+(Baseline!$F$27)*'Conservatice Scenario'!$C$3)</f>
        <v>613440</v>
      </c>
      <c r="G28" s="13">
        <f t="shared" ref="G28:G35" si="3">SUM(D28:F28)</f>
        <v>1840320</v>
      </c>
    </row>
    <row r="29" spans="2:7" x14ac:dyDescent="0.2">
      <c r="B29" s="1" t="str">
        <f t="shared" si="2"/>
        <v>Total Electricity, excl Use</v>
      </c>
      <c r="C29" s="1" t="str">
        <f t="shared" ref="C29:C35" si="4">C16</f>
        <v>MJ</v>
      </c>
      <c r="D29" s="7">
        <f>D$26*((Baseline!$D$29)*$C$2+(Baseline!$F$29)*'Conservatice Scenario'!$C$3)</f>
        <v>113220</v>
      </c>
      <c r="E29" s="7">
        <f>E$26*((Baseline!$D$29)*$C$2+(Baseline!$F$29)*'Conservatice Scenario'!$C$3)</f>
        <v>113220</v>
      </c>
      <c r="F29" s="7">
        <f>F$26*((Baseline!$D$29)*$C$2+(Baseline!$F$29)*'Conservatice Scenario'!$C$3)</f>
        <v>113220</v>
      </c>
      <c r="G29" s="13">
        <f t="shared" si="3"/>
        <v>339660</v>
      </c>
    </row>
    <row r="30" spans="2:7" x14ac:dyDescent="0.2">
      <c r="B30" s="1" t="str">
        <f t="shared" si="2"/>
        <v>Waste, non-haz./ landfill, excl Use</v>
      </c>
      <c r="C30" s="1" t="str">
        <f t="shared" si="4"/>
        <v>g</v>
      </c>
      <c r="D30" s="7">
        <f>D$26*((Baseline!$D$31)*$C$2+(Baseline!$F$31)*'Conservatice Scenario'!$C$3)</f>
        <v>1089360</v>
      </c>
      <c r="E30" s="7">
        <f>E$26*((Baseline!$D$31)*$C$2+(Baseline!$F$31)*'Conservatice Scenario'!$C$3)</f>
        <v>1089360</v>
      </c>
      <c r="F30" s="7">
        <f>F$26*((Baseline!$D$31)*$C$2+(Baseline!$F$31)*'Conservatice Scenario'!$C$3)</f>
        <v>1089360</v>
      </c>
      <c r="G30" s="13">
        <f t="shared" si="3"/>
        <v>3268080</v>
      </c>
    </row>
    <row r="31" spans="2:7" x14ac:dyDescent="0.2">
      <c r="B31" s="1" t="str">
        <f t="shared" si="2"/>
        <v>Waste, hazardous/ incinerated, excl Use</v>
      </c>
      <c r="C31" s="1" t="str">
        <f t="shared" si="4"/>
        <v>g</v>
      </c>
      <c r="D31" s="7">
        <f>D$26*((Baseline!$D$33)*$C$2+(Baseline!$F$33)*'Conservatice Scenario'!$C$3)</f>
        <v>32940</v>
      </c>
      <c r="E31" s="7">
        <f>E$26*((Baseline!$D$33)*$C$2+(Baseline!$F$33)*'Conservatice Scenario'!$C$3)</f>
        <v>32940</v>
      </c>
      <c r="F31" s="7">
        <f>F$26*((Baseline!$D$33)*$C$2+(Baseline!$F$33)*'Conservatice Scenario'!$C$3)</f>
        <v>32940</v>
      </c>
      <c r="G31" s="13">
        <f t="shared" si="3"/>
        <v>98820</v>
      </c>
    </row>
    <row r="32" spans="2:7" x14ac:dyDescent="0.2">
      <c r="B32" s="1" t="str">
        <f t="shared" si="2"/>
        <v>GWP100, excl Use</v>
      </c>
      <c r="C32" s="1" t="str">
        <f t="shared" si="4"/>
        <v>kg CO2-eq</v>
      </c>
      <c r="D32" s="7">
        <f>D$26*((Baseline!$D$35)*$C$2+(Baseline!$F$35)*'Conservatice Scenario'!$C$3)</f>
        <v>32220</v>
      </c>
      <c r="E32" s="7">
        <f>E$26*((Baseline!$D$35)*$C$2+(Baseline!$F$35)*'Conservatice Scenario'!$C$3)</f>
        <v>32220</v>
      </c>
      <c r="F32" s="7">
        <f>F$26*((Baseline!$D$35)*$C$2+(Baseline!$F$35)*'Conservatice Scenario'!$C$3)</f>
        <v>32220</v>
      </c>
      <c r="G32" s="13">
        <f t="shared" si="3"/>
        <v>96660</v>
      </c>
    </row>
    <row r="33" spans="2:7" x14ac:dyDescent="0.2">
      <c r="B33" s="1" t="str">
        <f t="shared" si="2"/>
        <v>SO2-eq, excl Use</v>
      </c>
      <c r="C33" s="1" t="str">
        <f t="shared" si="4"/>
        <v>g SO2-eq</v>
      </c>
      <c r="D33" s="7">
        <f>D$26*((Baseline!$D$37)*$C$2+(Baseline!$F$37)*'Conservatice Scenario'!$C$3)</f>
        <v>147960</v>
      </c>
      <c r="E33" s="7">
        <f>E$26*((Baseline!$D$37)*$C$2+(Baseline!$F$37)*'Conservatice Scenario'!$C$3)</f>
        <v>147960</v>
      </c>
      <c r="F33" s="7">
        <f>F$26*((Baseline!$D$37)*$C$2+(Baseline!$F$37)*'Conservatice Scenario'!$C$3)</f>
        <v>147960</v>
      </c>
      <c r="G33" s="13">
        <f t="shared" si="3"/>
        <v>443880</v>
      </c>
    </row>
    <row r="34" spans="2:7" x14ac:dyDescent="0.2">
      <c r="B34" s="1" t="str">
        <f t="shared" si="2"/>
        <v>VOC, excl Use</v>
      </c>
      <c r="C34" s="1" t="str">
        <f t="shared" si="4"/>
        <v>g</v>
      </c>
      <c r="D34" s="7">
        <f>D$26*((Baseline!$D$39)*$C$2+(Baseline!$F$39)*'Conservatice Scenario'!$C$3)</f>
        <v>1260</v>
      </c>
      <c r="E34" s="7">
        <f>E$26*((Baseline!$D$39)*$C$2+(Baseline!$F$39)*'Conservatice Scenario'!$C$3)</f>
        <v>1260</v>
      </c>
      <c r="F34" s="7">
        <f>F$26*((Baseline!$D$39)*$C$2+(Baseline!$F$39)*'Conservatice Scenario'!$C$3)</f>
        <v>1260</v>
      </c>
      <c r="G34" s="13">
        <f t="shared" si="3"/>
        <v>3780</v>
      </c>
    </row>
    <row r="35" spans="2:7" x14ac:dyDescent="0.2">
      <c r="B35" s="1" t="str">
        <f t="shared" si="2"/>
        <v>PM, excl Use</v>
      </c>
      <c r="C35" s="1" t="str">
        <f t="shared" si="4"/>
        <v>g</v>
      </c>
      <c r="D35" s="7">
        <f>D$26*((Baseline!$D$41)*$C$2+(Baseline!$F$41)*'Conservatice Scenario'!$C$3)</f>
        <v>211500</v>
      </c>
      <c r="E35" s="7">
        <f>E$26*((Baseline!$D$41)*$C$2+(Baseline!$F$41)*'Conservatice Scenario'!$C$3)</f>
        <v>211500</v>
      </c>
      <c r="F35" s="7">
        <f>F$26*((Baseline!$D$41)*$C$2+(Baseline!$F$41)*'Conservatice Scenario'!$C$3)</f>
        <v>211500</v>
      </c>
      <c r="G35" s="13">
        <f t="shared" si="3"/>
        <v>634500</v>
      </c>
    </row>
    <row r="37" spans="2:7" x14ac:dyDescent="0.2">
      <c r="B37" s="47" t="s">
        <v>81</v>
      </c>
      <c r="C37" s="48"/>
      <c r="D37" s="48"/>
      <c r="E37" s="48"/>
      <c r="F37" s="49"/>
    </row>
    <row r="38" spans="2:7" x14ac:dyDescent="0.2">
      <c r="B38" s="14" t="str">
        <f>B27</f>
        <v>Material used</v>
      </c>
      <c r="C38" s="14" t="s">
        <v>12</v>
      </c>
      <c r="D38" s="15">
        <f t="shared" ref="D38:D46" si="5">G14-G27</f>
        <v>118707418.75</v>
      </c>
      <c r="E38" s="29" t="s">
        <v>84</v>
      </c>
      <c r="F38" s="30">
        <f>D38/1000000</f>
        <v>118.70741875</v>
      </c>
    </row>
    <row r="39" spans="2:7" x14ac:dyDescent="0.2">
      <c r="B39" s="1" t="str">
        <f t="shared" ref="B39:C45" si="6">B28</f>
        <v>Total Energy, excl Use</v>
      </c>
      <c r="C39" s="1" t="str">
        <f t="shared" si="6"/>
        <v>MJ</v>
      </c>
      <c r="D39" s="13">
        <f t="shared" si="5"/>
        <v>23307738</v>
      </c>
      <c r="E39" s="2" t="s">
        <v>86</v>
      </c>
      <c r="F39" s="31">
        <f>D39/1000000</f>
        <v>23.307738000000001</v>
      </c>
    </row>
    <row r="40" spans="2:7" x14ac:dyDescent="0.2">
      <c r="B40" s="1" t="str">
        <f t="shared" si="6"/>
        <v>Total Electricity, excl Use</v>
      </c>
      <c r="C40" s="1" t="str">
        <f t="shared" si="6"/>
        <v>MJ</v>
      </c>
      <c r="D40" s="13">
        <f t="shared" si="5"/>
        <v>4301809.625</v>
      </c>
      <c r="E40" s="2" t="s">
        <v>86</v>
      </c>
      <c r="F40" s="31">
        <f>D40/1000000</f>
        <v>4.3018096249999997</v>
      </c>
    </row>
    <row r="41" spans="2:7" x14ac:dyDescent="0.2">
      <c r="B41" s="1" t="str">
        <f t="shared" si="6"/>
        <v>Waste, non-haz./ landfill, excl Use</v>
      </c>
      <c r="C41" s="1" t="str">
        <f t="shared" si="6"/>
        <v>g</v>
      </c>
      <c r="D41" s="13">
        <f t="shared" si="5"/>
        <v>41390384.5</v>
      </c>
      <c r="E41" s="2" t="s">
        <v>84</v>
      </c>
      <c r="F41" s="31">
        <f t="shared" ref="F41:F46" si="7">D41/1000000</f>
        <v>41.390384500000003</v>
      </c>
    </row>
    <row r="42" spans="2:7" x14ac:dyDescent="0.2">
      <c r="B42" s="1" t="str">
        <f t="shared" si="6"/>
        <v>Waste, hazardous/ incinerated, excl Use</v>
      </c>
      <c r="C42" s="1" t="str">
        <f t="shared" si="6"/>
        <v>g</v>
      </c>
      <c r="D42" s="13">
        <f t="shared" si="5"/>
        <v>1251559.875</v>
      </c>
      <c r="E42" s="2" t="s">
        <v>84</v>
      </c>
      <c r="F42" s="31">
        <f t="shared" si="7"/>
        <v>1.2515598750000001</v>
      </c>
    </row>
    <row r="43" spans="2:7" x14ac:dyDescent="0.2">
      <c r="B43" s="1" t="str">
        <f t="shared" si="6"/>
        <v>GWP100, excl Use</v>
      </c>
      <c r="C43" s="1" t="str">
        <f t="shared" si="6"/>
        <v>kg CO2-eq</v>
      </c>
      <c r="D43" s="13">
        <f t="shared" si="5"/>
        <v>1224203.375</v>
      </c>
      <c r="E43" s="2" t="s">
        <v>87</v>
      </c>
      <c r="F43" s="32">
        <f>D43/1000</f>
        <v>1224.2033750000001</v>
      </c>
    </row>
    <row r="44" spans="2:7" x14ac:dyDescent="0.2">
      <c r="B44" s="1" t="str">
        <f t="shared" si="6"/>
        <v>SO2-eq, excl Use</v>
      </c>
      <c r="C44" s="1" t="str">
        <f t="shared" si="6"/>
        <v>g SO2-eq</v>
      </c>
      <c r="D44" s="13">
        <f t="shared" si="5"/>
        <v>5621760.75</v>
      </c>
      <c r="E44" s="2" t="s">
        <v>88</v>
      </c>
      <c r="F44" s="31">
        <f>D44/1000000</f>
        <v>5.62176075</v>
      </c>
    </row>
    <row r="45" spans="2:7" x14ac:dyDescent="0.2">
      <c r="B45" s="1" t="str">
        <f t="shared" si="6"/>
        <v>VOC, excl Use</v>
      </c>
      <c r="C45" s="1" t="str">
        <f t="shared" si="6"/>
        <v>g</v>
      </c>
      <c r="D45" s="13">
        <f t="shared" si="5"/>
        <v>47873.875</v>
      </c>
      <c r="E45" s="2" t="s">
        <v>84</v>
      </c>
      <c r="F45" s="31">
        <f t="shared" si="7"/>
        <v>4.7873875000000003E-2</v>
      </c>
    </row>
    <row r="46" spans="2:7" x14ac:dyDescent="0.2">
      <c r="B46" s="1" t="str">
        <f>B35</f>
        <v>PM, excl Use</v>
      </c>
      <c r="C46" s="1" t="str">
        <f>C35</f>
        <v>g</v>
      </c>
      <c r="D46" s="13">
        <f t="shared" si="5"/>
        <v>8035971.875</v>
      </c>
      <c r="E46" s="2" t="s">
        <v>84</v>
      </c>
      <c r="F46" s="31">
        <f t="shared" si="7"/>
        <v>8.0359718749999995</v>
      </c>
    </row>
  </sheetData>
  <mergeCells count="3">
    <mergeCell ref="B37:F37"/>
    <mergeCell ref="B24:G24"/>
    <mergeCell ref="B11:G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Optimistic Scenario</vt:lpstr>
      <vt:lpstr>Conservatice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Lorig Setrakian</dc:creator>
  <cp:lastModifiedBy>Rio Kaswiyanto</cp:lastModifiedBy>
  <dcterms:created xsi:type="dcterms:W3CDTF">2023-11-13T14:06:54Z</dcterms:created>
  <dcterms:modified xsi:type="dcterms:W3CDTF">2024-02-19T00:27:00Z</dcterms:modified>
</cp:coreProperties>
</file>