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sipait-my.sharepoint.com/personal/rpk2133_sipa_columbia_edu/Documents/EE Practicum/TIMES/Working Folder TIMES/On Progress/TimesIDN_V9/"/>
    </mc:Choice>
  </mc:AlternateContent>
  <xr:revisionPtr revIDLastSave="36" documentId="13_ncr:1_{F583ED7F-9AAB-F840-BF44-25FAB28E398F}" xr6:coauthVersionLast="47" xr6:coauthVersionMax="47" xr10:uidLastSave="{0CF9CAB8-4A3E-3348-A2F8-794987981137}"/>
  <bookViews>
    <workbookView xWindow="0" yWindow="740" windowWidth="29400" windowHeight="16780" tabRatio="679" firstSheet="7" activeTab="15" xr2:uid="{00000000-000D-0000-FFFF-FFFF00000000}"/>
  </bookViews>
  <sheets>
    <sheet name="EnergyBalance" sheetId="133" r:id="rId1"/>
    <sheet name="EB1" sheetId="145" r:id="rId2"/>
    <sheet name="EB2" sheetId="146" r:id="rId3"/>
    <sheet name="RES&amp;OBJ" sheetId="135" r:id="rId4"/>
    <sheet name="LCOE CAL" sheetId="155" r:id="rId5"/>
    <sheet name="Pri_HYD" sheetId="152" r:id="rId6"/>
    <sheet name="Pri_BIO" sheetId="151" r:id="rId7"/>
    <sheet name="Pri_COA" sheetId="132" r:id="rId8"/>
    <sheet name="Pri_GAS" sheetId="136" r:id="rId9"/>
    <sheet name="Pri_OIL" sheetId="137" r:id="rId10"/>
    <sheet name="Pri_SOL" sheetId="142" r:id="rId11"/>
    <sheet name="Pri_WIN" sheetId="144" r:id="rId12"/>
    <sheet name="Fuel" sheetId="156" r:id="rId13"/>
    <sheet name="Sector_Fuels" sheetId="140" r:id="rId14"/>
    <sheet name="Parsing" sheetId="150" r:id="rId15"/>
    <sheet name="Kalimantan Only" sheetId="149" r:id="rId16"/>
    <sheet name="Con_ELC" sheetId="143" r:id="rId17"/>
    <sheet name="Emi" sheetId="154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</externalReferences>
  <definedNames>
    <definedName name="__123Graph_D" hidden="1">[1]PkRp!#REF!</definedName>
    <definedName name="__CFW1">#REF!</definedName>
    <definedName name="__CFW10">#REF!</definedName>
    <definedName name="__CFW11">#REF!</definedName>
    <definedName name="__CFW12">#REF!</definedName>
    <definedName name="__CFW2">#REF!</definedName>
    <definedName name="__CFW3">#REF!</definedName>
    <definedName name="__CFW34">#REF!</definedName>
    <definedName name="__CFW4">#REF!</definedName>
    <definedName name="__CFW5">#REF!</definedName>
    <definedName name="__CFW6">#REF!</definedName>
    <definedName name="__CFW7">#REF!</definedName>
    <definedName name="__CFW8">#REF!</definedName>
    <definedName name="__CFW9">#REF!</definedName>
    <definedName name="__DAF1">#REF!</definedName>
    <definedName name="__DAF11">#REF!</definedName>
    <definedName name="__EFW1">#REF!</definedName>
    <definedName name="__EFW10">#REF!</definedName>
    <definedName name="__EFW11">#REF!</definedName>
    <definedName name="__EFW12">#REF!</definedName>
    <definedName name="__EFW2">#REF!</definedName>
    <definedName name="__EFW3">#REF!</definedName>
    <definedName name="__EFW34">#REF!</definedName>
    <definedName name="__EFW4">#REF!</definedName>
    <definedName name="__EFW5">#REF!</definedName>
    <definedName name="__EFW6">#REF!</definedName>
    <definedName name="__EFW7">#REF!</definedName>
    <definedName name="__EFW8">#REF!</definedName>
    <definedName name="__EFW9">#REF!</definedName>
    <definedName name="__ENW1">#REF!</definedName>
    <definedName name="__ENW10">#REF!</definedName>
    <definedName name="__ENW11">#REF!</definedName>
    <definedName name="__ENW12">#REF!</definedName>
    <definedName name="__ENW2">#REF!</definedName>
    <definedName name="__ENW3">#REF!</definedName>
    <definedName name="__ENW34">#REF!</definedName>
    <definedName name="__ENW4">#REF!</definedName>
    <definedName name="__ENW5">#REF!</definedName>
    <definedName name="__ENW6">#REF!</definedName>
    <definedName name="__ENW7">#REF!</definedName>
    <definedName name="__ENW8">#REF!</definedName>
    <definedName name="__ENW9">#REF!</definedName>
    <definedName name="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Oil1">#REF!</definedName>
    <definedName name="__PRD1">#REF!</definedName>
    <definedName name="__PRD2">#REF!</definedName>
    <definedName name="__PRD3">#REF!</definedName>
    <definedName name="__PRD4">#REF!</definedName>
    <definedName name="__PRD5">#REF!</definedName>
    <definedName name="__REP6">#REF!</definedName>
    <definedName name="__SKW1">[2]NRCPTK01!$A$1:$AB$42</definedName>
    <definedName name="__SWT6">#REF!</definedName>
    <definedName name="__SWT8">#REF!</definedName>
    <definedName name="_1">#REF!</definedName>
    <definedName name="_1_year" localSheetId="15">#REF!</definedName>
    <definedName name="_1_year">#REF!</definedName>
    <definedName name="_1_yr_after_compl_yr" localSheetId="15">#REF!</definedName>
    <definedName name="_1_yr_after_compl_yr">#REF!</definedName>
    <definedName name="_1_yr_after_compl_yr0" localSheetId="15">#REF!</definedName>
    <definedName name="_1_yr_after_compl_yr0">#REF!</definedName>
    <definedName name="_1_yr_before_compl_yr" localSheetId="15">#REF!</definedName>
    <definedName name="_1_yr_before_compl_yr">#REF!</definedName>
    <definedName name="_2">#REF!</definedName>
    <definedName name="_2_year" localSheetId="15">#REF!</definedName>
    <definedName name="_2_year">#REF!</definedName>
    <definedName name="_2_year_after_compl_yr" localSheetId="15">#REF!</definedName>
    <definedName name="_2_year_after_compl_yr">#REF!</definedName>
    <definedName name="_2_years" localSheetId="15">#REF!</definedName>
    <definedName name="_2_years">#REF!</definedName>
    <definedName name="_2_yrs_before_compl_yr" localSheetId="15">#REF!</definedName>
    <definedName name="_2_yrs_before_compl_yr">#REF!</definedName>
    <definedName name="_20_years" localSheetId="15">#REF!</definedName>
    <definedName name="_20_years">#REF!</definedName>
    <definedName name="_22_years" localSheetId="15">#REF!</definedName>
    <definedName name="_22_years">#REF!</definedName>
    <definedName name="_25_years" localSheetId="15">#REF!</definedName>
    <definedName name="_25_years">#REF!</definedName>
    <definedName name="_3">#REF!</definedName>
    <definedName name="_3_years" localSheetId="15">#REF!</definedName>
    <definedName name="_3_years">#REF!</definedName>
    <definedName name="_3_yrs_before_compl_yr" localSheetId="15">#REF!</definedName>
    <definedName name="_3_yrs_before_compl_yr">#REF!</definedName>
    <definedName name="_30_years" localSheetId="15">#REF!</definedName>
    <definedName name="_30_years">#REF!</definedName>
    <definedName name="_5_years" localSheetId="15">#REF!</definedName>
    <definedName name="_5_years">#REF!</definedName>
    <definedName name="_5_yrs_after_compl_yr" localSheetId="15">#REF!</definedName>
    <definedName name="_5_yrs_after_compl_y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CFW1">#REF!</definedName>
    <definedName name="_CFW10">#REF!</definedName>
    <definedName name="_CFW11">#REF!</definedName>
    <definedName name="_CFW12">#REF!</definedName>
    <definedName name="_CFW2">#REF!</definedName>
    <definedName name="_CFW3">#REF!</definedName>
    <definedName name="_CFW34">#REF!</definedName>
    <definedName name="_CFW4">#REF!</definedName>
    <definedName name="_CFW5">#REF!</definedName>
    <definedName name="_CFW6">#REF!</definedName>
    <definedName name="_CFW7">#REF!</definedName>
    <definedName name="_CFW8">#REF!</definedName>
    <definedName name="_CFW9">#REF!</definedName>
    <definedName name="_DAF1">#REF!</definedName>
    <definedName name="_DAF11">#REF!</definedName>
    <definedName name="_EFW1">#REF!</definedName>
    <definedName name="_EFW10">#REF!</definedName>
    <definedName name="_EFW11">#REF!</definedName>
    <definedName name="_EFW12">#REF!</definedName>
    <definedName name="_EFW2">#REF!</definedName>
    <definedName name="_EFW3">#REF!</definedName>
    <definedName name="_EFW34">#REF!</definedName>
    <definedName name="_EFW4">#REF!</definedName>
    <definedName name="_EFW5">#REF!</definedName>
    <definedName name="_EFW6">#REF!</definedName>
    <definedName name="_EFW7">#REF!</definedName>
    <definedName name="_EFW8">#REF!</definedName>
    <definedName name="_EFW9">#REF!</definedName>
    <definedName name="_ENW1">#REF!</definedName>
    <definedName name="_ENW10">#REF!</definedName>
    <definedName name="_ENW11">#REF!</definedName>
    <definedName name="_ENW12">#REF!</definedName>
    <definedName name="_ENW2">#REF!</definedName>
    <definedName name="_ENW3">#REF!</definedName>
    <definedName name="_ENW34">#REF!</definedName>
    <definedName name="_ENW4">#REF!</definedName>
    <definedName name="_ENW5">#REF!</definedName>
    <definedName name="_ENW6">#REF!</definedName>
    <definedName name="_ENW7">#REF!</definedName>
    <definedName name="_ENW8">#REF!</definedName>
    <definedName name="_ENW9">#REF!</definedName>
    <definedName name="_Fill" hidden="1">[3]UshDeb00!#REF!</definedName>
    <definedName name="_xlnm._FilterDatabase" localSheetId="15" hidden="1">'Kalimantan Only'!#REF!</definedName>
    <definedName name="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Key1" hidden="1">[4]L_23!#REF!</definedName>
    <definedName name="_Key2" hidden="1">#REF!</definedName>
    <definedName name="_LPO2">[5]uts!#REF!</definedName>
    <definedName name="_Oil1">#REF!</definedName>
    <definedName name="_Order1" hidden="1">255</definedName>
    <definedName name="_Order2" hidden="1">255</definedName>
    <definedName name="_PRD1">#REF!</definedName>
    <definedName name="_PRD2">#REF!</definedName>
    <definedName name="_PRD3">#REF!</definedName>
    <definedName name="_PRD4">#REF!</definedName>
    <definedName name="_PRD5">#REF!</definedName>
    <definedName name="_Regression_Int">1</definedName>
    <definedName name="_REP6">#REF!</definedName>
    <definedName name="_SKW1">[2]NRCPTK01!$A$1:$AB$42</definedName>
    <definedName name="_Sort" hidden="1">[3]UshDeb00!#REF!</definedName>
    <definedName name="_SWT6">#REF!</definedName>
    <definedName name="_SWT8">#REF!</definedName>
    <definedName name="\0">#REF!</definedName>
    <definedName name="\a">#N/A</definedName>
    <definedName name="\B">#REF!</definedName>
    <definedName name="\C">#REF!</definedName>
    <definedName name="\CABANG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MENU">#REF!</definedName>
    <definedName name="\O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a" hidden="1">{#N/A,#N/A,FALSE,"M.42"}</definedName>
    <definedName name="a_6" hidden="1">{#N/A,#N/A,FALSE,"M.42"}</definedName>
    <definedName name="AA" localSheetId="15" hidden="1">{#N/A,#N/A,FALSE,"M.41"}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A" hidden="1">{#N/A,#N/A,FALSE,"M.33"}</definedName>
    <definedName name="afdsf" hidden="1">{#N/A,#N/A,FALSE,"M.43"}</definedName>
    <definedName name="AIR">#REF!</definedName>
    <definedName name="aku" hidden="1">{#N/A,#N/A,FALSE,"M.43"}</definedName>
    <definedName name="akujuga" hidden="1">{#N/A,#N/A,FALSE,"M.43"}</definedName>
    <definedName name="AkumATFungsi">#REF!</definedName>
    <definedName name="AkumATJenis">#REF!</definedName>
    <definedName name="AL" hidden="1">{#N/A,#N/A,FALSE,"M.32"}</definedName>
    <definedName name="AMPO" hidden="1">{#N/A,#N/A,FALSE,"M.01";#N/A,#N/A,FALSE,"M.01"}</definedName>
    <definedName name="analysis_year" localSheetId="15">#REF!</definedName>
    <definedName name="analysis_year">#REF!</definedName>
    <definedName name="aqa">#REF!</definedName>
    <definedName name="asal" hidden="1">{#N/A,#N/A,FALSE,"M.31"}</definedName>
    <definedName name="ATFungsi">#REF!</definedName>
    <definedName name="ATJenis">#REF!</definedName>
    <definedName name="AWAL10">#REF!</definedName>
    <definedName name="AWAL11">#REF!</definedName>
    <definedName name="AWAL12">#REF!</definedName>
    <definedName name="AWAL13">#REF!</definedName>
    <definedName name="AWAL14">#REF!</definedName>
    <definedName name="AWAL15">#REF!</definedName>
    <definedName name="awal16">#REF!</definedName>
    <definedName name="AWAL17">#REF!</definedName>
    <definedName name="AWAL18">#REF!</definedName>
    <definedName name="AWAL19">#REF!</definedName>
    <definedName name="AWAL2">#REF!</definedName>
    <definedName name="AWAL20">#REF!</definedName>
    <definedName name="AWAL21">#REF!</definedName>
    <definedName name="AWAL22">#REF!</definedName>
    <definedName name="AWAL23">#REF!</definedName>
    <definedName name="AWAL24">#REF!</definedName>
    <definedName name="AWAL25">#REF!</definedName>
    <definedName name="AWAL26">#REF!</definedName>
    <definedName name="AWAL27">#REF!</definedName>
    <definedName name="AWAL28">#REF!</definedName>
    <definedName name="AWAL29">#REF!</definedName>
    <definedName name="AWAL3">#REF!</definedName>
    <definedName name="AWAL30">#REF!</definedName>
    <definedName name="AWAL31">#REF!</definedName>
    <definedName name="AWAL4">#REF!</definedName>
    <definedName name="AWAL5">#REF!</definedName>
    <definedName name="AWAL6">#REF!</definedName>
    <definedName name="AWAL7">#REF!</definedName>
    <definedName name="AWAL8">#REF!</definedName>
    <definedName name="AWAL9">#REF!</definedName>
    <definedName name="B" hidden="1">{#N/A,#N/A,FALSE,"M.31"}</definedName>
    <definedName name="Base_Year">EnergyBalance!$Q$3</definedName>
    <definedName name="BBB" hidden="1">{#N/A,#N/A,FALSE,"M.33"}</definedName>
    <definedName name="BBG">#REF!</definedName>
    <definedName name="BBM">#REF!</definedName>
    <definedName name="beban">#REF!</definedName>
    <definedName name="Beban_Puncak">#REF!</definedName>
    <definedName name="beban.">#REF!</definedName>
    <definedName name="Beli">#REF!</definedName>
    <definedName name="BENGKAYANG">#N/A</definedName>
    <definedName name="BiInvest">#REF!</definedName>
    <definedName name="BiPegUTRWII">'[6]Bipeg-U(12D2)'!#REF!</definedName>
    <definedName name="BiPegUTRWIII">'[6]Bipeg-U(12D2)'!#REF!</definedName>
    <definedName name="BiPegUTRWIV">'[6]Bipeg-U(12D2)'!#REF!</definedName>
    <definedName name="BLOGEER">#REF!</definedName>
    <definedName name="breakfast">OFFSET([7]Breakfast!$A$1,0,0,MATCH(REPT("z",255),[7]Breakfast!$A:$A),1)</definedName>
    <definedName name="breakfast_sides">OFFSET([7]Breakfast!$C$1,0,0,MATCH(REPT("z",255),[7]Breakfast!$C:$C),1)</definedName>
    <definedName name="BULL">'[8]KMS-DIS5'!$A$4:$AI$179</definedName>
    <definedName name="c_">#REF!</definedName>
    <definedName name="capital_20_for_ipm" localSheetId="15">#REF!</definedName>
    <definedName name="capital_20_for_ipm">#REF!</definedName>
    <definedName name="capital_22_for_ipm" localSheetId="15">#REF!</definedName>
    <definedName name="capital_22_for_ipm">#REF!</definedName>
    <definedName name="capital_25_for_ipm" localSheetId="15">#REF!</definedName>
    <definedName name="capital_25_for_ipm">#REF!</definedName>
    <definedName name="capital_30_for_ipm" localSheetId="15">#REF!</definedName>
    <definedName name="capital_30_for_ipm">#REF!</definedName>
    <definedName name="capital_ct_30_for_ipm" localSheetId="15">#REF!</definedName>
    <definedName name="capital_ct_30_for_ipm">#REF!</definedName>
    <definedName name="Catalog">[9]CATALOG!$A:$B</definedName>
    <definedName name="cc">#REF!</definedName>
    <definedName name="ccode1">'[10]13.REFERENSI'!$B$153:$D$153</definedName>
    <definedName name="CETAK13">#REF!</definedName>
    <definedName name="CFBTM">#REF!</definedName>
    <definedName name="CFJW">[11]E7!#REF!</definedName>
    <definedName name="ck_310_Tm_master2" localSheetId="15">#REF!</definedName>
    <definedName name="ck_310_Tm_master2">#REF!</definedName>
    <definedName name="ck_310_Tm_master2_ICF" localSheetId="15">#REF!</definedName>
    <definedName name="ck_310_Tm_master2_ICF">#REF!</definedName>
    <definedName name="ckarang">#REF!</definedName>
    <definedName name="COBA">#REF!</definedName>
    <definedName name="compl_yr" localSheetId="15">#REF!</definedName>
    <definedName name="compl_yr">#REF!</definedName>
    <definedName name="compl_yr_for_ipm" localSheetId="15">#REF!</definedName>
    <definedName name="compl_yr_for_ipm">#REF!</definedName>
    <definedName name="compliance_year_1" localSheetId="15">#REF!</definedName>
    <definedName name="compliance_year_1">#REF!</definedName>
    <definedName name="compliance_year_2" localSheetId="15">#REF!</definedName>
    <definedName name="compliance_year_2">#REF!</definedName>
    <definedName name="compliance_year_3" localSheetId="15">#REF!</definedName>
    <definedName name="compliance_year_3">#REF!</definedName>
    <definedName name="compliance_year_4" localSheetId="15">#REF!</definedName>
    <definedName name="compliance_year_4">#REF!</definedName>
    <definedName name="compliance_year_5" localSheetId="15">#REF!</definedName>
    <definedName name="compliance_year_5">#REF!</definedName>
    <definedName name="compliance_year_6" localSheetId="15">#REF!</definedName>
    <definedName name="compliance_year_6">#REF!</definedName>
    <definedName name="compliance_year_7" localSheetId="15">#REF!</definedName>
    <definedName name="compliance_year_7">#REF!</definedName>
    <definedName name="compliance_year_8" localSheetId="15">#REF!</definedName>
    <definedName name="compliance_year_8">#REF!</definedName>
    <definedName name="compliance_year_9" localSheetId="15">#REF!</definedName>
    <definedName name="compliance_year_9">#REF!</definedName>
    <definedName name="ConstDisbIndonesia">#REF!</definedName>
    <definedName name="ConstDisbW10">#REF!</definedName>
    <definedName name="ConstDisbWJawa">#REF!</definedName>
    <definedName name="ConstDisbWLJawa">#REF!</definedName>
    <definedName name="ConstDisbWX">#REF!</definedName>
    <definedName name="ConstFixIndonesia">#REF!</definedName>
    <definedName name="ConstFixWJawa">#REF!</definedName>
    <definedName name="ConstFixWLJawa">#REF!</definedName>
    <definedName name="ConstFixWX">#REF!</definedName>
    <definedName name="copy">#REF!</definedName>
    <definedName name="COUNTER">#REF!</definedName>
    <definedName name="Country" localSheetId="15">#REF!</definedName>
    <definedName name="Country">#REF!</definedName>
    <definedName name="cs">#REF!</definedName>
    <definedName name="csDesignMode">1</definedName>
    <definedName name="ct_icr" localSheetId="15">#REF!</definedName>
    <definedName name="ct_icr">#REF!</definedName>
    <definedName name="CurrDisbIndonesia">#REF!</definedName>
    <definedName name="CurrDisbW1">[12]Inv_NAD!#REF!</definedName>
    <definedName name="CurrDisbW2">[12]Inv_SUMUT!#REF!</definedName>
    <definedName name="CurrDisbW3">[12]Inv_RIAU!#REF!</definedName>
    <definedName name="CurrDisbW4">[12]Inv_SUMBAR!#REF!</definedName>
    <definedName name="CurrDisbW5">[12]Inv_S2JB!#REF!</definedName>
    <definedName name="CurrDisbW6">[12]Inv_LAMPUNG!#REF!</definedName>
    <definedName name="CurrDisbW7">'[12]Inv_KITLUR SUMBAGUT'!#REF!</definedName>
    <definedName name="CurrDisbW8">'[12]Inv_KITLUR SUMBAGSEL'!#REF!</definedName>
    <definedName name="CurrDisbW9">[12]Inv_KALBAR!#REF!</definedName>
    <definedName name="CurrDisbWBatam">[12]Inv_SULUTENGGO!#REF!</definedName>
    <definedName name="CurrDisbWJawa">#REF!</definedName>
    <definedName name="CurrDisbWLJawa">#REF!</definedName>
    <definedName name="CurrDisbWX">[12]Inv_KALTIM!#REF!</definedName>
    <definedName name="CurrDisbWXI">[12]Inv_KALSELTENG!#REF!</definedName>
    <definedName name="CurrFixIndonesia">#REF!</definedName>
    <definedName name="CurrFixW1">[12]Inv_NAD!#REF!</definedName>
    <definedName name="CurrFixW2">[12]Inv_SUMUT!#REF!</definedName>
    <definedName name="CurrFixW3">[12]Inv_RIAU!#REF!</definedName>
    <definedName name="CurrFixW4">[12]Inv_SUMBAR!#REF!</definedName>
    <definedName name="CurrFixW5">[12]Inv_S2JB!#REF!</definedName>
    <definedName name="CurrFixW6">[12]Inv_LAMPUNG!#REF!</definedName>
    <definedName name="CurrFixW7">'[12]Inv_KITLUR SUMBAGUT'!#REF!</definedName>
    <definedName name="CurrFixW8">'[12]Inv_KITLUR SUMBAGSEL'!#REF!</definedName>
    <definedName name="CurrFixW9">[12]Inv_KALBAR!#REF!</definedName>
    <definedName name="CurrFixWBatam">[12]Inv_SULUTENGGO!#REF!</definedName>
    <definedName name="CurrFixWJawa">#REF!</definedName>
    <definedName name="CurrFixWLJawa">#REF!</definedName>
    <definedName name="CurrFixWX">[12]Inv_KALTIM!#REF!</definedName>
    <definedName name="CurrFixWXI">[12]Inv_KALSELTENG!#REF!</definedName>
    <definedName name="D" hidden="1">{#N/A,#N/A,FALSE,"M.33"}</definedName>
    <definedName name="daftar">[13]buku!$A$2:$I$13</definedName>
    <definedName name="DATA1">#REF!</definedName>
    <definedName name="DATA2">#REF!</definedName>
    <definedName name="DATA3">#REF!</definedName>
    <definedName name="_xlnm.Database" localSheetId="15">#REF!</definedName>
    <definedName name="_xlnm.Database">#REF!</definedName>
    <definedName name="Date">[14]Sheet1!$B$2:$B$32</definedName>
    <definedName name="DBSend">[15]Asumsi!$U$4</definedName>
    <definedName name="DD" hidden="1">{#N/A,#N/A,FALSE,"M.34"}</definedName>
    <definedName name="Disbur">#REF!</definedName>
    <definedName name="discount_rate" localSheetId="15">#REF!</definedName>
    <definedName name="discount_rate">#REF!</definedName>
    <definedName name="downtime_for_ipm" localSheetId="15">#REF!</definedName>
    <definedName name="downtime_for_ipm">#REF!</definedName>
    <definedName name="dq_stq_facility_costs">[16]DQ_STQ_Facility_Level_Costs!$A:$IV</definedName>
    <definedName name="E" hidden="1">{#N/A,#N/A,FALSE,"M.34"}</definedName>
    <definedName name="eafF" hidden="1">{#N/A,#N/A,FALSE,"M.31"}</definedName>
    <definedName name="EFBTM">#REF!</definedName>
    <definedName name="EFIND">[11]E7!#REF!</definedName>
    <definedName name="EFJW">[11]E7!#REF!</definedName>
    <definedName name="EFLJW">#REF!</definedName>
    <definedName name="egfegrg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ek">#REF!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m">#REF!</definedName>
    <definedName name="ENBTM">#REF!</definedName>
    <definedName name="ENIND">[11]E7!#REF!</definedName>
    <definedName name="ENJW">[11]E7!#REF!</definedName>
    <definedName name="ENLJW">#REF!</definedName>
    <definedName name="enron">#REF!</definedName>
    <definedName name="ERWER" hidden="1">{#N/A,#N/A,FALSE,"M.42"}</definedName>
    <definedName name="es">#REF!</definedName>
    <definedName name="ESTIMASIKINERJA2004" hidden="1">{#N/A,#N/A,FALSE,"M.31"}</definedName>
    <definedName name="ewrwef" hidden="1">{#N/A,#N/A,FALSE,"M.43"}</definedName>
    <definedName name="F" hidden="1">{#N/A,#N/A,FALSE,"M.41"}</definedName>
    <definedName name="F860_COOLING_STATUS" localSheetId="15">#REF!</definedName>
    <definedName name="F860_COOLING_STATUS">#REF!</definedName>
    <definedName name="F860_NOXCONTROL" localSheetId="15">#REF!</definedName>
    <definedName name="F860_NOXCONTROL">#REF!</definedName>
    <definedName name="faef" hidden="1">{#N/A,#N/A,FALSE,"M.42"}</definedName>
    <definedName name="Faktor_Beban">#REF!</definedName>
    <definedName name="ff">#REF!</definedName>
    <definedName name="FID_1" localSheetId="17">[17]AGR_Fuels!$A$2</definedName>
    <definedName name="FID_1" localSheetId="15">[17]AGR_Fuels!$A$2</definedName>
    <definedName name="FID_1">[17]AGR_Fuels!$A$2</definedName>
    <definedName name="fom_for_ipm" localSheetId="15">#REF!</definedName>
    <definedName name="fom_for_ipm">#REF!</definedName>
    <definedName name="g">[18]Renpek!#REF!</definedName>
    <definedName name="G_Gas_2">'[19]grafik-010B'!#REF!</definedName>
    <definedName name="G_Tot_1">'[19]grafik-010B'!#REF!</definedName>
    <definedName name="GAS">#REF!</definedName>
    <definedName name="GAS_UAP">#REF!</definedName>
    <definedName name="GBPJB2">'[19]grafik-010B'!#REF!</definedName>
    <definedName name="geothermal">#REF!</definedName>
    <definedName name="gg">#REF!</definedName>
    <definedName name="GNKSS.">"Chart 1"</definedName>
    <definedName name="harga">#REF!</definedName>
    <definedName name="HarMatTRWI">#REF!</definedName>
    <definedName name="HarMatTRWII">#REF!</definedName>
    <definedName name="HarMatTRWIII">#REF!</definedName>
    <definedName name="HarMatTRWIV">#REF!</definedName>
    <definedName name="HEHE">[20]REFERENSI!#REF!</definedName>
    <definedName name="hh">[18]Renpek!#REF!</definedName>
    <definedName name="hhhh">#REF!</definedName>
    <definedName name="Hitung_Energi">[21]Hitung_Energi!$A$1:$P$773</definedName>
    <definedName name="Hitung_energi1">[21]Hitung_Energi!$A$1:$P$773</definedName>
    <definedName name="icr_costs" localSheetId="15">#REF!</definedName>
    <definedName name="icr_costs">#REF!</definedName>
    <definedName name="indikatorlurruptl" hidden="1">{#N/A,#N/A,FALSE,"M.31"}</definedName>
    <definedName name="InputUnitList" localSheetId="15">#REF!</definedName>
    <definedName name="InputUnitList">#REF!</definedName>
    <definedName name="InputUnitList2" localSheetId="15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IS1TRWI">#REF!</definedName>
    <definedName name="IS1TRWII">#REF!</definedName>
    <definedName name="IS1TRWIII">#REF!</definedName>
    <definedName name="IS1TRWIV">#REF!</definedName>
    <definedName name="IS21TRWI">#REF!</definedName>
    <definedName name="IS21TRWII">#REF!</definedName>
    <definedName name="IS21TRWIII">#REF!</definedName>
    <definedName name="IS21TRWIV">#REF!</definedName>
    <definedName name="IS22TRWI">#REF!</definedName>
    <definedName name="IS22TRWII">#REF!</definedName>
    <definedName name="IS22TRWIII">#REF!</definedName>
    <definedName name="IS22TRWIV">#REF!</definedName>
    <definedName name="JAMBI">'[22]Kontrak vs Realisasi Gas'!#REF!</definedName>
    <definedName name="jh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ualGLangTRWI">#REF!</definedName>
    <definedName name="JualGLangTRWII">#REF!</definedName>
    <definedName name="JualGLangTRWIII">#REF!</definedName>
    <definedName name="JualGLangTRWIV">#REF!</definedName>
    <definedName name="Jumat">'[23]Tabel ND(Tb8)'!$E$160</definedName>
    <definedName name="kamu" hidden="1">{#N/A,#N/A,FALSE,"M.43"}</definedName>
    <definedName name="KAPASITAS">#REF!</definedName>
    <definedName name="KARANGAN">#N/A</definedName>
    <definedName name="KETAPANG">#N/A</definedName>
    <definedName name="KIM">#REF!</definedName>
    <definedName name="kinerja" hidden="1">{#N/A,#N/A,FALSE,"M.32"}</definedName>
    <definedName name="kinerja_1" hidden="1">{#N/A,#N/A,FALSE,"M.42"}</definedName>
    <definedName name="KINERJA2004ESTIMASI" hidden="1">{#N/A,#N/A,FALSE,"M.02"}</definedName>
    <definedName name="kkkkkkkk">#REF!</definedName>
    <definedName name="KMA">#REF!</definedName>
    <definedName name="KorPajak">#REF!</definedName>
    <definedName name="KWH">#REF!</definedName>
    <definedName name="L" hidden="1">{#N/A,#N/A,FALSE,"M.34"}</definedName>
    <definedName name="L1_PLTA">#REF!</definedName>
    <definedName name="L1_PLTD">#REF!</definedName>
    <definedName name="L1_PLTG">#REF!</definedName>
    <definedName name="L1_PLTGU">#REF!</definedName>
    <definedName name="L1_PLTP">#REF!</definedName>
    <definedName name="L1_PLTU">#REF!</definedName>
    <definedName name="LAPORAN_A">#REF!</definedName>
    <definedName name="LAPORAN_B">#REF!</definedName>
    <definedName name="LAPORAN_C">#REF!</definedName>
    <definedName name="LAPORAN_PIKET">#REF!</definedName>
    <definedName name="ldc">#REF!</definedName>
    <definedName name="LEDO">#N/A</definedName>
    <definedName name="LEVEL_1">#REF!</definedName>
    <definedName name="LINE_A">#REF!</definedName>
    <definedName name="LINE_B">#REF!</definedName>
    <definedName name="LINE_C">#REF!</definedName>
    <definedName name="ListCommandControVaryingDegrees" localSheetId="15">'[24]Data Validation List'!#REF!</definedName>
    <definedName name="ListCommandControVaryingDegrees">'[24]Data Validation List'!#REF!</definedName>
    <definedName name="LM">'[25]12.REFERENSI'!$B$7:$B$112</definedName>
    <definedName name="load">#REF!</definedName>
    <definedName name="LOOP">#REF!</definedName>
    <definedName name="lop">#REF!</definedName>
    <definedName name="lunch">OFFSET([7]Lunch!$A$1,0,0,MATCH(REPT("z",255),[7]Lunch!$A:$A),1)</definedName>
    <definedName name="Macro1" localSheetId="6">[26]!Macro1</definedName>
    <definedName name="Macro1" localSheetId="5">[26]!Macro1</definedName>
    <definedName name="Macro1">[26]!Macro1</definedName>
    <definedName name="Macro2" localSheetId="6">[26]!Macro2</definedName>
    <definedName name="Macro2" localSheetId="5">[26]!Macro2</definedName>
    <definedName name="Macro2">[26]!Macro2</definedName>
    <definedName name="Macro3" localSheetId="6">[26]!Macro3</definedName>
    <definedName name="Macro3" localSheetId="5">[26]!Macro3</definedName>
    <definedName name="Macro3">[26]!Macro3</definedName>
    <definedName name="Macro4" localSheetId="6">[26]!Macro4</definedName>
    <definedName name="Macro4" localSheetId="5">[26]!Macro4</definedName>
    <definedName name="Macro4">[26]!Macro4</definedName>
    <definedName name="Macro5" localSheetId="6">[26]!Macro5</definedName>
    <definedName name="Macro5" localSheetId="5">[26]!Macro5</definedName>
    <definedName name="Macro5">[26]!Macro5</definedName>
    <definedName name="mainDishes">OFFSET([7]mainDishes!$A$1,0,0,MATCH(REPT("z",255),[7]mainDishes!$A:$A),1)</definedName>
    <definedName name="MARET">#REF!</definedName>
    <definedName name="MAX">#REF!</definedName>
    <definedName name="mcperiod">#REF!</definedName>
    <definedName name="Mesin">#REF!</definedName>
    <definedName name="MIN">#REF!</definedName>
    <definedName name="mmc" hidden="1">{#N/A,#N/A,FALSE,"M.42"}</definedName>
    <definedName name="mmd" hidden="1">{#N/A,#N/A,FALSE,"M.32"}</definedName>
    <definedName name="monitor_markup">[27]Assumptions!$H$4</definedName>
    <definedName name="MutasiMatPDP">#REF!</definedName>
    <definedName name="MW">#REF!</definedName>
    <definedName name="nama_GI">'[28]13.REFERENSI'!$B$82:$B$128</definedName>
    <definedName name="nama_GI_UPB">[20]REFERENSI!$B$365:$B$368</definedName>
    <definedName name="nama_pembangkit">'[29]12.REFERENSI'!$B$7:$B$75</definedName>
    <definedName name="nama_sektor">[20]REFERENSI!$B$213:$B$232</definedName>
    <definedName name="NEEDS_For_Parsing" localSheetId="15">#REF!</definedName>
    <definedName name="NEEDS_For_Parsing">#REF!</definedName>
    <definedName name="NEEDS_v620_For_ICF" localSheetId="15">#REF!</definedName>
    <definedName name="NEEDS_v620_For_ICF">#REF!</definedName>
    <definedName name="NEEDS617_Population" localSheetId="15">#REF!</definedName>
    <definedName name="NEEDS617_Population">#REF!</definedName>
    <definedName name="Neraca">#REF!</definedName>
    <definedName name="NGABANG">#N/A</definedName>
    <definedName name="ni" hidden="1">{#N/A,#N/A,FALSE,"M.42"}</definedName>
    <definedName name="nnm" hidden="1">{#N/A,#N/A,FALSE,"M.43"}</definedName>
    <definedName name="nnnm" hidden="1">{#N/A,#N/A,FALSE,"M.42"}</definedName>
    <definedName name="Node" localSheetId="15">#REF!</definedName>
    <definedName name="Node">#REF!</definedName>
    <definedName name="non_ct_icr" localSheetId="15">#REF!</definedName>
    <definedName name="non_ct_icr">#REF!</definedName>
    <definedName name="Oil_UNIT_TRW">#REF!</definedName>
    <definedName name="Oil1trw">#REF!</definedName>
    <definedName name="option" localSheetId="15">#REF!</definedName>
    <definedName name="option">#REF!</definedName>
    <definedName name="option_vlookup" localSheetId="15">#REF!</definedName>
    <definedName name="option_vlookup">#REF!</definedName>
    <definedName name="P" hidden="1">{#N/A,#N/A,FALSE,"M.41"}</definedName>
    <definedName name="P_BUMI">#REF!</definedName>
    <definedName name="P_III_2_CA" localSheetId="15">#REF!</definedName>
    <definedName name="P_III_2_CA">#REF!</definedName>
    <definedName name="P_IV_7" localSheetId="15">#REF!</definedName>
    <definedName name="P_IV_7">#REF!</definedName>
    <definedName name="P_PLTA">#REF!</definedName>
    <definedName name="P_PLTG">#REF!</definedName>
    <definedName name="P_PLTGU">#REF!</definedName>
    <definedName name="P_PLTP">#REF!</definedName>
    <definedName name="P_PLTU">#REF!</definedName>
    <definedName name="paiton1">#REF!</definedName>
    <definedName name="PBKIT" hidden="1">[30]UshDeb00!#REF!</definedName>
    <definedName name="PDPKons">#REF!</definedName>
    <definedName name="PDPMaterial">#REF!</definedName>
    <definedName name="PDPPembDimuka">#REF!</definedName>
    <definedName name="Pemakaian_Sendiri">#REF!</definedName>
    <definedName name="penalty_for_ipm" localSheetId="15">#REF!</definedName>
    <definedName name="penalty_for_ipm">#REF!</definedName>
    <definedName name="Penjualan">#REF!</definedName>
    <definedName name="Perb_A4">#REF!</definedName>
    <definedName name="Period">#REF!</definedName>
    <definedName name="PeriodSelected">#REF!</definedName>
    <definedName name="Pertumbuhan">#REF!</definedName>
    <definedName name="PINOH">#N/A</definedName>
    <definedName name="PlanningPeriod">#REF!</definedName>
    <definedName name="Plant_OperationalFY2019" localSheetId="15">#REF!</definedName>
    <definedName name="Plant_OperationalFY2019">#REF!</definedName>
    <definedName name="PLGN">#REF!</definedName>
    <definedName name="PLN">#REF!</definedName>
    <definedName name="PLTA">[31]Perintah!$B$100:$B$104</definedName>
    <definedName name="PLTG">[31]Perintah!$B$122:$B$130</definedName>
    <definedName name="PLTG.">#REF!</definedName>
    <definedName name="pltg..">#REF!</definedName>
    <definedName name="pltg...">#REF!</definedName>
    <definedName name="PLTGU">[31]Perintah!$B$115:$B$121</definedName>
    <definedName name="PLTP">[31]Perintah!$B$131:$B$135</definedName>
    <definedName name="PLTU">[31]Perintah!$B$105:$B$114</definedName>
    <definedName name="POLA1">#REF!</definedName>
    <definedName name="POLA10">#REF!</definedName>
    <definedName name="POLA11">#REF!</definedName>
    <definedName name="POLA12">#REF!</definedName>
    <definedName name="POLA13">#REF!</definedName>
    <definedName name="POLA14">#REF!</definedName>
    <definedName name="POLA15">#REF!</definedName>
    <definedName name="POLA16">#REF!</definedName>
    <definedName name="POLA17">#REF!</definedName>
    <definedName name="POLA18">#REF!</definedName>
    <definedName name="POLA19">#REF!</definedName>
    <definedName name="POLA2">#REF!</definedName>
    <definedName name="POLA20">#REF!</definedName>
    <definedName name="POLA21">#REF!</definedName>
    <definedName name="POLA22">#REF!</definedName>
    <definedName name="POLA23">#REF!</definedName>
    <definedName name="POLA24">#REF!</definedName>
    <definedName name="POLA25">#REF!</definedName>
    <definedName name="POLA26">#REF!</definedName>
    <definedName name="POLA27">#REF!</definedName>
    <definedName name="POLA28">#REF!</definedName>
    <definedName name="POLA29">#REF!</definedName>
    <definedName name="POLA3">#REF!</definedName>
    <definedName name="POLA30">#REF!</definedName>
    <definedName name="POLA31">#REF!</definedName>
    <definedName name="POLA4">#REF!</definedName>
    <definedName name="POLA5">#REF!</definedName>
    <definedName name="POLA6">#REF!</definedName>
    <definedName name="POLA7">#REF!</definedName>
    <definedName name="POLA8">#REF!</definedName>
    <definedName name="POLA9">#REF!</definedName>
    <definedName name="PPs">[32]PP!$A:$D</definedName>
    <definedName name="pram" hidden="1">{#N/A,#N/A,FALSE,"M.31"}</definedName>
    <definedName name="PRD1trw">#REF!</definedName>
    <definedName name="PRD2trw">#REF!</definedName>
    <definedName name="PRD3trw">#REF!</definedName>
    <definedName name="PRD4trw">#REF!</definedName>
    <definedName name="PRD5trw">#REF!</definedName>
    <definedName name="prediksi_th03" hidden="1">{#N/A,#N/A,FALSE,"M.01";#N/A,#N/A,FALSE,"M.01"}</definedName>
    <definedName name="_xlnm.Print_Area">#REF!</definedName>
    <definedName name="Print_Area_MI">#REF!</definedName>
    <definedName name="_xlnm.Print_Titles">#N/A</definedName>
    <definedName name="Print_Titles_MI">#REF!</definedName>
    <definedName name="PROD10">#REF!</definedName>
    <definedName name="PROD11">#REF!</definedName>
    <definedName name="PROD12">#REF!</definedName>
    <definedName name="PROD13">#REF!</definedName>
    <definedName name="PROD14">#REF!</definedName>
    <definedName name="PROD15">#REF!</definedName>
    <definedName name="PROD16">#REF!</definedName>
    <definedName name="PROD17">#REF!</definedName>
    <definedName name="PROD18">#REF!</definedName>
    <definedName name="PROD19">#REF!</definedName>
    <definedName name="PROD2">#REF!</definedName>
    <definedName name="PROD20">#REF!</definedName>
    <definedName name="PROD21">#REF!</definedName>
    <definedName name="PROD22">#REF!</definedName>
    <definedName name="PROD23">#REF!</definedName>
    <definedName name="PROD24">#REF!</definedName>
    <definedName name="PROD25">#REF!</definedName>
    <definedName name="PROD26">#REF!</definedName>
    <definedName name="PROD27">#REF!</definedName>
    <definedName name="PROD28">#REF!</definedName>
    <definedName name="PROD29">#REF!</definedName>
    <definedName name="PROD3">#REF!</definedName>
    <definedName name="PROD30">#REF!</definedName>
    <definedName name="PROD31">#REF!</definedName>
    <definedName name="PROD4">#REF!</definedName>
    <definedName name="PROD5">#REF!</definedName>
    <definedName name="PROD6">#REF!</definedName>
    <definedName name="PROD7">#REF!</definedName>
    <definedName name="PROD8">#REF!</definedName>
    <definedName name="PROD9">#REF!</definedName>
    <definedName name="Produksi">#REF!</definedName>
    <definedName name="PROJECT">#REF!</definedName>
    <definedName name="promulgation_year" localSheetId="15">#REF!</definedName>
    <definedName name="promulgation_year">#REF!</definedName>
    <definedName name="PSGI" hidden="1">{#N/A,#N/A,FALSE,"M.43"}</definedName>
    <definedName name="PSRAN">#REF!</definedName>
    <definedName name="PUTUSSIBAU">#N/A</definedName>
    <definedName name="Q" hidden="1">{#N/A,#N/A,FALSE,"M.43"}</definedName>
    <definedName name="q1w1">#REF!</definedName>
    <definedName name="qqq" hidden="1">{#N/A,#N/A,FALSE,"M.42"}</definedName>
    <definedName name="qryUnitsModeledIdentity" localSheetId="15">#REF!</definedName>
    <definedName name="qryUnitsModeledIdentity">#REF!</definedName>
    <definedName name="RANGE">#REF!</definedName>
    <definedName name="REG2_" localSheetId="15">#REF!</definedName>
    <definedName name="REG2_">#REF!</definedName>
    <definedName name="Region">#REF!</definedName>
    <definedName name="regions1" localSheetId="15">#REF!</definedName>
    <definedName name="regions1">#REF!</definedName>
    <definedName name="REKAP">#REF!</definedName>
    <definedName name="rekap_kit">[33]terima!$B$2:$R$401</definedName>
    <definedName name="REKTRWS3">#REF!</definedName>
    <definedName name="REKTRWS4">#REF!</definedName>
    <definedName name="RENTAL">#REF!</definedName>
    <definedName name="rental.">#REF!</definedName>
    <definedName name="REPELITA">#REF!</definedName>
    <definedName name="RepVI">#REF!</definedName>
    <definedName name="RepVII">#REF!</definedName>
    <definedName name="RepVIII">#REF!</definedName>
    <definedName name="RIAU">'[22]Kontrak vs Realisasi Gas'!#REF!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UMUS">#N/A</definedName>
    <definedName name="run_page" localSheetId="15">#REF!</definedName>
    <definedName name="run_page">#REF!</definedName>
    <definedName name="s" hidden="1">{#N/A,#N/A,FALSE,"M.43"}</definedName>
    <definedName name="safds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SAMBAS">#N/A</definedName>
    <definedName name="SANGGAU">#N/A</definedName>
    <definedName name="satuan">#REF!</definedName>
    <definedName name="sbak1a">'[34]L-R'!#REF!</definedName>
    <definedName name="sbak1b">'[34]L-R'!#REF!</definedName>
    <definedName name="SBTM">#REF!</definedName>
    <definedName name="sdfasdf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SEKADAU">#N/A</definedName>
    <definedName name="SEM_PLEXOS">[35]SEM!$A$2:$AG$76</definedName>
    <definedName name="SEMITAU">#N/A</definedName>
    <definedName name="SENTEBANG">#N/A</definedName>
    <definedName name="SERA">#REF!</definedName>
    <definedName name="sera.">#REF!</definedName>
    <definedName name="Serpong">#REF!</definedName>
    <definedName name="SEWA">#REF!</definedName>
    <definedName name="SFC" hidden="1">{#N/A,#N/A,TRUE,"Tabel6"}</definedName>
    <definedName name="Sheet2">#REF!</definedName>
    <definedName name="Sheet3">#REF!</definedName>
    <definedName name="SIANTAN">#REF!</definedName>
    <definedName name="siantan.">#REF!</definedName>
    <definedName name="Sibolga_A">'[36]Wil-2'!#REF!</definedName>
    <definedName name="sideDishes">OFFSET([7]sideDishes!$A$1,0,0,MATCH(REPT("z",255),[7]sideDishes!$A:$A),1)</definedName>
    <definedName name="Simple.E._DataSimulation_Series">IF(COLUMN()&lt;12,"TREND",COLUMN()-11)</definedName>
    <definedName name="Simple.E._Model">{"Internal","Option","","","","","","","","","","","","","","","","","Sample","Sample","Simulation","Simulation","Model","Model"}</definedName>
    <definedName name="Simple.E._ModelX">{"Y","Type","X1","X2","X3","X4","X5","X6","X7","X8","X9","X10","X11","X12","X13","X14","X15","X16","Begin","End","Replace","AddName","Summary","Equation"}</definedName>
    <definedName name="SINTANG">#N/A</definedName>
    <definedName name="Skenario">#REF!</definedName>
    <definedName name="snacks">OFFSET([7]Snacks!$A$1,0,0,MATCH(REPT("z",255),[7]Snacks!$A:$A),1)</definedName>
    <definedName name="SO2EmissionCostChartData" localSheetId="15">#REF!</definedName>
    <definedName name="SO2EmissionCostChartData">#REF!</definedName>
    <definedName name="SO2EmissionsChartData" localSheetId="15">#REF!</definedName>
    <definedName name="SO2EmissionsChartData">#REF!</definedName>
    <definedName name="SR">#REF!</definedName>
    <definedName name="sr.">#REF!</definedName>
    <definedName name="SS" hidden="1">{#N/A,#N/A,FALSE,"M.42"}</definedName>
    <definedName name="Status">#REF!</definedName>
    <definedName name="status_pembangkit">'[10]13.REFERENSI'!$B$132:$B$149</definedName>
    <definedName name="STN">#REF!</definedName>
    <definedName name="stn.">#REF!</definedName>
    <definedName name="STPDari">#REF!</definedName>
    <definedName name="Style">#REF!</definedName>
    <definedName name="SUMMARY">#REF!</definedName>
    <definedName name="Susut_Jaringan">#REF!</definedName>
    <definedName name="SWASTA">'[19]grafik-010B'!#REF!</definedName>
    <definedName name="SystemOutput" localSheetId="15">#REF!,#REF!,#REF!,#REF!,#REF!</definedName>
    <definedName name="SystemOutput">#REF!,#REF!,#REF!,#REF!,#REF!</definedName>
    <definedName name="T2_">#REF!</definedName>
    <definedName name="T3_">#REF!</definedName>
    <definedName name="T4_">#REF!</definedName>
    <definedName name="T5_">#REF!</definedName>
    <definedName name="T6_">#REF!</definedName>
    <definedName name="TAB_0">[5]uts!#REF!</definedName>
    <definedName name="TAB_10">[5]uts!#REF!</definedName>
    <definedName name="TAB_11">[5]uts!#REF!</definedName>
    <definedName name="TAB_9">[5]uts!#REF!</definedName>
    <definedName name="tabel2lm" hidden="1">{#N/A,#N/A,TRUE,"Tabel6"}</definedName>
    <definedName name="Table_1" localSheetId="15">#REF!</definedName>
    <definedName name="Table_1">#REF!</definedName>
    <definedName name="Table2" localSheetId="15">#REF!</definedName>
    <definedName name="Table2">#REF!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HUN">#REF!</definedName>
    <definedName name="TambahAT">#REF!</definedName>
    <definedName name="TaxTV">10%</definedName>
    <definedName name="TaxXL">5%</definedName>
    <definedName name="tblWIPMRunResultsIOUnitCapacity" localSheetId="15">#REF!</definedName>
    <definedName name="tblWIPMRunResultsIOUnitCapacity">#REF!</definedName>
    <definedName name="tblWIPMRunResultsIUnitCapacity" localSheetId="15">#REF!</definedName>
    <definedName name="tblWIPMRunResultsIUnitCapacity">#REF!</definedName>
    <definedName name="tblWIPMRunResultsIUnitCapacityForExistingUniverse" localSheetId="15">#REF!</definedName>
    <definedName name="tblWIPMRunResultsIUnitCapacityForExistingUniverse">#REF!</definedName>
    <definedName name="tblWIPMRunResultsIUnits" localSheetId="15">#REF!</definedName>
    <definedName name="tblWIPMRunResultsIUnits">#REF!</definedName>
    <definedName name="tech_costs" localSheetId="15">#REF!</definedName>
    <definedName name="tech_costs">#REF!</definedName>
    <definedName name="Terpasang">#REF!</definedName>
    <definedName name="tes">#REF!</definedName>
    <definedName name="Tm_310_master2" localSheetId="15">#REF!</definedName>
    <definedName name="Tm_310_master2">#REF!</definedName>
    <definedName name="Tm_616_Population" localSheetId="15">#REF!</definedName>
    <definedName name="Tm_616_Population">#REF!</definedName>
    <definedName name="Tm_616_Population_to_offline" localSheetId="15">#REF!</definedName>
    <definedName name="Tm_616_Population_to_offline">#REF!</definedName>
    <definedName name="TRAFO_A">#REF!</definedName>
    <definedName name="TRAFO_B">#REF!</definedName>
    <definedName name="TRAFO_C">#REF!</definedName>
    <definedName name="Tyfe">#REF!</definedName>
    <definedName name="TYPE">#REF!</definedName>
    <definedName name="U" hidden="1">{#N/A,#N/A,FALSE,"M.42"}</definedName>
    <definedName name="UAP">#REF!</definedName>
    <definedName name="UDIN">[20]REFERENSI!#REF!</definedName>
    <definedName name="UDIN2">[20]REFERENSI!#REF!</definedName>
    <definedName name="ULANG">#REF!</definedName>
    <definedName name="unit_gu">#REF!</definedName>
    <definedName name="unit_plta">#REF!</definedName>
    <definedName name="unit_pltg">#REF!</definedName>
    <definedName name="unit_pltp">#REF!</definedName>
    <definedName name="UnitPopulationInput" localSheetId="15">#REF!</definedName>
    <definedName name="UnitPopulationInput">#REF!</definedName>
    <definedName name="UnitPopulationOutput" localSheetId="15">#REF!</definedName>
    <definedName name="UnitPopulationOutput">#REF!</definedName>
    <definedName name="UnitPopulationOutputPolicy" localSheetId="15">#REF!</definedName>
    <definedName name="UnitPopulationOutputPolicy">#REF!</definedName>
    <definedName name="UnitsModeledIdentity" localSheetId="15">#REF!</definedName>
    <definedName name="UnitsModeledIdentity">#REF!</definedName>
    <definedName name="UPT" hidden="1">{#N/A,#N/A,FALSE,"M.43"}</definedName>
    <definedName name="UserInputList" localSheetId="15">#REF!</definedName>
    <definedName name="UserInputList">#REF!</definedName>
    <definedName name="V">#REF!</definedName>
    <definedName name="valuevx">42.314159</definedName>
    <definedName name="vk">#REF!</definedName>
    <definedName name="vlookup_base" localSheetId="15">#REF!</definedName>
    <definedName name="vlookup_base">#REF!</definedName>
    <definedName name="vm">#REF!</definedName>
    <definedName name="vom_for_ipm" localSheetId="15">#REF!</definedName>
    <definedName name="vom_for_ipm">#REF!</definedName>
    <definedName name="vs">#REF!</definedName>
    <definedName name="W">#REF!</definedName>
    <definedName name="WARSONO">'[37]1'!$A$12:$BR$40</definedName>
    <definedName name="week">[38]Formulas!$H$4</definedName>
    <definedName name="Wilayah">#REF!</definedName>
    <definedName name="WR" hidden="1">{#N/A,#N/A,FALSE,"M.31"}</definedName>
    <definedName name="WRI_Data">[35]WRI!$A:$Y</definedName>
    <definedName name="wrn.33" hidden="1">{#N/A,#N/A,FALSE,"M.32"}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M.01." hidden="1">{#N/A,#N/A,FALSE,"M.01"}</definedName>
    <definedName name="wrn.M.01D." hidden="1">{#N/A,#N/A,FALSE,"M.01";#N/A,#N/A,FALSE,"M.01"}</definedName>
    <definedName name="wrn.M.02." hidden="1">{#N/A,#N/A,FALSE,"M.02"}</definedName>
    <definedName name="wrn.M.31." hidden="1">{#N/A,#N/A,FALSE,"M.31"}</definedName>
    <definedName name="wrn.M.32." hidden="1">{#N/A,#N/A,FALSE,"M.32"}</definedName>
    <definedName name="wrn.M.33." hidden="1">{#N/A,#N/A,FALSE,"M.33"}</definedName>
    <definedName name="wrn.M.34." hidden="1">{#N/A,#N/A,FALSE,"M.34"}</definedName>
    <definedName name="wrn.M.41." hidden="1">{#N/A,#N/A,FALSE,"M.41"}</definedName>
    <definedName name="wrn.M.42" hidden="1">{#N/A,#N/A,FALSE,"M.41"}</definedName>
    <definedName name="wrn.M.42." hidden="1">{#N/A,#N/A,FALSE,"M.42"}</definedName>
    <definedName name="wrn.M.43." hidden="1">{#N/A,#N/A,FALSE,"M.43"}</definedName>
    <definedName name="wrn.REP67.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8.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.tabel6." hidden="1">{#N/A,#N/A,TRUE,"Tabel6"}</definedName>
    <definedName name="x" hidden="1">{#N/A,#N/A,FALSE,"M.42"}</definedName>
    <definedName name="zone_saisie">'[39]Submission Form'!$A$4:$C$5,'[39]Submission Form'!$D$7,'[39]Submission Form'!$D$10:$D$11,'[39]Submission Form'!$D$17:$D$26,'[39]Submission Form'!$D$33</definedName>
    <definedName name="zX">'[40]13.REFERENSI'!$B$7:$B$77</definedName>
    <definedName name="ZXCZ" hidden="1">{#N/A,#N/A,FALSE,"M.31"}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49" l="1"/>
  <c r="K112" i="149"/>
  <c r="K111" i="149"/>
  <c r="B112" i="149"/>
  <c r="B111" i="149"/>
  <c r="B3" i="149"/>
  <c r="B4" i="149"/>
  <c r="B5" i="149"/>
  <c r="B6" i="149"/>
  <c r="B7" i="149"/>
  <c r="B8" i="149"/>
  <c r="B9" i="149"/>
  <c r="B10" i="149"/>
  <c r="B11" i="149"/>
  <c r="B12" i="149"/>
  <c r="AB22" i="143" s="1"/>
  <c r="B13" i="149"/>
  <c r="AB23" i="143" s="1"/>
  <c r="B14" i="149"/>
  <c r="AB24" i="143" s="1"/>
  <c r="B15" i="149"/>
  <c r="B16" i="149"/>
  <c r="B17" i="149"/>
  <c r="B18" i="149"/>
  <c r="B19" i="149"/>
  <c r="B20" i="149"/>
  <c r="B30" i="143" s="1"/>
  <c r="AA30" i="143" s="1"/>
  <c r="B21" i="149"/>
  <c r="B22" i="149"/>
  <c r="B23" i="149"/>
  <c r="B24" i="149"/>
  <c r="B25" i="149"/>
  <c r="B35" i="143" s="1"/>
  <c r="AA35" i="143" s="1"/>
  <c r="B26" i="149"/>
  <c r="B36" i="143" s="1"/>
  <c r="AA36" i="143" s="1"/>
  <c r="B27" i="149"/>
  <c r="B28" i="149"/>
  <c r="B29" i="149"/>
  <c r="B30" i="149"/>
  <c r="B31" i="149"/>
  <c r="AB41" i="143" s="1"/>
  <c r="B32" i="149"/>
  <c r="B42" i="143" s="1"/>
  <c r="AA42" i="143" s="1"/>
  <c r="B33" i="149"/>
  <c r="B34" i="149"/>
  <c r="B35" i="149"/>
  <c r="B36" i="149"/>
  <c r="B37" i="149"/>
  <c r="AB47" i="143" s="1"/>
  <c r="B38" i="149"/>
  <c r="AB48" i="143" s="1"/>
  <c r="B39" i="149"/>
  <c r="B40" i="149"/>
  <c r="B41" i="149"/>
  <c r="B42" i="149"/>
  <c r="B43" i="149"/>
  <c r="AB53" i="143" s="1"/>
  <c r="B44" i="149"/>
  <c r="AB54" i="143" s="1"/>
  <c r="B45" i="149"/>
  <c r="B46" i="149"/>
  <c r="B47" i="149"/>
  <c r="B48" i="149"/>
  <c r="B49" i="149"/>
  <c r="B50" i="149"/>
  <c r="AB60" i="143" s="1"/>
  <c r="B51" i="149"/>
  <c r="B52" i="149"/>
  <c r="B53" i="149"/>
  <c r="B54" i="149"/>
  <c r="B55" i="149"/>
  <c r="AB65" i="143" s="1"/>
  <c r="B56" i="149"/>
  <c r="B66" i="143" s="1"/>
  <c r="AA66" i="143" s="1"/>
  <c r="B57" i="149"/>
  <c r="B58" i="149"/>
  <c r="B59" i="149"/>
  <c r="B60" i="149"/>
  <c r="B61" i="149"/>
  <c r="AB71" i="143" s="1"/>
  <c r="B62" i="149"/>
  <c r="B72" i="143" s="1"/>
  <c r="AA72" i="143" s="1"/>
  <c r="B63" i="149"/>
  <c r="B64" i="149"/>
  <c r="B65" i="149"/>
  <c r="B66" i="149"/>
  <c r="B67" i="149"/>
  <c r="B77" i="143" s="1"/>
  <c r="AA77" i="143" s="1"/>
  <c r="B68" i="149"/>
  <c r="B78" i="143" s="1"/>
  <c r="AA78" i="143" s="1"/>
  <c r="B69" i="149"/>
  <c r="B70" i="149"/>
  <c r="B71" i="149"/>
  <c r="B72" i="149"/>
  <c r="B73" i="149"/>
  <c r="B74" i="149"/>
  <c r="AB84" i="143" s="1"/>
  <c r="B75" i="149"/>
  <c r="B76" i="149"/>
  <c r="B77" i="149"/>
  <c r="B78" i="149"/>
  <c r="B79" i="149"/>
  <c r="AB89" i="143" s="1"/>
  <c r="B80" i="149"/>
  <c r="B90" i="143" s="1"/>
  <c r="AA90" i="143" s="1"/>
  <c r="B81" i="149"/>
  <c r="B82" i="149"/>
  <c r="B83" i="149"/>
  <c r="B84" i="149"/>
  <c r="B85" i="149"/>
  <c r="AB95" i="143" s="1"/>
  <c r="B86" i="149"/>
  <c r="AB96" i="143" s="1"/>
  <c r="B87" i="149"/>
  <c r="B88" i="149"/>
  <c r="B89" i="149"/>
  <c r="B90" i="149"/>
  <c r="B91" i="149"/>
  <c r="B92" i="149"/>
  <c r="B93" i="149"/>
  <c r="B94" i="149"/>
  <c r="B95" i="149"/>
  <c r="B96" i="149"/>
  <c r="B97" i="149"/>
  <c r="B98" i="149"/>
  <c r="AB108" i="143" s="1"/>
  <c r="B99" i="149"/>
  <c r="B100" i="149"/>
  <c r="B101" i="149"/>
  <c r="B102" i="149"/>
  <c r="B103" i="149"/>
  <c r="AB113" i="143" s="1"/>
  <c r="B104" i="149"/>
  <c r="B114" i="143" s="1"/>
  <c r="AA114" i="143" s="1"/>
  <c r="B105" i="149"/>
  <c r="B106" i="149"/>
  <c r="B107" i="149"/>
  <c r="B108" i="149"/>
  <c r="B109" i="149"/>
  <c r="B119" i="143" s="1"/>
  <c r="AA119" i="143" s="1"/>
  <c r="B110" i="149"/>
  <c r="B120" i="143" s="1"/>
  <c r="AA120" i="143" s="1"/>
  <c r="B2" i="149"/>
  <c r="AB12" i="143" s="1"/>
  <c r="B14" i="143"/>
  <c r="AA14" i="143" s="1"/>
  <c r="B15" i="143"/>
  <c r="AA15" i="143" s="1"/>
  <c r="B16" i="143"/>
  <c r="AA16" i="143" s="1"/>
  <c r="AB17" i="143"/>
  <c r="B18" i="143"/>
  <c r="AA18" i="143" s="1"/>
  <c r="B27" i="143"/>
  <c r="AA27" i="143" s="1"/>
  <c r="B28" i="143"/>
  <c r="AA28" i="143" s="1"/>
  <c r="AB29" i="143"/>
  <c r="AB33" i="143"/>
  <c r="AB34" i="143"/>
  <c r="B39" i="143"/>
  <c r="AA39" i="143" s="1"/>
  <c r="AB40" i="143"/>
  <c r="B51" i="143"/>
  <c r="AA51" i="143" s="1"/>
  <c r="AB52" i="143"/>
  <c r="AB56" i="143"/>
  <c r="AB58" i="143"/>
  <c r="B59" i="143"/>
  <c r="AA59" i="143" s="1"/>
  <c r="B62" i="143"/>
  <c r="AA62" i="143" s="1"/>
  <c r="B68" i="143"/>
  <c r="AA68" i="143" s="1"/>
  <c r="B70" i="143"/>
  <c r="AA70" i="143" s="1"/>
  <c r="B81" i="143"/>
  <c r="AA81" i="143" s="1"/>
  <c r="B82" i="143"/>
  <c r="AA82" i="143" s="1"/>
  <c r="AB83" i="143"/>
  <c r="B88" i="143"/>
  <c r="AA88" i="143" s="1"/>
  <c r="B93" i="143"/>
  <c r="AA93" i="143" s="1"/>
  <c r="AB94" i="143"/>
  <c r="AB98" i="143"/>
  <c r="AB100" i="143"/>
  <c r="AB101" i="143"/>
  <c r="B102" i="143"/>
  <c r="AA102" i="143" s="1"/>
  <c r="B105" i="143"/>
  <c r="AA105" i="143" s="1"/>
  <c r="B112" i="143"/>
  <c r="AA112" i="143" s="1"/>
  <c r="AB116" i="143"/>
  <c r="AB118" i="143"/>
  <c r="AB21" i="143"/>
  <c r="B23" i="143"/>
  <c r="AA23" i="143" s="1"/>
  <c r="B33" i="143"/>
  <c r="AA33" i="143" s="1"/>
  <c r="AB46" i="143"/>
  <c r="B57" i="143"/>
  <c r="AA57" i="143" s="1"/>
  <c r="B58" i="143"/>
  <c r="AA58" i="143" s="1"/>
  <c r="AB63" i="143"/>
  <c r="AB69" i="143"/>
  <c r="AB75" i="143"/>
  <c r="B76" i="143"/>
  <c r="AA76" i="143" s="1"/>
  <c r="B87" i="143"/>
  <c r="AA87" i="143" s="1"/>
  <c r="AB88" i="143"/>
  <c r="B100" i="143"/>
  <c r="AA100" i="143" s="1"/>
  <c r="B118" i="143"/>
  <c r="AA118" i="143" s="1"/>
  <c r="B34" i="143"/>
  <c r="AA34" i="143" s="1"/>
  <c r="B63" i="143"/>
  <c r="AA63" i="143" s="1"/>
  <c r="B64" i="143"/>
  <c r="AA64" i="143" s="1"/>
  <c r="B99" i="143"/>
  <c r="AA99" i="143" s="1"/>
  <c r="B106" i="143"/>
  <c r="AA106" i="143" s="1"/>
  <c r="AB107" i="143"/>
  <c r="AD122" i="143"/>
  <c r="AC122" i="143"/>
  <c r="AD121" i="143"/>
  <c r="AC121" i="143"/>
  <c r="AA122" i="143"/>
  <c r="AA121" i="143"/>
  <c r="N13" i="143"/>
  <c r="N14" i="143"/>
  <c r="N15" i="143"/>
  <c r="N16" i="143"/>
  <c r="N17" i="143"/>
  <c r="N18" i="143"/>
  <c r="N19" i="143"/>
  <c r="N20" i="143"/>
  <c r="N21" i="143"/>
  <c r="N22" i="143"/>
  <c r="N23" i="143"/>
  <c r="N24" i="143"/>
  <c r="N25" i="143"/>
  <c r="N26" i="143"/>
  <c r="N27" i="143"/>
  <c r="N28" i="143"/>
  <c r="N29" i="143"/>
  <c r="N30" i="143"/>
  <c r="N31" i="143"/>
  <c r="N32" i="143"/>
  <c r="N33" i="143"/>
  <c r="N34" i="143"/>
  <c r="N35" i="143"/>
  <c r="N36" i="143"/>
  <c r="N37" i="143"/>
  <c r="N38" i="143"/>
  <c r="N39" i="143"/>
  <c r="N40" i="143"/>
  <c r="N41" i="143"/>
  <c r="N42" i="143"/>
  <c r="N43" i="143"/>
  <c r="N44" i="143"/>
  <c r="N45" i="143"/>
  <c r="N46" i="143"/>
  <c r="N47" i="143"/>
  <c r="N48" i="143"/>
  <c r="N49" i="143"/>
  <c r="N50" i="143"/>
  <c r="N51" i="143"/>
  <c r="N52" i="143"/>
  <c r="N53" i="143"/>
  <c r="N54" i="143"/>
  <c r="N55" i="143"/>
  <c r="N56" i="143"/>
  <c r="N57" i="143"/>
  <c r="N58" i="143"/>
  <c r="N59" i="143"/>
  <c r="N60" i="143"/>
  <c r="N61" i="143"/>
  <c r="N62" i="143"/>
  <c r="N63" i="143"/>
  <c r="N64" i="143"/>
  <c r="N65" i="143"/>
  <c r="N66" i="143"/>
  <c r="N67" i="143"/>
  <c r="N68" i="143"/>
  <c r="N69" i="143"/>
  <c r="N70" i="143"/>
  <c r="N71" i="143"/>
  <c r="N72" i="143"/>
  <c r="N73" i="143"/>
  <c r="N74" i="143"/>
  <c r="N75" i="143"/>
  <c r="N76" i="143"/>
  <c r="N77" i="143"/>
  <c r="N78" i="143"/>
  <c r="N79" i="143"/>
  <c r="N80" i="143"/>
  <c r="N81" i="143"/>
  <c r="N82" i="143"/>
  <c r="N83" i="143"/>
  <c r="N84" i="143"/>
  <c r="N85" i="143"/>
  <c r="N86" i="143"/>
  <c r="N87" i="143"/>
  <c r="N88" i="143"/>
  <c r="N89" i="143"/>
  <c r="N90" i="143"/>
  <c r="N91" i="143"/>
  <c r="N92" i="143"/>
  <c r="N93" i="143"/>
  <c r="N94" i="143"/>
  <c r="N95" i="143"/>
  <c r="N96" i="143"/>
  <c r="N97" i="143"/>
  <c r="N98" i="143"/>
  <c r="N99" i="143"/>
  <c r="N100" i="143"/>
  <c r="N101" i="143"/>
  <c r="N102" i="143"/>
  <c r="N103" i="143"/>
  <c r="N104" i="143"/>
  <c r="N105" i="143"/>
  <c r="N106" i="143"/>
  <c r="N107" i="143"/>
  <c r="N108" i="143"/>
  <c r="N109" i="143"/>
  <c r="N110" i="143"/>
  <c r="N111" i="143"/>
  <c r="N112" i="143"/>
  <c r="N113" i="143"/>
  <c r="N114" i="143"/>
  <c r="N115" i="143"/>
  <c r="N116" i="143"/>
  <c r="N117" i="143"/>
  <c r="N118" i="143"/>
  <c r="N119" i="143"/>
  <c r="N120" i="143"/>
  <c r="N12" i="143"/>
  <c r="AB73" i="143"/>
  <c r="AC73" i="143"/>
  <c r="AD73" i="143"/>
  <c r="AB74" i="143"/>
  <c r="AC74" i="143"/>
  <c r="AD74" i="143"/>
  <c r="AC75" i="143"/>
  <c r="AD75" i="143"/>
  <c r="AB76" i="143"/>
  <c r="AC76" i="143"/>
  <c r="AD76" i="143"/>
  <c r="AC77" i="143"/>
  <c r="AD77" i="143"/>
  <c r="AC78" i="143"/>
  <c r="AD78" i="143"/>
  <c r="AB79" i="143"/>
  <c r="AC79" i="143"/>
  <c r="AD79" i="143"/>
  <c r="AB80" i="143"/>
  <c r="AC80" i="143"/>
  <c r="AD80" i="143"/>
  <c r="AB81" i="143"/>
  <c r="AC81" i="143"/>
  <c r="AD81" i="143"/>
  <c r="AC82" i="143"/>
  <c r="AD82" i="143"/>
  <c r="AC83" i="143"/>
  <c r="AD83" i="143"/>
  <c r="AC84" i="143"/>
  <c r="AD84" i="143"/>
  <c r="AB85" i="143"/>
  <c r="AC85" i="143"/>
  <c r="AD85" i="143"/>
  <c r="AB86" i="143"/>
  <c r="AC86" i="143"/>
  <c r="AD86" i="143"/>
  <c r="AB87" i="143"/>
  <c r="AC87" i="143"/>
  <c r="AD87" i="143"/>
  <c r="AC88" i="143"/>
  <c r="AD88" i="143"/>
  <c r="AC89" i="143"/>
  <c r="AD89" i="143"/>
  <c r="AC90" i="143"/>
  <c r="AD90" i="143"/>
  <c r="AB91" i="143"/>
  <c r="AC91" i="143"/>
  <c r="AD91" i="143"/>
  <c r="AB92" i="143"/>
  <c r="AC92" i="143"/>
  <c r="AD92" i="143"/>
  <c r="AB93" i="143"/>
  <c r="AC93" i="143"/>
  <c r="AD93" i="143"/>
  <c r="AC94" i="143"/>
  <c r="AD94" i="143"/>
  <c r="AC95" i="143"/>
  <c r="AD95" i="143"/>
  <c r="AC96" i="143"/>
  <c r="AD96" i="143"/>
  <c r="AB97" i="143"/>
  <c r="AC97" i="143"/>
  <c r="AD97" i="143"/>
  <c r="AC98" i="143"/>
  <c r="AD98" i="143"/>
  <c r="AB99" i="143"/>
  <c r="AC99" i="143"/>
  <c r="AD99" i="143"/>
  <c r="AC100" i="143"/>
  <c r="AD100" i="143"/>
  <c r="AC101" i="143"/>
  <c r="AD101" i="143"/>
  <c r="AC102" i="143"/>
  <c r="AD102" i="143"/>
  <c r="AB103" i="143"/>
  <c r="AC103" i="143"/>
  <c r="AD103" i="143"/>
  <c r="AB104" i="143"/>
  <c r="AC104" i="143"/>
  <c r="AD104" i="143"/>
  <c r="AC105" i="143"/>
  <c r="AD105" i="143"/>
  <c r="AB106" i="143"/>
  <c r="AC106" i="143"/>
  <c r="AD106" i="143"/>
  <c r="AC107" i="143"/>
  <c r="AD107" i="143"/>
  <c r="AC108" i="143"/>
  <c r="AD108" i="143"/>
  <c r="AB109" i="143"/>
  <c r="AC109" i="143"/>
  <c r="AD109" i="143"/>
  <c r="AB110" i="143"/>
  <c r="AC110" i="143"/>
  <c r="AD110" i="143"/>
  <c r="AB111" i="143"/>
  <c r="AC111" i="143"/>
  <c r="AD111" i="143"/>
  <c r="AC112" i="143"/>
  <c r="AD112" i="143"/>
  <c r="AC113" i="143"/>
  <c r="AD113" i="143"/>
  <c r="AC114" i="143"/>
  <c r="AD114" i="143"/>
  <c r="AB115" i="143"/>
  <c r="AC115" i="143"/>
  <c r="AD115" i="143"/>
  <c r="AC116" i="143"/>
  <c r="AD116" i="143"/>
  <c r="AB117" i="143"/>
  <c r="AC117" i="143"/>
  <c r="AD117" i="143"/>
  <c r="AC118" i="143"/>
  <c r="AD118" i="143"/>
  <c r="AC119" i="143"/>
  <c r="AD119" i="143"/>
  <c r="AC120" i="143"/>
  <c r="AD120" i="143"/>
  <c r="AB13" i="143"/>
  <c r="AC13" i="143"/>
  <c r="AD13" i="143"/>
  <c r="AB14" i="143"/>
  <c r="AC14" i="143"/>
  <c r="AD14" i="143"/>
  <c r="AC15" i="143"/>
  <c r="AD15" i="143"/>
  <c r="AB16" i="143"/>
  <c r="AC16" i="143"/>
  <c r="AD16" i="143"/>
  <c r="AC17" i="143"/>
  <c r="AD17" i="143"/>
  <c r="AC18" i="143"/>
  <c r="AD18" i="143"/>
  <c r="AB19" i="143"/>
  <c r="AC19" i="143"/>
  <c r="AD19" i="143"/>
  <c r="AB20" i="143"/>
  <c r="AC20" i="143"/>
  <c r="AD20" i="143"/>
  <c r="AC21" i="143"/>
  <c r="AD21" i="143"/>
  <c r="AC22" i="143"/>
  <c r="AD22" i="143"/>
  <c r="AC23" i="143"/>
  <c r="AD23" i="143"/>
  <c r="AC24" i="143"/>
  <c r="AD24" i="143"/>
  <c r="AB25" i="143"/>
  <c r="AC25" i="143"/>
  <c r="AD25" i="143"/>
  <c r="AB26" i="143"/>
  <c r="AC26" i="143"/>
  <c r="AD26" i="143"/>
  <c r="AB27" i="143"/>
  <c r="AC27" i="143"/>
  <c r="AD27" i="143"/>
  <c r="AB28" i="143"/>
  <c r="AC28" i="143"/>
  <c r="AD28" i="143"/>
  <c r="AC29" i="143"/>
  <c r="AD29" i="143"/>
  <c r="AC30" i="143"/>
  <c r="AD30" i="143"/>
  <c r="AB31" i="143"/>
  <c r="AC31" i="143"/>
  <c r="AD31" i="143"/>
  <c r="AB32" i="143"/>
  <c r="AC32" i="143"/>
  <c r="AD32" i="143"/>
  <c r="AC33" i="143"/>
  <c r="AD33" i="143"/>
  <c r="AC34" i="143"/>
  <c r="AD34" i="143"/>
  <c r="AC35" i="143"/>
  <c r="AD35" i="143"/>
  <c r="AC36" i="143"/>
  <c r="AD36" i="143"/>
  <c r="AB37" i="143"/>
  <c r="AC37" i="143"/>
  <c r="AD37" i="143"/>
  <c r="AB38" i="143"/>
  <c r="AC38" i="143"/>
  <c r="AD38" i="143"/>
  <c r="AB39" i="143"/>
  <c r="AC39" i="143"/>
  <c r="AD39" i="143"/>
  <c r="AC40" i="143"/>
  <c r="AD40" i="143"/>
  <c r="AC41" i="143"/>
  <c r="AD41" i="143"/>
  <c r="AB42" i="143"/>
  <c r="AC42" i="143"/>
  <c r="AD42" i="143"/>
  <c r="AB43" i="143"/>
  <c r="AC43" i="143"/>
  <c r="AD43" i="143"/>
  <c r="AB44" i="143"/>
  <c r="AC44" i="143"/>
  <c r="AD44" i="143"/>
  <c r="AB45" i="143"/>
  <c r="AC45" i="143"/>
  <c r="AD45" i="143"/>
  <c r="AC46" i="143"/>
  <c r="AD46" i="143"/>
  <c r="AC47" i="143"/>
  <c r="AD47" i="143"/>
  <c r="AC48" i="143"/>
  <c r="AD48" i="143"/>
  <c r="AB49" i="143"/>
  <c r="AC49" i="143"/>
  <c r="AD49" i="143"/>
  <c r="AB50" i="143"/>
  <c r="AC50" i="143"/>
  <c r="AD50" i="143"/>
  <c r="AB51" i="143"/>
  <c r="AC51" i="143"/>
  <c r="AD51" i="143"/>
  <c r="AC52" i="143"/>
  <c r="AD52" i="143"/>
  <c r="AC53" i="143"/>
  <c r="AD53" i="143"/>
  <c r="AC54" i="143"/>
  <c r="AD54" i="143"/>
  <c r="AB55" i="143"/>
  <c r="AC55" i="143"/>
  <c r="AD55" i="143"/>
  <c r="AC56" i="143"/>
  <c r="AD56" i="143"/>
  <c r="AB57" i="143"/>
  <c r="AC57" i="143"/>
  <c r="AD57" i="143"/>
  <c r="AC58" i="143"/>
  <c r="AD58" i="143"/>
  <c r="AC59" i="143"/>
  <c r="AD59" i="143"/>
  <c r="AC60" i="143"/>
  <c r="AD60" i="143"/>
  <c r="AB61" i="143"/>
  <c r="AC61" i="143"/>
  <c r="AD61" i="143"/>
  <c r="AB62" i="143"/>
  <c r="AC62" i="143"/>
  <c r="AD62" i="143"/>
  <c r="AC63" i="143"/>
  <c r="AD63" i="143"/>
  <c r="AB64" i="143"/>
  <c r="AC64" i="143"/>
  <c r="AD64" i="143"/>
  <c r="AC65" i="143"/>
  <c r="AD65" i="143"/>
  <c r="AC66" i="143"/>
  <c r="AD66" i="143"/>
  <c r="AB67" i="143"/>
  <c r="AC67" i="143"/>
  <c r="AD67" i="143"/>
  <c r="AB68" i="143"/>
  <c r="AC68" i="143"/>
  <c r="AD68" i="143"/>
  <c r="AC69" i="143"/>
  <c r="AD69" i="143"/>
  <c r="AC70" i="143"/>
  <c r="AD70" i="143"/>
  <c r="AC71" i="143"/>
  <c r="AD71" i="143"/>
  <c r="AC72" i="143"/>
  <c r="AD72" i="143"/>
  <c r="C100" i="143"/>
  <c r="I100" i="143" s="1"/>
  <c r="D100" i="143"/>
  <c r="E100" i="143"/>
  <c r="H100" i="143"/>
  <c r="J100" i="143"/>
  <c r="M100" i="143"/>
  <c r="C101" i="143"/>
  <c r="D101" i="143"/>
  <c r="E101" i="143"/>
  <c r="F101" i="143"/>
  <c r="H101" i="143"/>
  <c r="I101" i="143"/>
  <c r="J101" i="143"/>
  <c r="M101" i="143"/>
  <c r="C102" i="143"/>
  <c r="I102" i="143" s="1"/>
  <c r="D102" i="143"/>
  <c r="E102" i="143"/>
  <c r="H102" i="143"/>
  <c r="J102" i="143"/>
  <c r="M102" i="143"/>
  <c r="B103" i="143"/>
  <c r="AA103" i="143" s="1"/>
  <c r="C103" i="143"/>
  <c r="F103" i="143" s="1"/>
  <c r="D103" i="143"/>
  <c r="E103" i="143"/>
  <c r="H103" i="143"/>
  <c r="I103" i="143"/>
  <c r="J103" i="143"/>
  <c r="M103" i="143"/>
  <c r="B104" i="143"/>
  <c r="AA104" i="143" s="1"/>
  <c r="C104" i="143"/>
  <c r="I104" i="143" s="1"/>
  <c r="D104" i="143"/>
  <c r="E104" i="143"/>
  <c r="H104" i="143"/>
  <c r="J104" i="143"/>
  <c r="M104" i="143"/>
  <c r="C105" i="143"/>
  <c r="D105" i="143"/>
  <c r="E105" i="143"/>
  <c r="F105" i="143"/>
  <c r="H105" i="143"/>
  <c r="I105" i="143"/>
  <c r="J105" i="143"/>
  <c r="M105" i="143"/>
  <c r="C106" i="143"/>
  <c r="I106" i="143" s="1"/>
  <c r="D106" i="143"/>
  <c r="E106" i="143"/>
  <c r="H106" i="143"/>
  <c r="J106" i="143"/>
  <c r="M106" i="143"/>
  <c r="C107" i="143"/>
  <c r="D107" i="143"/>
  <c r="E107" i="143"/>
  <c r="F107" i="143"/>
  <c r="H107" i="143"/>
  <c r="I107" i="143"/>
  <c r="J107" i="143"/>
  <c r="M107" i="143"/>
  <c r="C108" i="143"/>
  <c r="I108" i="143" s="1"/>
  <c r="D108" i="143"/>
  <c r="E108" i="143"/>
  <c r="H108" i="143"/>
  <c r="J108" i="143"/>
  <c r="M108" i="143"/>
  <c r="B109" i="143"/>
  <c r="AA109" i="143" s="1"/>
  <c r="C109" i="143"/>
  <c r="D109" i="143"/>
  <c r="E109" i="143"/>
  <c r="F109" i="143"/>
  <c r="H109" i="143"/>
  <c r="I109" i="143"/>
  <c r="J109" i="143"/>
  <c r="M109" i="143"/>
  <c r="B110" i="143"/>
  <c r="AA110" i="143" s="1"/>
  <c r="C110" i="143"/>
  <c r="I110" i="143" s="1"/>
  <c r="D110" i="143"/>
  <c r="E110" i="143"/>
  <c r="H110" i="143"/>
  <c r="J110" i="143"/>
  <c r="M110" i="143"/>
  <c r="B111" i="143"/>
  <c r="AA111" i="143" s="1"/>
  <c r="C111" i="143"/>
  <c r="F111" i="143" s="1"/>
  <c r="D111" i="143"/>
  <c r="E111" i="143"/>
  <c r="H111" i="143"/>
  <c r="I111" i="143"/>
  <c r="J111" i="143"/>
  <c r="M111" i="143"/>
  <c r="C112" i="143"/>
  <c r="I112" i="143" s="1"/>
  <c r="D112" i="143"/>
  <c r="E112" i="143"/>
  <c r="H112" i="143"/>
  <c r="J112" i="143"/>
  <c r="M112" i="143"/>
  <c r="C113" i="143"/>
  <c r="F113" i="143" s="1"/>
  <c r="D113" i="143"/>
  <c r="E113" i="143"/>
  <c r="H113" i="143"/>
  <c r="I113" i="143"/>
  <c r="J113" i="143"/>
  <c r="M113" i="143"/>
  <c r="C114" i="143"/>
  <c r="I114" i="143" s="1"/>
  <c r="D114" i="143"/>
  <c r="E114" i="143"/>
  <c r="F114" i="143"/>
  <c r="H114" i="143"/>
  <c r="M114" i="143"/>
  <c r="B115" i="143"/>
  <c r="AA115" i="143" s="1"/>
  <c r="C115" i="143"/>
  <c r="F115" i="143" s="1"/>
  <c r="D115" i="143"/>
  <c r="E115" i="143"/>
  <c r="H115" i="143"/>
  <c r="I115" i="143"/>
  <c r="J115" i="143"/>
  <c r="M115" i="143"/>
  <c r="B116" i="143"/>
  <c r="AA116" i="143" s="1"/>
  <c r="C116" i="143"/>
  <c r="I116" i="143" s="1"/>
  <c r="D116" i="143"/>
  <c r="E116" i="143"/>
  <c r="F116" i="143"/>
  <c r="H116" i="143"/>
  <c r="J116" i="143"/>
  <c r="M116" i="143"/>
  <c r="B117" i="143"/>
  <c r="AA117" i="143" s="1"/>
  <c r="C117" i="143"/>
  <c r="F117" i="143" s="1"/>
  <c r="D117" i="143"/>
  <c r="E117" i="143"/>
  <c r="H117" i="143"/>
  <c r="I117" i="143"/>
  <c r="J117" i="143"/>
  <c r="M117" i="143"/>
  <c r="C118" i="143"/>
  <c r="I118" i="143" s="1"/>
  <c r="D118" i="143"/>
  <c r="E118" i="143"/>
  <c r="H118" i="143"/>
  <c r="M118" i="143"/>
  <c r="C119" i="143"/>
  <c r="F119" i="143" s="1"/>
  <c r="D119" i="143"/>
  <c r="E119" i="143"/>
  <c r="H119" i="143"/>
  <c r="I119" i="143"/>
  <c r="J119" i="143"/>
  <c r="M119" i="143"/>
  <c r="C120" i="143"/>
  <c r="I120" i="143" s="1"/>
  <c r="D120" i="143"/>
  <c r="E120" i="143"/>
  <c r="F120" i="143"/>
  <c r="H120" i="143"/>
  <c r="J120" i="143"/>
  <c r="M120" i="143"/>
  <c r="B85" i="143"/>
  <c r="AA85" i="143" s="1"/>
  <c r="C85" i="143"/>
  <c r="I85" i="143" s="1"/>
  <c r="D85" i="143"/>
  <c r="E85" i="143"/>
  <c r="H85" i="143"/>
  <c r="J85" i="143"/>
  <c r="M85" i="143"/>
  <c r="B86" i="143"/>
  <c r="AA86" i="143" s="1"/>
  <c r="C86" i="143"/>
  <c r="H86" i="143" s="1"/>
  <c r="D86" i="143"/>
  <c r="E86" i="143"/>
  <c r="F86" i="143"/>
  <c r="I86" i="143"/>
  <c r="J86" i="143"/>
  <c r="M86" i="143"/>
  <c r="C87" i="143"/>
  <c r="I87" i="143" s="1"/>
  <c r="D87" i="143"/>
  <c r="E87" i="143"/>
  <c r="H87" i="143"/>
  <c r="J87" i="143"/>
  <c r="M87" i="143"/>
  <c r="C88" i="143"/>
  <c r="F88" i="143" s="1"/>
  <c r="D88" i="143"/>
  <c r="E88" i="143"/>
  <c r="I88" i="143"/>
  <c r="J88" i="143"/>
  <c r="M88" i="143"/>
  <c r="C89" i="143"/>
  <c r="I89" i="143" s="1"/>
  <c r="D89" i="143"/>
  <c r="E89" i="143"/>
  <c r="H89" i="143"/>
  <c r="M89" i="143"/>
  <c r="C90" i="143"/>
  <c r="H90" i="143" s="1"/>
  <c r="D90" i="143"/>
  <c r="E90" i="143"/>
  <c r="F90" i="143"/>
  <c r="I90" i="143"/>
  <c r="J90" i="143"/>
  <c r="M90" i="143"/>
  <c r="B91" i="143"/>
  <c r="AA91" i="143" s="1"/>
  <c r="C91" i="143"/>
  <c r="I91" i="143" s="1"/>
  <c r="D91" i="143"/>
  <c r="E91" i="143"/>
  <c r="H91" i="143"/>
  <c r="J91" i="143"/>
  <c r="M91" i="143"/>
  <c r="B92" i="143"/>
  <c r="AA92" i="143" s="1"/>
  <c r="C92" i="143"/>
  <c r="H92" i="143" s="1"/>
  <c r="D92" i="143"/>
  <c r="E92" i="143"/>
  <c r="F92" i="143"/>
  <c r="I92" i="143"/>
  <c r="J92" i="143"/>
  <c r="M92" i="143"/>
  <c r="C93" i="143"/>
  <c r="I93" i="143" s="1"/>
  <c r="D93" i="143"/>
  <c r="E93" i="143"/>
  <c r="H93" i="143"/>
  <c r="M93" i="143"/>
  <c r="C94" i="143"/>
  <c r="F94" i="143" s="1"/>
  <c r="D94" i="143"/>
  <c r="E94" i="143"/>
  <c r="I94" i="143"/>
  <c r="J94" i="143"/>
  <c r="M94" i="143"/>
  <c r="C95" i="143"/>
  <c r="I95" i="143" s="1"/>
  <c r="D95" i="143"/>
  <c r="E95" i="143"/>
  <c r="H95" i="143"/>
  <c r="J95" i="143"/>
  <c r="M95" i="143"/>
  <c r="C96" i="143"/>
  <c r="H96" i="143" s="1"/>
  <c r="D96" i="143"/>
  <c r="E96" i="143"/>
  <c r="F96" i="143"/>
  <c r="I96" i="143"/>
  <c r="J96" i="143"/>
  <c r="M96" i="143"/>
  <c r="B97" i="143"/>
  <c r="AA97" i="143" s="1"/>
  <c r="C97" i="143"/>
  <c r="I97" i="143" s="1"/>
  <c r="D97" i="143"/>
  <c r="E97" i="143"/>
  <c r="H97" i="143"/>
  <c r="J97" i="143"/>
  <c r="M97" i="143"/>
  <c r="B98" i="143"/>
  <c r="AA98" i="143" s="1"/>
  <c r="C98" i="143"/>
  <c r="F98" i="143" s="1"/>
  <c r="D98" i="143"/>
  <c r="E98" i="143"/>
  <c r="I98" i="143"/>
  <c r="J98" i="143"/>
  <c r="M98" i="143"/>
  <c r="C99" i="143"/>
  <c r="I99" i="143" s="1"/>
  <c r="D99" i="143"/>
  <c r="E99" i="143"/>
  <c r="F99" i="143"/>
  <c r="H99" i="143"/>
  <c r="J99" i="143"/>
  <c r="M99" i="143"/>
  <c r="C72" i="143"/>
  <c r="F72" i="143" s="1"/>
  <c r="D72" i="143"/>
  <c r="E72" i="143"/>
  <c r="H72" i="143"/>
  <c r="I72" i="143"/>
  <c r="J72" i="143"/>
  <c r="M72" i="143"/>
  <c r="B73" i="143"/>
  <c r="AA73" i="143" s="1"/>
  <c r="C73" i="143"/>
  <c r="D73" i="143"/>
  <c r="E73" i="143"/>
  <c r="F73" i="143"/>
  <c r="H73" i="143"/>
  <c r="I73" i="143"/>
  <c r="J73" i="143"/>
  <c r="M73" i="143"/>
  <c r="B74" i="143"/>
  <c r="AA74" i="143" s="1"/>
  <c r="C74" i="143"/>
  <c r="I74" i="143" s="1"/>
  <c r="D74" i="143"/>
  <c r="E74" i="143"/>
  <c r="H74" i="143"/>
  <c r="J74" i="143"/>
  <c r="M74" i="143"/>
  <c r="C75" i="143"/>
  <c r="F75" i="143" s="1"/>
  <c r="D75" i="143"/>
  <c r="E75" i="143"/>
  <c r="H75" i="143"/>
  <c r="I75" i="143"/>
  <c r="J75" i="143"/>
  <c r="M75" i="143"/>
  <c r="C76" i="143"/>
  <c r="F76" i="143" s="1"/>
  <c r="D76" i="143"/>
  <c r="E76" i="143"/>
  <c r="H76" i="143"/>
  <c r="I76" i="143"/>
  <c r="J76" i="143"/>
  <c r="M76" i="143"/>
  <c r="C77" i="143"/>
  <c r="D77" i="143"/>
  <c r="E77" i="143"/>
  <c r="F77" i="143"/>
  <c r="H77" i="143"/>
  <c r="I77" i="143"/>
  <c r="J77" i="143"/>
  <c r="M77" i="143"/>
  <c r="C78" i="143"/>
  <c r="F78" i="143" s="1"/>
  <c r="D78" i="143"/>
  <c r="E78" i="143"/>
  <c r="H78" i="143"/>
  <c r="I78" i="143"/>
  <c r="J78" i="143"/>
  <c r="M78" i="143"/>
  <c r="B79" i="143"/>
  <c r="AA79" i="143" s="1"/>
  <c r="C79" i="143"/>
  <c r="D79" i="143"/>
  <c r="E79" i="143"/>
  <c r="F79" i="143"/>
  <c r="H79" i="143"/>
  <c r="I79" i="143"/>
  <c r="J79" i="143"/>
  <c r="M79" i="143"/>
  <c r="B80" i="143"/>
  <c r="AA80" i="143" s="1"/>
  <c r="C80" i="143"/>
  <c r="F80" i="143" s="1"/>
  <c r="D80" i="143"/>
  <c r="E80" i="143"/>
  <c r="H80" i="143"/>
  <c r="I80" i="143"/>
  <c r="J80" i="143"/>
  <c r="M80" i="143"/>
  <c r="C81" i="143"/>
  <c r="D81" i="143"/>
  <c r="E81" i="143"/>
  <c r="F81" i="143"/>
  <c r="H81" i="143"/>
  <c r="I81" i="143"/>
  <c r="J81" i="143"/>
  <c r="M81" i="143"/>
  <c r="C82" i="143"/>
  <c r="F82" i="143" s="1"/>
  <c r="D82" i="143"/>
  <c r="E82" i="143"/>
  <c r="H82" i="143"/>
  <c r="I82" i="143"/>
  <c r="J82" i="143"/>
  <c r="M82" i="143"/>
  <c r="C83" i="143"/>
  <c r="D83" i="143"/>
  <c r="E83" i="143"/>
  <c r="F83" i="143"/>
  <c r="H83" i="143"/>
  <c r="I83" i="143"/>
  <c r="J83" i="143"/>
  <c r="M83" i="143"/>
  <c r="C84" i="143"/>
  <c r="F84" i="143" s="1"/>
  <c r="D84" i="143"/>
  <c r="E84" i="143"/>
  <c r="H84" i="143"/>
  <c r="I84" i="143"/>
  <c r="J84" i="143"/>
  <c r="M84" i="143"/>
  <c r="C59" i="143"/>
  <c r="F59" i="143" s="1"/>
  <c r="E59" i="143"/>
  <c r="M59" i="143"/>
  <c r="C60" i="143"/>
  <c r="F60" i="143" s="1"/>
  <c r="E60" i="143"/>
  <c r="M60" i="143"/>
  <c r="B61" i="143"/>
  <c r="AA61" i="143" s="1"/>
  <c r="C61" i="143"/>
  <c r="F61" i="143" s="1"/>
  <c r="E61" i="143"/>
  <c r="H61" i="143"/>
  <c r="M61" i="143"/>
  <c r="C62" i="143"/>
  <c r="F62" i="143" s="1"/>
  <c r="E62" i="143"/>
  <c r="M62" i="143"/>
  <c r="C63" i="143"/>
  <c r="F63" i="143" s="1"/>
  <c r="E63" i="143"/>
  <c r="H63" i="143"/>
  <c r="I63" i="143"/>
  <c r="J63" i="143"/>
  <c r="M63" i="143"/>
  <c r="C64" i="143"/>
  <c r="I64" i="143" s="1"/>
  <c r="E64" i="143"/>
  <c r="F64" i="143"/>
  <c r="H64" i="143"/>
  <c r="J64" i="143"/>
  <c r="M64" i="143"/>
  <c r="C65" i="143"/>
  <c r="F65" i="143" s="1"/>
  <c r="E65" i="143"/>
  <c r="M65" i="143"/>
  <c r="C66" i="143"/>
  <c r="E66" i="143"/>
  <c r="F66" i="143"/>
  <c r="H66" i="143"/>
  <c r="I66" i="143"/>
  <c r="J66" i="143"/>
  <c r="M66" i="143"/>
  <c r="B67" i="143"/>
  <c r="AA67" i="143" s="1"/>
  <c r="C67" i="143"/>
  <c r="F67" i="143" s="1"/>
  <c r="E67" i="143"/>
  <c r="M67" i="143"/>
  <c r="C68" i="143"/>
  <c r="E68" i="143"/>
  <c r="F68" i="143"/>
  <c r="H68" i="143"/>
  <c r="I68" i="143"/>
  <c r="J68" i="143"/>
  <c r="M68" i="143"/>
  <c r="B69" i="143"/>
  <c r="AA69" i="143" s="1"/>
  <c r="C69" i="143"/>
  <c r="F69" i="143" s="1"/>
  <c r="E69" i="143"/>
  <c r="M69" i="143"/>
  <c r="C70" i="143"/>
  <c r="F70" i="143" s="1"/>
  <c r="E70" i="143"/>
  <c r="M70" i="143"/>
  <c r="C71" i="143"/>
  <c r="F71" i="143" s="1"/>
  <c r="E71" i="143"/>
  <c r="H71" i="143"/>
  <c r="I71" i="143"/>
  <c r="M71" i="143"/>
  <c r="C48" i="143"/>
  <c r="I48" i="143" s="1"/>
  <c r="E48" i="143"/>
  <c r="M48" i="143"/>
  <c r="B49" i="143"/>
  <c r="AA49" i="143" s="1"/>
  <c r="C49" i="143"/>
  <c r="H49" i="143" s="1"/>
  <c r="E49" i="143"/>
  <c r="M49" i="143"/>
  <c r="B50" i="143"/>
  <c r="AA50" i="143" s="1"/>
  <c r="C50" i="143"/>
  <c r="I50" i="143" s="1"/>
  <c r="E50" i="143"/>
  <c r="M50" i="143"/>
  <c r="C51" i="143"/>
  <c r="F51" i="143" s="1"/>
  <c r="E51" i="143"/>
  <c r="J51" i="143"/>
  <c r="M51" i="143"/>
  <c r="C52" i="143"/>
  <c r="I52" i="143" s="1"/>
  <c r="E52" i="143"/>
  <c r="F52" i="143"/>
  <c r="H52" i="143"/>
  <c r="J52" i="143"/>
  <c r="M52" i="143"/>
  <c r="C53" i="143"/>
  <c r="H53" i="143" s="1"/>
  <c r="E53" i="143"/>
  <c r="J53" i="143"/>
  <c r="M53" i="143"/>
  <c r="C54" i="143"/>
  <c r="I54" i="143" s="1"/>
  <c r="E54" i="143"/>
  <c r="F54" i="143"/>
  <c r="H54" i="143"/>
  <c r="J54" i="143"/>
  <c r="M54" i="143"/>
  <c r="B55" i="143"/>
  <c r="AA55" i="143" s="1"/>
  <c r="C55" i="143"/>
  <c r="F55" i="143" s="1"/>
  <c r="E55" i="143"/>
  <c r="M55" i="143"/>
  <c r="B56" i="143"/>
  <c r="AA56" i="143" s="1"/>
  <c r="C56" i="143"/>
  <c r="I56" i="143" s="1"/>
  <c r="E56" i="143"/>
  <c r="M56" i="143"/>
  <c r="C57" i="143"/>
  <c r="H57" i="143" s="1"/>
  <c r="E57" i="143"/>
  <c r="J57" i="143"/>
  <c r="M57" i="143"/>
  <c r="C58" i="143"/>
  <c r="I58" i="143" s="1"/>
  <c r="E58" i="143"/>
  <c r="F58" i="143"/>
  <c r="H58" i="143"/>
  <c r="J58" i="143"/>
  <c r="M58" i="143"/>
  <c r="B43" i="143"/>
  <c r="AA43" i="143" s="1"/>
  <c r="C43" i="143"/>
  <c r="I43" i="143" s="1"/>
  <c r="E43" i="143"/>
  <c r="J43" i="143"/>
  <c r="M43" i="143"/>
  <c r="B44" i="143"/>
  <c r="AA44" i="143" s="1"/>
  <c r="C44" i="143"/>
  <c r="E44" i="143"/>
  <c r="F44" i="143"/>
  <c r="H44" i="143"/>
  <c r="I44" i="143"/>
  <c r="J44" i="143"/>
  <c r="M44" i="143"/>
  <c r="B45" i="143"/>
  <c r="AA45" i="143" s="1"/>
  <c r="C45" i="143"/>
  <c r="I45" i="143" s="1"/>
  <c r="E45" i="143"/>
  <c r="M45" i="143"/>
  <c r="C46" i="143"/>
  <c r="F46" i="143" s="1"/>
  <c r="E46" i="143"/>
  <c r="M46" i="143"/>
  <c r="C47" i="143"/>
  <c r="I47" i="143" s="1"/>
  <c r="E47" i="143"/>
  <c r="J47" i="143"/>
  <c r="M47" i="143"/>
  <c r="C29" i="143"/>
  <c r="I29" i="143" s="1"/>
  <c r="E29" i="143"/>
  <c r="F29" i="143"/>
  <c r="H29" i="143"/>
  <c r="M29" i="143"/>
  <c r="C30" i="143"/>
  <c r="F30" i="143" s="1"/>
  <c r="E30" i="143"/>
  <c r="M30" i="143"/>
  <c r="B31" i="143"/>
  <c r="AA31" i="143" s="1"/>
  <c r="C31" i="143"/>
  <c r="I31" i="143" s="1"/>
  <c r="E31" i="143"/>
  <c r="M31" i="143"/>
  <c r="B32" i="143"/>
  <c r="AA32" i="143" s="1"/>
  <c r="C32" i="143"/>
  <c r="F32" i="143" s="1"/>
  <c r="E32" i="143"/>
  <c r="M32" i="143"/>
  <c r="C33" i="143"/>
  <c r="I33" i="143" s="1"/>
  <c r="E33" i="143"/>
  <c r="M33" i="143"/>
  <c r="C34" i="143"/>
  <c r="F34" i="143" s="1"/>
  <c r="E34" i="143"/>
  <c r="J34" i="143"/>
  <c r="M34" i="143"/>
  <c r="C35" i="143"/>
  <c r="I35" i="143" s="1"/>
  <c r="E35" i="143"/>
  <c r="F35" i="143"/>
  <c r="H35" i="143"/>
  <c r="M35" i="143"/>
  <c r="C36" i="143"/>
  <c r="F36" i="143" s="1"/>
  <c r="E36" i="143"/>
  <c r="M36" i="143"/>
  <c r="B37" i="143"/>
  <c r="AA37" i="143" s="1"/>
  <c r="C37" i="143"/>
  <c r="I37" i="143" s="1"/>
  <c r="E37" i="143"/>
  <c r="M37" i="143"/>
  <c r="B38" i="143"/>
  <c r="AA38" i="143" s="1"/>
  <c r="C38" i="143"/>
  <c r="F38" i="143" s="1"/>
  <c r="E38" i="143"/>
  <c r="M38" i="143"/>
  <c r="C39" i="143"/>
  <c r="I39" i="143" s="1"/>
  <c r="E39" i="143"/>
  <c r="M39" i="143"/>
  <c r="B40" i="143"/>
  <c r="AA40" i="143" s="1"/>
  <c r="C40" i="143"/>
  <c r="F40" i="143" s="1"/>
  <c r="E40" i="143"/>
  <c r="J40" i="143"/>
  <c r="M40" i="143"/>
  <c r="C41" i="143"/>
  <c r="I41" i="143" s="1"/>
  <c r="E41" i="143"/>
  <c r="F41" i="143"/>
  <c r="H41" i="143"/>
  <c r="M41" i="143"/>
  <c r="C42" i="143"/>
  <c r="F42" i="143" s="1"/>
  <c r="E42" i="143"/>
  <c r="M42" i="143"/>
  <c r="C17" i="143"/>
  <c r="I17" i="143" s="1"/>
  <c r="E17" i="143"/>
  <c r="J17" i="143"/>
  <c r="M17" i="143"/>
  <c r="C18" i="143"/>
  <c r="F18" i="143" s="1"/>
  <c r="E18" i="143"/>
  <c r="J18" i="143"/>
  <c r="M18" i="143"/>
  <c r="B19" i="143"/>
  <c r="AA19" i="143" s="1"/>
  <c r="C19" i="143"/>
  <c r="I19" i="143" s="1"/>
  <c r="E19" i="143"/>
  <c r="F19" i="143"/>
  <c r="H19" i="143"/>
  <c r="J19" i="143"/>
  <c r="M19" i="143"/>
  <c r="B20" i="143"/>
  <c r="AA20" i="143" s="1"/>
  <c r="C20" i="143"/>
  <c r="I20" i="143" s="1"/>
  <c r="E20" i="143"/>
  <c r="J20" i="143"/>
  <c r="M20" i="143"/>
  <c r="B21" i="143"/>
  <c r="AA21" i="143" s="1"/>
  <c r="C21" i="143"/>
  <c r="I21" i="143" s="1"/>
  <c r="E21" i="143"/>
  <c r="F21" i="143"/>
  <c r="H21" i="143"/>
  <c r="J21" i="143"/>
  <c r="M21" i="143"/>
  <c r="C22" i="143"/>
  <c r="F22" i="143" s="1"/>
  <c r="E22" i="143"/>
  <c r="M22" i="143"/>
  <c r="C23" i="143"/>
  <c r="I23" i="143" s="1"/>
  <c r="E23" i="143"/>
  <c r="M23" i="143"/>
  <c r="C24" i="143"/>
  <c r="I24" i="143" s="1"/>
  <c r="E24" i="143"/>
  <c r="J24" i="143"/>
  <c r="M24" i="143"/>
  <c r="B25" i="143"/>
  <c r="AA25" i="143" s="1"/>
  <c r="C25" i="143"/>
  <c r="I25" i="143" s="1"/>
  <c r="E25" i="143"/>
  <c r="F25" i="143"/>
  <c r="H25" i="143"/>
  <c r="J25" i="143"/>
  <c r="M25" i="143"/>
  <c r="B26" i="143"/>
  <c r="AA26" i="143" s="1"/>
  <c r="C26" i="143"/>
  <c r="F26" i="143" s="1"/>
  <c r="E26" i="143"/>
  <c r="M26" i="143"/>
  <c r="C27" i="143"/>
  <c r="I27" i="143" s="1"/>
  <c r="E27" i="143"/>
  <c r="F27" i="143"/>
  <c r="H27" i="143"/>
  <c r="M27" i="143"/>
  <c r="C28" i="143"/>
  <c r="F28" i="143" s="1"/>
  <c r="E28" i="143"/>
  <c r="M28" i="143"/>
  <c r="B13" i="143"/>
  <c r="AA13" i="143" s="1"/>
  <c r="C13" i="143"/>
  <c r="I13" i="143" s="1"/>
  <c r="E13" i="143"/>
  <c r="M13" i="143"/>
  <c r="C14" i="143"/>
  <c r="H14" i="143" s="1"/>
  <c r="E14" i="143"/>
  <c r="M14" i="143"/>
  <c r="C15" i="143"/>
  <c r="I15" i="143" s="1"/>
  <c r="E15" i="143"/>
  <c r="M15" i="143"/>
  <c r="C16" i="143"/>
  <c r="H16" i="143" s="1"/>
  <c r="E16" i="143"/>
  <c r="M16" i="143"/>
  <c r="M12" i="143"/>
  <c r="E12" i="143"/>
  <c r="C12" i="143"/>
  <c r="H12" i="143" s="1"/>
  <c r="L4" i="143"/>
  <c r="S12" i="150"/>
  <c r="S11" i="150"/>
  <c r="H22" i="151"/>
  <c r="H21" i="151"/>
  <c r="H20" i="151"/>
  <c r="H19" i="151"/>
  <c r="H18" i="151"/>
  <c r="H17" i="151"/>
  <c r="H16" i="151"/>
  <c r="H15" i="151"/>
  <c r="H14" i="151"/>
  <c r="H13" i="151"/>
  <c r="H12" i="151"/>
  <c r="H11" i="151"/>
  <c r="H12" i="137"/>
  <c r="H13" i="137"/>
  <c r="H14" i="137"/>
  <c r="H15" i="137"/>
  <c r="H16" i="137"/>
  <c r="H17" i="137"/>
  <c r="H18" i="137"/>
  <c r="H19" i="137"/>
  <c r="H20" i="137"/>
  <c r="H21" i="137"/>
  <c r="H22" i="137"/>
  <c r="H11" i="137"/>
  <c r="H11" i="136"/>
  <c r="H12" i="136"/>
  <c r="H13" i="136"/>
  <c r="H14" i="136"/>
  <c r="H15" i="136"/>
  <c r="H16" i="136"/>
  <c r="H17" i="136"/>
  <c r="H18" i="136"/>
  <c r="H19" i="136"/>
  <c r="H20" i="136"/>
  <c r="H21" i="136"/>
  <c r="H22" i="136"/>
  <c r="H11" i="132"/>
  <c r="H12" i="132"/>
  <c r="H13" i="132"/>
  <c r="H14" i="132"/>
  <c r="H15" i="132"/>
  <c r="H16" i="132"/>
  <c r="H17" i="132"/>
  <c r="H18" i="132"/>
  <c r="H19" i="132"/>
  <c r="H20" i="132"/>
  <c r="H21" i="132"/>
  <c r="H22" i="132"/>
  <c r="AD12" i="143"/>
  <c r="R6" i="155"/>
  <c r="Q8" i="155"/>
  <c r="T6" i="155"/>
  <c r="T7" i="155"/>
  <c r="T9" i="155"/>
  <c r="T10" i="155"/>
  <c r="Q6" i="155"/>
  <c r="S6" i="155" s="1"/>
  <c r="Q7" i="155"/>
  <c r="S7" i="155" s="1"/>
  <c r="Q9" i="155"/>
  <c r="Q10" i="155"/>
  <c r="S10" i="155" s="1"/>
  <c r="S9" i="155"/>
  <c r="R7" i="155"/>
  <c r="R8" i="155"/>
  <c r="R9" i="155"/>
  <c r="R10" i="155"/>
  <c r="P9" i="155"/>
  <c r="N8" i="155"/>
  <c r="O8" i="155" s="1"/>
  <c r="P8" i="155" s="1"/>
  <c r="S8" i="155" s="1"/>
  <c r="T8" i="155" s="1"/>
  <c r="M6" i="155"/>
  <c r="N6" i="155" s="1"/>
  <c r="O6" i="155" s="1"/>
  <c r="P6" i="155" s="1"/>
  <c r="M7" i="155"/>
  <c r="N7" i="155" s="1"/>
  <c r="O7" i="155" s="1"/>
  <c r="P7" i="155" s="1"/>
  <c r="M8" i="155"/>
  <c r="M9" i="155"/>
  <c r="N9" i="155" s="1"/>
  <c r="O9" i="155" s="1"/>
  <c r="M10" i="155"/>
  <c r="N10" i="155" s="1"/>
  <c r="O10" i="155" s="1"/>
  <c r="P10" i="155" s="1"/>
  <c r="L6" i="143"/>
  <c r="L4" i="155"/>
  <c r="M4" i="155" s="1"/>
  <c r="N4" i="155" s="1"/>
  <c r="O4" i="155" s="1"/>
  <c r="P4" i="155" s="1"/>
  <c r="L3" i="155"/>
  <c r="M3" i="155" s="1"/>
  <c r="N3" i="155" s="1"/>
  <c r="O3" i="155" s="1"/>
  <c r="H1" i="150"/>
  <c r="I1" i="150" s="1"/>
  <c r="J1" i="150" s="1"/>
  <c r="K1" i="150" s="1"/>
  <c r="L1" i="150" s="1"/>
  <c r="M1" i="150" s="1"/>
  <c r="N1" i="150" s="1"/>
  <c r="O1" i="150" s="1"/>
  <c r="P1" i="150" s="1"/>
  <c r="Q1" i="150" s="1"/>
  <c r="R1" i="150" s="1"/>
  <c r="S1" i="150" s="1"/>
  <c r="T1" i="150" s="1"/>
  <c r="U1" i="150" s="1"/>
  <c r="V1" i="150" s="1"/>
  <c r="W1" i="150" s="1"/>
  <c r="X1" i="150" s="1"/>
  <c r="Y1" i="150" s="1"/>
  <c r="Z1" i="150" s="1"/>
  <c r="AA1" i="150" s="1"/>
  <c r="AB1" i="150" s="1"/>
  <c r="B24" i="143" l="1"/>
  <c r="AA24" i="143" s="1"/>
  <c r="B96" i="143"/>
  <c r="AA96" i="143" s="1"/>
  <c r="B54" i="143"/>
  <c r="AA54" i="143" s="1"/>
  <c r="B53" i="143"/>
  <c r="AA53" i="143" s="1"/>
  <c r="AB112" i="143"/>
  <c r="B22" i="143"/>
  <c r="AA22" i="143" s="1"/>
  <c r="AB36" i="143"/>
  <c r="AB15" i="143"/>
  <c r="AB105" i="143"/>
  <c r="B47" i="143"/>
  <c r="AA47" i="143" s="1"/>
  <c r="AB70" i="143"/>
  <c r="B108" i="143"/>
  <c r="AA108" i="143" s="1"/>
  <c r="AB18" i="143"/>
  <c r="AB114" i="143"/>
  <c r="B71" i="143"/>
  <c r="AA71" i="143" s="1"/>
  <c r="AB66" i="143"/>
  <c r="B60" i="143"/>
  <c r="AA60" i="143" s="1"/>
  <c r="AB30" i="143"/>
  <c r="AB120" i="143"/>
  <c r="AB102" i="143"/>
  <c r="B48" i="143"/>
  <c r="AA48" i="143" s="1"/>
  <c r="AB72" i="143"/>
  <c r="B84" i="143"/>
  <c r="AA84" i="143" s="1"/>
  <c r="AB82" i="143"/>
  <c r="AB78" i="143"/>
  <c r="B46" i="143"/>
  <c r="AA46" i="143" s="1"/>
  <c r="B52" i="143"/>
  <c r="AA52" i="143" s="1"/>
  <c r="AB119" i="143"/>
  <c r="B94" i="143"/>
  <c r="AA94" i="143" s="1"/>
  <c r="B75" i="143"/>
  <c r="AA75" i="143" s="1"/>
  <c r="AB90" i="143"/>
  <c r="B29" i="143"/>
  <c r="AA29" i="143" s="1"/>
  <c r="B83" i="143"/>
  <c r="AA83" i="143" s="1"/>
  <c r="B101" i="143"/>
  <c r="AA101" i="143" s="1"/>
  <c r="B107" i="143"/>
  <c r="AA107" i="143" s="1"/>
  <c r="B41" i="143"/>
  <c r="AA41" i="143" s="1"/>
  <c r="B65" i="143"/>
  <c r="AA65" i="143" s="1"/>
  <c r="B17" i="143"/>
  <c r="AA17" i="143" s="1"/>
  <c r="B95" i="143"/>
  <c r="AA95" i="143" s="1"/>
  <c r="B89" i="143"/>
  <c r="AA89" i="143" s="1"/>
  <c r="B113" i="143"/>
  <c r="AA113" i="143" s="1"/>
  <c r="AB59" i="143"/>
  <c r="AB35" i="143"/>
  <c r="AB77" i="143"/>
  <c r="B12" i="143"/>
  <c r="AA12" i="143" s="1"/>
  <c r="F118" i="143"/>
  <c r="F112" i="143"/>
  <c r="F110" i="143"/>
  <c r="F108" i="143"/>
  <c r="F106" i="143"/>
  <c r="F104" i="143"/>
  <c r="F102" i="143"/>
  <c r="F100" i="143"/>
  <c r="J118" i="143"/>
  <c r="J114" i="143"/>
  <c r="F97" i="143"/>
  <c r="F95" i="143"/>
  <c r="F93" i="143"/>
  <c r="F91" i="143"/>
  <c r="F89" i="143"/>
  <c r="F87" i="143"/>
  <c r="F85" i="143"/>
  <c r="H98" i="143"/>
  <c r="H94" i="143"/>
  <c r="H88" i="143"/>
  <c r="J89" i="143"/>
  <c r="J93" i="143"/>
  <c r="F74" i="143"/>
  <c r="J33" i="143"/>
  <c r="J46" i="143"/>
  <c r="J70" i="143"/>
  <c r="J65" i="143"/>
  <c r="I60" i="143"/>
  <c r="H15" i="143"/>
  <c r="J23" i="143"/>
  <c r="I46" i="143"/>
  <c r="J50" i="143"/>
  <c r="I65" i="143"/>
  <c r="J62" i="143"/>
  <c r="H13" i="143"/>
  <c r="F23" i="143"/>
  <c r="J22" i="143"/>
  <c r="H17" i="143"/>
  <c r="H37" i="143"/>
  <c r="H31" i="143"/>
  <c r="F56" i="143"/>
  <c r="J55" i="143"/>
  <c r="F50" i="143"/>
  <c r="H48" i="143"/>
  <c r="I69" i="143"/>
  <c r="H67" i="143"/>
  <c r="H62" i="143"/>
  <c r="J61" i="143"/>
  <c r="I59" i="143"/>
  <c r="J60" i="143"/>
  <c r="J15" i="143"/>
  <c r="F12" i="143"/>
  <c r="H39" i="143"/>
  <c r="H33" i="143"/>
  <c r="J56" i="143"/>
  <c r="I70" i="143"/>
  <c r="J67" i="143"/>
  <c r="H60" i="143"/>
  <c r="I12" i="143"/>
  <c r="J12" i="143"/>
  <c r="F13" i="143"/>
  <c r="J28" i="143"/>
  <c r="J27" i="143"/>
  <c r="F17" i="143"/>
  <c r="J42" i="143"/>
  <c r="J41" i="143"/>
  <c r="F37" i="143"/>
  <c r="J36" i="143"/>
  <c r="J35" i="143"/>
  <c r="F31" i="143"/>
  <c r="J30" i="143"/>
  <c r="J29" i="143"/>
  <c r="F48" i="143"/>
  <c r="J71" i="143"/>
  <c r="H69" i="143"/>
  <c r="I61" i="143"/>
  <c r="H59" i="143"/>
  <c r="J39" i="143"/>
  <c r="F15" i="143"/>
  <c r="J14" i="143"/>
  <c r="J13" i="143"/>
  <c r="H23" i="143"/>
  <c r="F39" i="143"/>
  <c r="J38" i="143"/>
  <c r="J37" i="143"/>
  <c r="F33" i="143"/>
  <c r="J32" i="143"/>
  <c r="J31" i="143"/>
  <c r="H46" i="143"/>
  <c r="J45" i="143"/>
  <c r="H56" i="143"/>
  <c r="H50" i="143"/>
  <c r="J48" i="143"/>
  <c r="H70" i="143"/>
  <c r="J69" i="143"/>
  <c r="I67" i="143"/>
  <c r="H65" i="143"/>
  <c r="I62" i="143"/>
  <c r="J59" i="143"/>
  <c r="J49" i="143"/>
  <c r="I55" i="143"/>
  <c r="I51" i="143"/>
  <c r="I49" i="143"/>
  <c r="H55" i="143"/>
  <c r="H51" i="143"/>
  <c r="F57" i="143"/>
  <c r="F53" i="143"/>
  <c r="F49" i="143"/>
  <c r="I57" i="143"/>
  <c r="I53" i="143"/>
  <c r="H47" i="143"/>
  <c r="H45" i="143"/>
  <c r="H43" i="143"/>
  <c r="F47" i="143"/>
  <c r="F45" i="143"/>
  <c r="F43" i="143"/>
  <c r="I42" i="143"/>
  <c r="I40" i="143"/>
  <c r="I38" i="143"/>
  <c r="I36" i="143"/>
  <c r="I34" i="143"/>
  <c r="I32" i="143"/>
  <c r="I30" i="143"/>
  <c r="H42" i="143"/>
  <c r="H40" i="143"/>
  <c r="H38" i="143"/>
  <c r="H36" i="143"/>
  <c r="H34" i="143"/>
  <c r="H32" i="143"/>
  <c r="H30" i="143"/>
  <c r="I26" i="143"/>
  <c r="I22" i="143"/>
  <c r="H28" i="143"/>
  <c r="H26" i="143"/>
  <c r="H24" i="143"/>
  <c r="H22" i="143"/>
  <c r="H20" i="143"/>
  <c r="H18" i="143"/>
  <c r="J26" i="143"/>
  <c r="I28" i="143"/>
  <c r="I18" i="143"/>
  <c r="F24" i="143"/>
  <c r="F20" i="143"/>
  <c r="J16" i="143"/>
  <c r="I16" i="143"/>
  <c r="F16" i="143"/>
  <c r="F14" i="143"/>
  <c r="I14" i="143"/>
  <c r="L5" i="155"/>
  <c r="M5" i="155" s="1"/>
  <c r="N5" i="155" s="1"/>
  <c r="O5" i="155" s="1"/>
  <c r="P5" i="155" s="1"/>
  <c r="Q5" i="155" s="1"/>
  <c r="S5" i="155" s="1"/>
  <c r="T5" i="155" s="1"/>
  <c r="Q4" i="155"/>
  <c r="S4" i="155" s="1"/>
  <c r="T4" i="155" s="1"/>
  <c r="P3" i="155"/>
  <c r="Q3" i="155" s="1"/>
  <c r="S3" i="155" s="1"/>
  <c r="K23" i="140"/>
  <c r="B23" i="140" s="1"/>
  <c r="L23" i="140"/>
  <c r="K25" i="140"/>
  <c r="B25" i="140" s="1"/>
  <c r="L25" i="140"/>
  <c r="D23" i="140"/>
  <c r="C23" i="140" s="1"/>
  <c r="D25" i="140"/>
  <c r="C25" i="140" s="1"/>
  <c r="H11" i="152"/>
  <c r="J11" i="152" s="1"/>
  <c r="K5" i="152"/>
  <c r="J5" i="152"/>
  <c r="D11" i="152" s="1"/>
  <c r="F2" i="152"/>
  <c r="F10" i="152" s="1"/>
  <c r="E2" i="152"/>
  <c r="L11" i="152" s="1"/>
  <c r="M5" i="151"/>
  <c r="N5" i="151"/>
  <c r="K11" i="151"/>
  <c r="M11" i="151" s="1"/>
  <c r="B11" i="151" s="1"/>
  <c r="H2" i="151"/>
  <c r="H10" i="151" s="1"/>
  <c r="G2" i="151"/>
  <c r="O11" i="151" s="1"/>
  <c r="E7" i="145"/>
  <c r="D16" i="145"/>
  <c r="D24" i="145"/>
  <c r="E2" i="145"/>
  <c r="F2" i="145"/>
  <c r="G2" i="145"/>
  <c r="H2" i="145"/>
  <c r="I2" i="145"/>
  <c r="J2" i="145"/>
  <c r="K2" i="145"/>
  <c r="D2" i="145"/>
  <c r="E2" i="146"/>
  <c r="F2" i="146"/>
  <c r="G2" i="146"/>
  <c r="H2" i="146"/>
  <c r="I2" i="146"/>
  <c r="J2" i="146"/>
  <c r="K2" i="146"/>
  <c r="D2" i="146"/>
  <c r="E3" i="146"/>
  <c r="F3" i="146"/>
  <c r="G3" i="146"/>
  <c r="H3" i="146"/>
  <c r="I3" i="146"/>
  <c r="J3" i="146"/>
  <c r="K3" i="146"/>
  <c r="D3" i="146"/>
  <c r="E3" i="145"/>
  <c r="F3" i="145"/>
  <c r="G3" i="145"/>
  <c r="H3" i="145"/>
  <c r="I3" i="145"/>
  <c r="J3" i="145"/>
  <c r="K3" i="145"/>
  <c r="D3" i="145"/>
  <c r="AD3" i="149"/>
  <c r="AD4" i="149"/>
  <c r="AD5" i="149"/>
  <c r="AD6" i="149"/>
  <c r="AD7" i="149"/>
  <c r="AD8" i="149"/>
  <c r="AD9" i="149"/>
  <c r="AD10" i="149"/>
  <c r="AD11" i="149"/>
  <c r="AD12" i="149"/>
  <c r="AD13" i="149"/>
  <c r="AD14" i="149"/>
  <c r="AD15" i="149"/>
  <c r="AD16" i="149"/>
  <c r="AD17" i="149"/>
  <c r="AD18" i="149"/>
  <c r="AD19" i="149"/>
  <c r="AD20" i="149"/>
  <c r="AD21" i="149"/>
  <c r="AD22" i="149"/>
  <c r="AD23" i="149"/>
  <c r="AD24" i="149"/>
  <c r="AD25" i="149"/>
  <c r="AD26" i="149"/>
  <c r="AD27" i="149"/>
  <c r="AD28" i="149"/>
  <c r="AD29" i="149"/>
  <c r="AD30" i="149"/>
  <c r="AD31" i="149"/>
  <c r="AD32" i="149"/>
  <c r="AD33" i="149"/>
  <c r="AD34" i="149"/>
  <c r="AD35" i="149"/>
  <c r="AD36" i="149"/>
  <c r="AD37" i="149"/>
  <c r="AD38" i="149"/>
  <c r="AD39" i="149"/>
  <c r="AD40" i="149"/>
  <c r="AD41" i="149"/>
  <c r="AD42" i="149"/>
  <c r="AD43" i="149"/>
  <c r="AD44" i="149"/>
  <c r="AD45" i="149"/>
  <c r="AD46" i="149"/>
  <c r="AD47" i="149"/>
  <c r="AD48" i="149"/>
  <c r="AD49" i="149"/>
  <c r="AD50" i="149"/>
  <c r="AD51" i="149"/>
  <c r="AD52" i="149"/>
  <c r="AD53" i="149"/>
  <c r="AD54" i="149"/>
  <c r="AD55" i="149"/>
  <c r="AD56" i="149"/>
  <c r="AD57" i="149"/>
  <c r="AD58" i="149"/>
  <c r="AD59" i="149"/>
  <c r="AD60" i="149"/>
  <c r="AD61" i="149"/>
  <c r="AD62" i="149"/>
  <c r="AD63" i="149"/>
  <c r="AD64" i="149"/>
  <c r="AD65" i="149"/>
  <c r="AD66" i="149"/>
  <c r="AD67" i="149"/>
  <c r="AD68" i="149"/>
  <c r="AD69" i="149"/>
  <c r="AD70" i="149"/>
  <c r="AD71" i="149"/>
  <c r="AD72" i="149"/>
  <c r="AD73" i="149"/>
  <c r="AD74" i="149"/>
  <c r="AD75" i="149"/>
  <c r="AD76" i="149"/>
  <c r="AD77" i="149"/>
  <c r="AD78" i="149"/>
  <c r="AD79" i="149"/>
  <c r="AD80" i="149"/>
  <c r="AD81" i="149"/>
  <c r="AD82" i="149"/>
  <c r="AD83" i="149"/>
  <c r="AD84" i="149"/>
  <c r="AD85" i="149"/>
  <c r="AD86" i="149"/>
  <c r="AD87" i="149"/>
  <c r="AD88" i="149"/>
  <c r="AD89" i="149"/>
  <c r="AD90" i="149"/>
  <c r="AD91" i="149"/>
  <c r="AD92" i="149"/>
  <c r="AD93" i="149"/>
  <c r="AD94" i="149"/>
  <c r="AD95" i="149"/>
  <c r="AD96" i="149"/>
  <c r="AD97" i="149"/>
  <c r="AD98" i="149"/>
  <c r="AD99" i="149"/>
  <c r="AD100" i="149"/>
  <c r="AD101" i="149"/>
  <c r="AD102" i="149"/>
  <c r="AD103" i="149"/>
  <c r="AD104" i="149"/>
  <c r="AD105" i="149"/>
  <c r="AD106" i="149"/>
  <c r="AD107" i="149"/>
  <c r="AD108" i="149"/>
  <c r="AD109" i="149"/>
  <c r="AD110" i="149"/>
  <c r="F2" i="150"/>
  <c r="E2" i="150"/>
  <c r="D2" i="150"/>
  <c r="C2" i="150"/>
  <c r="B3" i="150" a="1"/>
  <c r="Q2" i="133"/>
  <c r="L11" i="133"/>
  <c r="F6" i="145"/>
  <c r="F24" i="133"/>
  <c r="F21" i="145"/>
  <c r="F21" i="146" s="1"/>
  <c r="F20" i="145"/>
  <c r="K24" i="133"/>
  <c r="K11" i="145"/>
  <c r="M11" i="143"/>
  <c r="L23" i="133"/>
  <c r="L22" i="133"/>
  <c r="L20" i="133"/>
  <c r="L19" i="133"/>
  <c r="L18" i="133"/>
  <c r="L17" i="133"/>
  <c r="L16" i="133"/>
  <c r="K14" i="133"/>
  <c r="J14" i="133"/>
  <c r="I14" i="133"/>
  <c r="H14" i="133"/>
  <c r="G14" i="133"/>
  <c r="F14" i="133"/>
  <c r="E14" i="133"/>
  <c r="D14" i="133"/>
  <c r="L13" i="133"/>
  <c r="L12" i="133"/>
  <c r="L10" i="133"/>
  <c r="L7" i="133"/>
  <c r="L6" i="133"/>
  <c r="L5" i="133"/>
  <c r="K8" i="133"/>
  <c r="J8" i="133"/>
  <c r="J21" i="133" s="1"/>
  <c r="J21" i="145" s="1"/>
  <c r="I8" i="133"/>
  <c r="I21" i="133" s="1"/>
  <c r="I24" i="133" s="1"/>
  <c r="H8" i="133"/>
  <c r="H21" i="133" s="1"/>
  <c r="G8" i="133"/>
  <c r="G21" i="133" s="1"/>
  <c r="F8" i="133"/>
  <c r="E8" i="133"/>
  <c r="E21" i="133" s="1"/>
  <c r="E24" i="133" s="1"/>
  <c r="D8" i="133"/>
  <c r="D21" i="133" s="1"/>
  <c r="D24" i="133" s="1"/>
  <c r="K23" i="145"/>
  <c r="K23" i="146" s="1"/>
  <c r="J23" i="145"/>
  <c r="J23" i="146" s="1"/>
  <c r="I23" i="145"/>
  <c r="I23" i="146" s="1"/>
  <c r="H23" i="145"/>
  <c r="H23" i="146" s="1"/>
  <c r="G23" i="145"/>
  <c r="G23" i="146" s="1"/>
  <c r="F23" i="145"/>
  <c r="F23" i="146" s="1"/>
  <c r="E23" i="145"/>
  <c r="E23" i="146" s="1"/>
  <c r="K22" i="145"/>
  <c r="K22" i="146" s="1"/>
  <c r="J22" i="145"/>
  <c r="J22" i="146" s="1"/>
  <c r="I22" i="145"/>
  <c r="I22" i="146" s="1"/>
  <c r="H22" i="145"/>
  <c r="H22" i="146" s="1"/>
  <c r="G22" i="145"/>
  <c r="G22" i="146" s="1"/>
  <c r="F22" i="145"/>
  <c r="F22" i="146" s="1"/>
  <c r="E22" i="145"/>
  <c r="E22" i="146" s="1"/>
  <c r="K21" i="145"/>
  <c r="K21" i="146" s="1"/>
  <c r="K20" i="145"/>
  <c r="K20" i="146" s="1"/>
  <c r="J20" i="145"/>
  <c r="J20" i="146" s="1"/>
  <c r="I20" i="145"/>
  <c r="I20" i="146" s="1"/>
  <c r="H20" i="145"/>
  <c r="H20" i="146" s="1"/>
  <c r="G20" i="145"/>
  <c r="G20" i="146" s="1"/>
  <c r="E20" i="145"/>
  <c r="E20" i="146" s="1"/>
  <c r="K19" i="145"/>
  <c r="K19" i="146" s="1"/>
  <c r="J19" i="145"/>
  <c r="J19" i="146" s="1"/>
  <c r="I19" i="145"/>
  <c r="I19" i="146" s="1"/>
  <c r="H19" i="145"/>
  <c r="H19" i="146" s="1"/>
  <c r="G19" i="145"/>
  <c r="G19" i="146" s="1"/>
  <c r="F19" i="145"/>
  <c r="E19" i="145"/>
  <c r="E19" i="146" s="1"/>
  <c r="K18" i="145"/>
  <c r="J18" i="145"/>
  <c r="I18" i="145"/>
  <c r="I18" i="146" s="1"/>
  <c r="H18" i="145"/>
  <c r="H18" i="146" s="1"/>
  <c r="G18" i="145"/>
  <c r="G18" i="146" s="1"/>
  <c r="F18" i="145"/>
  <c r="F18" i="146"/>
  <c r="E18" i="145"/>
  <c r="E18" i="146" s="1"/>
  <c r="K17" i="145"/>
  <c r="K17" i="146" s="1"/>
  <c r="J17" i="145"/>
  <c r="J17" i="146" s="1"/>
  <c r="I17" i="145"/>
  <c r="H17" i="145"/>
  <c r="G17" i="145"/>
  <c r="G17" i="146" s="1"/>
  <c r="F17" i="145"/>
  <c r="F17" i="146" s="1"/>
  <c r="E17" i="145"/>
  <c r="K16" i="145"/>
  <c r="K16" i="146"/>
  <c r="J16" i="145"/>
  <c r="J16" i="146" s="1"/>
  <c r="I16" i="145"/>
  <c r="I16" i="146" s="1"/>
  <c r="H16" i="145"/>
  <c r="H16" i="146"/>
  <c r="G16" i="145"/>
  <c r="G16" i="146"/>
  <c r="F16" i="145"/>
  <c r="F16" i="146" s="1"/>
  <c r="E16" i="145"/>
  <c r="D23" i="145"/>
  <c r="D23" i="146"/>
  <c r="D22" i="145"/>
  <c r="D22" i="146"/>
  <c r="D20" i="145"/>
  <c r="D20" i="146" s="1"/>
  <c r="D19" i="145"/>
  <c r="D19" i="146" s="1"/>
  <c r="D18" i="145"/>
  <c r="D18" i="146"/>
  <c r="D17" i="145"/>
  <c r="D17" i="146"/>
  <c r="D16" i="146"/>
  <c r="K13" i="145"/>
  <c r="K13" i="146" s="1"/>
  <c r="K12" i="145"/>
  <c r="K12" i="146"/>
  <c r="K10" i="145"/>
  <c r="J13" i="145"/>
  <c r="I13" i="145"/>
  <c r="I13" i="146" s="1"/>
  <c r="H13" i="145"/>
  <c r="H13" i="146" s="1"/>
  <c r="G13" i="145"/>
  <c r="G13" i="146" s="1"/>
  <c r="F13" i="145"/>
  <c r="F13" i="146" s="1"/>
  <c r="E13" i="145"/>
  <c r="E13" i="146" s="1"/>
  <c r="J12" i="145"/>
  <c r="J12" i="146" s="1"/>
  <c r="I12" i="145"/>
  <c r="I12" i="146" s="1"/>
  <c r="H12" i="145"/>
  <c r="H12" i="146" s="1"/>
  <c r="G12" i="145"/>
  <c r="G12" i="146"/>
  <c r="F12" i="145"/>
  <c r="F12" i="146" s="1"/>
  <c r="E12" i="145"/>
  <c r="E12" i="146" s="1"/>
  <c r="J11" i="145"/>
  <c r="J11" i="146" s="1"/>
  <c r="I11" i="145"/>
  <c r="I11" i="146" s="1"/>
  <c r="H11" i="145"/>
  <c r="G11" i="145"/>
  <c r="G11" i="146" s="1"/>
  <c r="F11" i="145"/>
  <c r="F11" i="146" s="1"/>
  <c r="E11" i="145"/>
  <c r="J10" i="145"/>
  <c r="J10" i="146" s="1"/>
  <c r="I10" i="145"/>
  <c r="H10" i="145"/>
  <c r="G10" i="145"/>
  <c r="G10" i="146" s="1"/>
  <c r="F10" i="145"/>
  <c r="F10" i="146" s="1"/>
  <c r="E10" i="145"/>
  <c r="D13" i="145"/>
  <c r="D13" i="146" s="1"/>
  <c r="D12" i="145"/>
  <c r="D11" i="145"/>
  <c r="D11" i="146" s="1"/>
  <c r="D10" i="145"/>
  <c r="K7" i="145"/>
  <c r="K7" i="146" s="1"/>
  <c r="J7" i="145"/>
  <c r="J7" i="146" s="1"/>
  <c r="I7" i="145"/>
  <c r="I7" i="146" s="1"/>
  <c r="H7" i="145"/>
  <c r="H7" i="146" s="1"/>
  <c r="K6" i="145"/>
  <c r="K6" i="146" s="1"/>
  <c r="J6" i="145"/>
  <c r="J6" i="146" s="1"/>
  <c r="I6" i="145"/>
  <c r="I6" i="146" s="1"/>
  <c r="H6" i="145"/>
  <c r="H6" i="146" s="1"/>
  <c r="K5" i="145"/>
  <c r="J5" i="145"/>
  <c r="I5" i="145"/>
  <c r="I5" i="146" s="1"/>
  <c r="H5" i="145"/>
  <c r="G7" i="145"/>
  <c r="G7" i="146" s="1"/>
  <c r="G6" i="145"/>
  <c r="G6" i="146" s="1"/>
  <c r="G5" i="145"/>
  <c r="G5" i="146"/>
  <c r="F7" i="145"/>
  <c r="F7" i="146" s="1"/>
  <c r="E6" i="145"/>
  <c r="E6" i="146" s="1"/>
  <c r="F5" i="145"/>
  <c r="E5" i="145"/>
  <c r="D7" i="145"/>
  <c r="D6" i="145"/>
  <c r="D5" i="145"/>
  <c r="D8" i="145" s="1"/>
  <c r="D2" i="144"/>
  <c r="L5" i="144" s="1"/>
  <c r="K5" i="144"/>
  <c r="D11" i="144" s="1"/>
  <c r="I11" i="144"/>
  <c r="K11" i="144" s="1"/>
  <c r="B11" i="144" s="1"/>
  <c r="F2" i="144"/>
  <c r="E2" i="144"/>
  <c r="M11" i="144" s="1"/>
  <c r="AC6" i="143"/>
  <c r="E2" i="143"/>
  <c r="C2" i="143"/>
  <c r="L7" i="140" s="1"/>
  <c r="L21" i="140" s="1"/>
  <c r="B2" i="143"/>
  <c r="AB5" i="143"/>
  <c r="AA5" i="143"/>
  <c r="F2" i="142"/>
  <c r="E2" i="142"/>
  <c r="E10" i="142" s="1"/>
  <c r="I11" i="142"/>
  <c r="K11" i="142" s="1"/>
  <c r="D2" i="142"/>
  <c r="L5" i="142" s="1"/>
  <c r="F2" i="140"/>
  <c r="E2" i="140"/>
  <c r="M7" i="140" s="1"/>
  <c r="G2" i="137"/>
  <c r="H2" i="137"/>
  <c r="E2" i="136"/>
  <c r="G10" i="136" s="1"/>
  <c r="O11" i="136"/>
  <c r="G2" i="136"/>
  <c r="H10" i="136" s="1"/>
  <c r="G2" i="132"/>
  <c r="H2" i="132"/>
  <c r="K11" i="137"/>
  <c r="K11" i="136"/>
  <c r="K11" i="132"/>
  <c r="D2" i="137"/>
  <c r="N5" i="137" s="1"/>
  <c r="C2" i="137"/>
  <c r="M5" i="137" s="1"/>
  <c r="D2" i="136"/>
  <c r="C2" i="136"/>
  <c r="D2" i="132"/>
  <c r="C2" i="132"/>
  <c r="D5" i="146"/>
  <c r="H21" i="145"/>
  <c r="K5" i="142"/>
  <c r="D11" i="142" s="1"/>
  <c r="F6" i="146"/>
  <c r="F20" i="146"/>
  <c r="E16" i="146"/>
  <c r="D24" i="140"/>
  <c r="C24" i="140" s="1"/>
  <c r="K11" i="146"/>
  <c r="K24" i="140"/>
  <c r="B24" i="140" s="1"/>
  <c r="M5" i="142"/>
  <c r="M11" i="142"/>
  <c r="K5" i="146"/>
  <c r="M5" i="136"/>
  <c r="D6" i="146"/>
  <c r="L22" i="145"/>
  <c r="H10" i="146"/>
  <c r="F19" i="146"/>
  <c r="K22" i="140"/>
  <c r="B22" i="140" s="1"/>
  <c r="O5" i="137"/>
  <c r="M5" i="144"/>
  <c r="M11" i="136"/>
  <c r="B11" i="136" s="1"/>
  <c r="D66" i="143" l="1"/>
  <c r="D71" i="143"/>
  <c r="D47" i="143"/>
  <c r="D29" i="143"/>
  <c r="D34" i="143"/>
  <c r="D35" i="143"/>
  <c r="D40" i="143"/>
  <c r="D41" i="143"/>
  <c r="D27" i="143"/>
  <c r="D16" i="143"/>
  <c r="D30" i="143"/>
  <c r="D28" i="143"/>
  <c r="D62" i="143"/>
  <c r="D50" i="143"/>
  <c r="D23" i="143"/>
  <c r="D60" i="143"/>
  <c r="D65" i="143"/>
  <c r="D70" i="143"/>
  <c r="D49" i="143"/>
  <c r="D45" i="143"/>
  <c r="D46" i="143"/>
  <c r="D32" i="143"/>
  <c r="D33" i="143"/>
  <c r="D38" i="143"/>
  <c r="D39" i="143"/>
  <c r="D14" i="143"/>
  <c r="D15" i="143"/>
  <c r="D64" i="143"/>
  <c r="D53" i="143"/>
  <c r="D44" i="143"/>
  <c r="D21" i="143"/>
  <c r="D26" i="143"/>
  <c r="D69" i="143"/>
  <c r="D31" i="143"/>
  <c r="D36" i="143"/>
  <c r="D42" i="143"/>
  <c r="D56" i="143"/>
  <c r="D63" i="143"/>
  <c r="D68" i="143"/>
  <c r="D51" i="143"/>
  <c r="D52" i="143"/>
  <c r="D57" i="143"/>
  <c r="D58" i="143"/>
  <c r="D18" i="143"/>
  <c r="D19" i="143"/>
  <c r="D24" i="143"/>
  <c r="D25" i="143"/>
  <c r="D61" i="143"/>
  <c r="D54" i="143"/>
  <c r="D43" i="143"/>
  <c r="D20" i="143"/>
  <c r="D59" i="143"/>
  <c r="D48" i="143"/>
  <c r="D37" i="143"/>
  <c r="D17" i="143"/>
  <c r="D13" i="143"/>
  <c r="D67" i="143"/>
  <c r="D55" i="143"/>
  <c r="D22" i="143"/>
  <c r="B3" i="150"/>
  <c r="W5" i="150"/>
  <c r="Q5" i="150"/>
  <c r="K5" i="150"/>
  <c r="Z4" i="150"/>
  <c r="M9" i="150" s="1"/>
  <c r="T4" i="150"/>
  <c r="N4" i="150"/>
  <c r="J9" i="150" s="1"/>
  <c r="H4" i="150"/>
  <c r="H9" i="150" s="1"/>
  <c r="F10" i="150"/>
  <c r="AB5" i="150"/>
  <c r="O10" i="150" s="1"/>
  <c r="V5" i="150"/>
  <c r="P5" i="150"/>
  <c r="J5" i="150"/>
  <c r="Y4" i="150"/>
  <c r="S4" i="150"/>
  <c r="M4" i="150"/>
  <c r="U5" i="150"/>
  <c r="X4" i="150"/>
  <c r="L4" i="150"/>
  <c r="Z5" i="150"/>
  <c r="M10" i="150" s="1"/>
  <c r="T5" i="150"/>
  <c r="N5" i="150"/>
  <c r="H5" i="150"/>
  <c r="W4" i="150"/>
  <c r="Q4" i="150"/>
  <c r="K4" i="150"/>
  <c r="Y5" i="150"/>
  <c r="S5" i="150"/>
  <c r="K10" i="150" s="1"/>
  <c r="M5" i="150"/>
  <c r="AB4" i="150"/>
  <c r="O9" i="150" s="1"/>
  <c r="V4" i="150"/>
  <c r="P4" i="150"/>
  <c r="J4" i="150"/>
  <c r="G4" i="150"/>
  <c r="X5" i="150"/>
  <c r="R5" i="150"/>
  <c r="L5" i="150"/>
  <c r="AA4" i="150"/>
  <c r="N9" i="150" s="1"/>
  <c r="U4" i="150"/>
  <c r="O4" i="150"/>
  <c r="I4" i="150"/>
  <c r="G5" i="150"/>
  <c r="F9" i="150"/>
  <c r="AA5" i="150"/>
  <c r="N10" i="150" s="1"/>
  <c r="O5" i="150"/>
  <c r="I5" i="150"/>
  <c r="R4" i="150"/>
  <c r="D12" i="143"/>
  <c r="AC12" i="143"/>
  <c r="K6" i="140"/>
  <c r="H11" i="143"/>
  <c r="I11" i="143"/>
  <c r="T3" i="155"/>
  <c r="D11" i="137"/>
  <c r="O11" i="132"/>
  <c r="M5" i="132"/>
  <c r="O5" i="132"/>
  <c r="H10" i="132"/>
  <c r="AB6" i="143"/>
  <c r="K7" i="140"/>
  <c r="K21" i="140" s="1"/>
  <c r="B21" i="140" s="1"/>
  <c r="N21" i="140"/>
  <c r="N25" i="140"/>
  <c r="M25" i="140"/>
  <c r="N23" i="140"/>
  <c r="M23" i="140"/>
  <c r="M24" i="140"/>
  <c r="AC5" i="143"/>
  <c r="L6" i="140"/>
  <c r="L20" i="140" s="1"/>
  <c r="L10" i="140"/>
  <c r="L24" i="140" s="1"/>
  <c r="M11" i="140"/>
  <c r="M9" i="140"/>
  <c r="K11" i="152"/>
  <c r="B11" i="152"/>
  <c r="L5" i="152"/>
  <c r="N11" i="151"/>
  <c r="D11" i="151"/>
  <c r="I10" i="151"/>
  <c r="O5" i="151"/>
  <c r="G10" i="151"/>
  <c r="L8" i="133"/>
  <c r="E21" i="145"/>
  <c r="L22" i="146"/>
  <c r="L10" i="145"/>
  <c r="K8" i="146"/>
  <c r="I8" i="146"/>
  <c r="E24" i="145"/>
  <c r="L19" i="146"/>
  <c r="G14" i="145"/>
  <c r="G14" i="146"/>
  <c r="L5" i="145"/>
  <c r="E5" i="146"/>
  <c r="C4" i="150"/>
  <c r="E3" i="150"/>
  <c r="E4" i="150"/>
  <c r="E5" i="150"/>
  <c r="D3" i="150"/>
  <c r="D4" i="150"/>
  <c r="C5" i="150"/>
  <c r="D5" i="150"/>
  <c r="L11" i="144"/>
  <c r="N5" i="132"/>
  <c r="G24" i="133"/>
  <c r="G21" i="145"/>
  <c r="G24" i="145" s="1"/>
  <c r="L16" i="146"/>
  <c r="J24" i="145"/>
  <c r="L11" i="142"/>
  <c r="E14" i="145"/>
  <c r="L16" i="145"/>
  <c r="F8" i="145"/>
  <c r="L13" i="145"/>
  <c r="B11" i="142"/>
  <c r="E10" i="146"/>
  <c r="F24" i="145"/>
  <c r="F10" i="142"/>
  <c r="J21" i="146"/>
  <c r="N11" i="136"/>
  <c r="I8" i="145"/>
  <c r="L19" i="145"/>
  <c r="L6" i="145"/>
  <c r="G10" i="142"/>
  <c r="N19" i="140"/>
  <c r="K5" i="140"/>
  <c r="I10" i="132"/>
  <c r="N5" i="136"/>
  <c r="I10" i="136"/>
  <c r="L21" i="133"/>
  <c r="L24" i="133" s="1"/>
  <c r="K8" i="145"/>
  <c r="AA6" i="143"/>
  <c r="M11" i="132"/>
  <c r="B11" i="132" s="1"/>
  <c r="L14" i="133"/>
  <c r="G8" i="145"/>
  <c r="F10" i="144"/>
  <c r="G10" i="132"/>
  <c r="O5" i="136"/>
  <c r="G11" i="143"/>
  <c r="M11" i="137"/>
  <c r="B11" i="137" s="1"/>
  <c r="D7" i="146"/>
  <c r="E7" i="146"/>
  <c r="L6" i="146"/>
  <c r="H5" i="146"/>
  <c r="H8" i="146" s="1"/>
  <c r="H8" i="145"/>
  <c r="L23" i="145"/>
  <c r="F24" i="146"/>
  <c r="H17" i="146"/>
  <c r="H24" i="146" s="1"/>
  <c r="H24" i="145"/>
  <c r="J18" i="146"/>
  <c r="J24" i="146" s="1"/>
  <c r="L18" i="145"/>
  <c r="L20" i="146"/>
  <c r="L23" i="146"/>
  <c r="E21" i="146"/>
  <c r="H21" i="146"/>
  <c r="E8" i="145"/>
  <c r="J13" i="146"/>
  <c r="L13" i="146" s="1"/>
  <c r="J14" i="145"/>
  <c r="E17" i="146"/>
  <c r="E24" i="146" s="1"/>
  <c r="L17" i="145"/>
  <c r="I17" i="146"/>
  <c r="K18" i="146"/>
  <c r="K24" i="146" s="1"/>
  <c r="K24" i="145"/>
  <c r="F14" i="145"/>
  <c r="L7" i="145"/>
  <c r="I10" i="146"/>
  <c r="I14" i="146" s="1"/>
  <c r="I14" i="145"/>
  <c r="K10" i="146"/>
  <c r="K14" i="146" s="1"/>
  <c r="K14" i="145"/>
  <c r="I10" i="137"/>
  <c r="H10" i="137"/>
  <c r="O11" i="137"/>
  <c r="G10" i="137"/>
  <c r="M8" i="140"/>
  <c r="N24" i="140"/>
  <c r="M5" i="140"/>
  <c r="E18" i="140"/>
  <c r="M6" i="140"/>
  <c r="M10" i="140"/>
  <c r="M21" i="140"/>
  <c r="M20" i="140"/>
  <c r="N22" i="140"/>
  <c r="N20" i="140"/>
  <c r="M19" i="140"/>
  <c r="M22" i="140"/>
  <c r="F14" i="146"/>
  <c r="F5" i="146"/>
  <c r="F8" i="146" s="1"/>
  <c r="G8" i="146"/>
  <c r="D14" i="145"/>
  <c r="D10" i="146"/>
  <c r="D12" i="146"/>
  <c r="L12" i="146" s="1"/>
  <c r="L12" i="145"/>
  <c r="D11" i="136"/>
  <c r="H14" i="145"/>
  <c r="N11" i="137"/>
  <c r="D22" i="140"/>
  <c r="C22" i="140" s="1"/>
  <c r="L5" i="140"/>
  <c r="L19" i="140" s="1"/>
  <c r="L8" i="140"/>
  <c r="L22" i="140" s="1"/>
  <c r="J5" i="146"/>
  <c r="J8" i="146" s="1"/>
  <c r="J8" i="145"/>
  <c r="L11" i="145"/>
  <c r="E11" i="146"/>
  <c r="H11" i="146"/>
  <c r="H14" i="146" s="1"/>
  <c r="L20" i="145"/>
  <c r="D21" i="145"/>
  <c r="H24" i="133"/>
  <c r="J24" i="133"/>
  <c r="I21" i="145"/>
  <c r="I24" i="145" s="1"/>
  <c r="K11" i="143"/>
  <c r="L9" i="150" l="1"/>
  <c r="I10" i="150"/>
  <c r="G10" i="150"/>
  <c r="AD5" i="150"/>
  <c r="H10" i="150"/>
  <c r="L10" i="150"/>
  <c r="AD4" i="150"/>
  <c r="G9" i="150"/>
  <c r="J10" i="150"/>
  <c r="I9" i="150"/>
  <c r="K9" i="150"/>
  <c r="W3" i="150"/>
  <c r="Q3" i="150"/>
  <c r="K3" i="150"/>
  <c r="G3" i="150"/>
  <c r="AB3" i="150"/>
  <c r="O8" i="150" s="1"/>
  <c r="V3" i="150"/>
  <c r="P3" i="150"/>
  <c r="J3" i="150"/>
  <c r="U3" i="150"/>
  <c r="I3" i="150"/>
  <c r="C3" i="150"/>
  <c r="F8" i="150"/>
  <c r="Z3" i="150"/>
  <c r="M8" i="150" s="1"/>
  <c r="T3" i="150"/>
  <c r="N3" i="150"/>
  <c r="H3" i="150"/>
  <c r="H8" i="150" s="1"/>
  <c r="Y3" i="150"/>
  <c r="S3" i="150"/>
  <c r="M3" i="150"/>
  <c r="X3" i="150"/>
  <c r="R3" i="150"/>
  <c r="L3" i="150"/>
  <c r="AA3" i="150"/>
  <c r="N8" i="150" s="1"/>
  <c r="O3" i="150"/>
  <c r="D21" i="140"/>
  <c r="C21" i="140" s="1"/>
  <c r="D20" i="140"/>
  <c r="C20" i="140" s="1"/>
  <c r="K20" i="140"/>
  <c r="B20" i="140" s="1"/>
  <c r="D11" i="132"/>
  <c r="F4" i="150"/>
  <c r="F5" i="150"/>
  <c r="F3" i="150"/>
  <c r="E14" i="146"/>
  <c r="D19" i="140"/>
  <c r="K19" i="140"/>
  <c r="B19" i="140" s="1"/>
  <c r="N11" i="132"/>
  <c r="L8" i="145"/>
  <c r="E8" i="146"/>
  <c r="G21" i="146"/>
  <c r="G24" i="146" s="1"/>
  <c r="L14" i="145"/>
  <c r="J14" i="146"/>
  <c r="I21" i="146"/>
  <c r="D21" i="146"/>
  <c r="L21" i="145"/>
  <c r="L11" i="146"/>
  <c r="L5" i="146"/>
  <c r="L7" i="146"/>
  <c r="D8" i="146"/>
  <c r="L10" i="146"/>
  <c r="D14" i="146"/>
  <c r="I24" i="146"/>
  <c r="L18" i="146"/>
  <c r="L17" i="146"/>
  <c r="K8" i="150" l="1"/>
  <c r="L8" i="150"/>
  <c r="G8" i="150"/>
  <c r="AD3" i="150"/>
  <c r="S10" i="150"/>
  <c r="J8" i="150"/>
  <c r="S9" i="150"/>
  <c r="I8" i="150"/>
  <c r="C19" i="140"/>
  <c r="L8" i="146"/>
  <c r="L24" i="145"/>
  <c r="L14" i="146"/>
  <c r="L21" i="146"/>
  <c r="L24" i="146" s="1"/>
  <c r="D24" i="146"/>
  <c r="S8" i="150" l="1"/>
  <c r="S7" i="15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19" authorId="0" shapeId="0" xr:uid="{00000000-0006-0000-00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  <comment ref="V19" authorId="0" shapeId="0" xr:uid="{00000000-0006-0000-0000-000002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19" authorId="0" shapeId="0" xr:uid="{00000000-0006-0000-01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19" authorId="0" shapeId="0" xr:uid="{00000000-0006-0000-02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H3" authorId="0" shapeId="0" xr:uid="{90DF273E-B42F-4759-8A65-FC25B6E79483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M3" authorId="1" shapeId="0" xr:uid="{1B1BEB0B-89B0-4822-BE45-0F72AA2F65D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N3" authorId="2" shapeId="0" xr:uid="{22717E72-E5DF-47B1-AFC7-AFB0A99698D9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3" authorId="2" shapeId="0" xr:uid="{1663E6C0-D8CB-4573-B40D-DE0787AC74EC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P3" authorId="2" shapeId="0" xr:uid="{60687CDB-7FEE-4005-96E7-2F07BB552BC8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N8" authorId="2" shapeId="0" xr:uid="{6FA17461-B4EA-427A-BE59-316F212B8854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" authorId="1" shapeId="0" xr:uid="{8B7DA555-9AB0-4FCB-A370-A1CF29F8DB6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P8" authorId="2" shapeId="0" xr:uid="{B5AAC4C8-C161-4BEE-B3E1-D3B0C2C2655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H9" authorId="2" shapeId="0" xr:uid="{B3B9DB0E-2750-47EC-B93E-621589A11CB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AA4B7659-3CA6-4C5B-BD3B-F06C18267A4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95A50D87-C743-493A-8046-1D76E31E590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D3B6F248-291A-41D2-9E06-7F0B1F3580D9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C20A713D-60D3-4301-9935-A4FB54E5EF7E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1837F1F1-FFE2-407A-B0E9-AA0BC7F7E0F6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5FFA5C6C-71EB-4395-8E23-095BAE0D6E2F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E7EE8B9F-717F-4F0D-B658-3AE725178C02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707EC82-AD50-4DD0-A440-BAF1A1418B04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7DE44F1E-5E97-431A-ADC7-793F004EFDA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CF05EAAF-F79D-41A3-862D-221592906452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4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4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4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4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4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5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5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5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5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5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5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5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5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5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6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6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6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6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6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6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6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6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I3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N3" authorId="1" shapeId="0" xr:uid="{00000000-0006-0000-07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O3" authorId="2" shapeId="0" xr:uid="{00000000-0006-0000-07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3" authorId="2" shapeId="0" xr:uid="{00000000-0006-0000-07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Q3" authorId="2" shapeId="0" xr:uid="{00000000-0006-0000-07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8" authorId="2" shapeId="0" xr:uid="{00000000-0006-0000-07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O8" authorId="2" shapeId="0" xr:uid="{00000000-0006-0000-07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8" authorId="1" shapeId="0" xr:uid="{00000000-0006-0000-07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8" authorId="2" shapeId="0" xr:uid="{00000000-0006-0000-07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9" authorId="2" shapeId="0" xr:uid="{00000000-0006-0000-07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I3" authorId="0" shapeId="0" xr:uid="{00000000-0006-0000-08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N3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O3" authorId="2" shapeId="0" xr:uid="{00000000-0006-0000-08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3" authorId="2" shapeId="0" xr:uid="{00000000-0006-0000-08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Q3" authorId="2" shapeId="0" xr:uid="{00000000-0006-0000-08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8" authorId="2" shapeId="0" xr:uid="{00000000-0006-0000-0800-000006000000}">
      <text>
        <r>
          <rPr>
            <sz val="8"/>
            <color rgb="FF000000"/>
            <rFont val="Tahoma"/>
            <family val="2"/>
          </rPr>
          <t xml:space="preserve">This attribute is used to assign a production limit.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By defautt is defined like fixed share
</t>
        </r>
        <r>
          <rPr>
            <b/>
            <sz val="8"/>
            <color rgb="FF000000"/>
            <rFont val="Tahoma"/>
            <family val="2"/>
          </rPr>
          <t>UP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If you want fix or lower add
</t>
        </r>
        <r>
          <rPr>
            <b/>
            <sz val="8"/>
            <color rgb="FF000000"/>
            <rFont val="Tahoma"/>
            <family val="2"/>
          </rPr>
          <t xml:space="preserve">~FX
</t>
        </r>
        <r>
          <rPr>
            <b/>
            <sz val="8"/>
            <color rgb="FF000000"/>
            <rFont val="Tahoma"/>
            <family val="2"/>
          </rPr>
          <t>~LO</t>
        </r>
      </text>
    </comment>
    <comment ref="O8" authorId="2" shapeId="0" xr:uid="{00000000-0006-0000-08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8" authorId="1" shapeId="0" xr:uid="{00000000-0006-0000-08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8" authorId="2" shapeId="0" xr:uid="{00000000-0006-0000-08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9" authorId="2" shapeId="0" xr:uid="{00000000-0006-0000-08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I3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N3" authorId="1" shapeId="0" xr:uid="{00000000-0006-0000-09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O3" authorId="2" shapeId="0" xr:uid="{00000000-0006-0000-09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3" authorId="2" shapeId="0" xr:uid="{00000000-0006-0000-09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Q3" authorId="2" shapeId="0" xr:uid="{00000000-0006-0000-09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O16" authorId="2" shapeId="0" xr:uid="{00000000-0006-0000-09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16" authorId="1" shapeId="0" xr:uid="{00000000-0006-0000-09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16" authorId="2" shapeId="0" xr:uid="{00000000-0006-0000-09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17" authorId="2" shapeId="0" xr:uid="{00000000-0006-0000-09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dpp ditpro</author>
    <author>CEPZSKY</author>
  </authors>
  <commentList>
    <comment ref="J34" authorId="0" shapeId="0" xr:uid="{8EB041C0-0440-2B46-8A5D-18F0D82239D4}">
      <text>
        <r>
          <rPr>
            <b/>
            <sz val="9"/>
            <color indexed="81"/>
            <rFont val="Tahoma"/>
            <family val="2"/>
          </rPr>
          <t>dpp ditpro:</t>
        </r>
        <r>
          <rPr>
            <sz val="9"/>
            <color indexed="81"/>
            <rFont val="Tahoma"/>
            <family val="2"/>
          </rPr>
          <t xml:space="preserve">
data SPKK
</t>
        </r>
      </text>
    </comment>
    <comment ref="J37" authorId="1" shapeId="0" xr:uid="{E3DF7FB9-0802-5C4B-977B-1194BF67B9B7}">
      <text>
        <r>
          <rPr>
            <b/>
            <sz val="9"/>
            <color indexed="81"/>
            <rFont val="Tahoma"/>
            <family val="2"/>
          </rPr>
          <t>CEPZSKY:</t>
        </r>
        <r>
          <rPr>
            <sz val="9"/>
            <color indexed="81"/>
            <rFont val="Tahoma"/>
            <family val="2"/>
          </rPr>
          <t xml:space="preserve">
12,23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Y3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D3" authorId="1" shapeId="0" xr:uid="{00000000-0006-0000-0A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E3" authorId="2" shapeId="0" xr:uid="{00000000-0006-0000-0A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F3" authorId="2" shapeId="0" xr:uid="{00000000-0006-0000-0A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G3" authorId="2" shapeId="0" xr:uid="{00000000-0006-0000-0A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E9" authorId="2" shapeId="0" xr:uid="{00000000-0006-0000-0A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F9" authorId="1" shapeId="0" xr:uid="{00000000-0006-0000-0A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G9" authorId="2" shapeId="0" xr:uid="{00000000-0006-0000-0A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Y10" authorId="2" shapeId="0" xr:uid="{00000000-0006-0000-0A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<sst xmlns="http://schemas.openxmlformats.org/spreadsheetml/2006/main" count="2777" uniqueCount="455">
  <si>
    <t>No</t>
  </si>
  <si>
    <t>Tech_Name</t>
  </si>
  <si>
    <t>Grid</t>
  </si>
  <si>
    <t>Province_Code</t>
  </si>
  <si>
    <t>Island_Code</t>
  </si>
  <si>
    <t>Kab/Kota</t>
  </si>
  <si>
    <t>Plant_Type</t>
  </si>
  <si>
    <t>Lokasi/Nama Pembangkit</t>
  </si>
  <si>
    <t>Jumlah Unit</t>
  </si>
  <si>
    <t>Kapasitas Terpasang (MW)</t>
  </si>
  <si>
    <t>Daya Mampu Netto (MW)</t>
  </si>
  <si>
    <t>AF</t>
  </si>
  <si>
    <t>Ongrid</t>
  </si>
  <si>
    <t>Offgrid</t>
  </si>
  <si>
    <t>Sumber Energi Primer</t>
  </si>
  <si>
    <t>Fuel_Code</t>
  </si>
  <si>
    <t>Status</t>
  </si>
  <si>
    <t>COD</t>
  </si>
  <si>
    <t>Pemilik</t>
  </si>
  <si>
    <t>Titik Koneksi (KV)</t>
  </si>
  <si>
    <t>Efficiency</t>
  </si>
  <si>
    <t>Lifetime</t>
  </si>
  <si>
    <t>Decom_Year</t>
  </si>
  <si>
    <t>Keterangan</t>
  </si>
  <si>
    <t>Umur (Tahun)</t>
  </si>
  <si>
    <t>Regional</t>
  </si>
  <si>
    <t>Jenis Untuk Peta</t>
  </si>
  <si>
    <t>Interkoneksi Barito - Mahakam</t>
  </si>
  <si>
    <t>ID-KS</t>
  </si>
  <si>
    <t>ID-KA</t>
  </si>
  <si>
    <t>Banjarmasin</t>
  </si>
  <si>
    <t>Diesel</t>
  </si>
  <si>
    <t xml:space="preserve">Trisakti #09  </t>
  </si>
  <si>
    <t>-</t>
  </si>
  <si>
    <t>OILDST</t>
  </si>
  <si>
    <t>ELCOIL</t>
  </si>
  <si>
    <t>Operasi</t>
  </si>
  <si>
    <t>PLN</t>
  </si>
  <si>
    <t xml:space="preserve"> </t>
  </si>
  <si>
    <t>Kalimantan</t>
  </si>
  <si>
    <t>BBM</t>
  </si>
  <si>
    <t xml:space="preserve">Trisakti #10  </t>
  </si>
  <si>
    <t>Gas Turbine</t>
  </si>
  <si>
    <t>Trisakti</t>
  </si>
  <si>
    <t>GASNGA</t>
  </si>
  <si>
    <t>ELCGAS</t>
  </si>
  <si>
    <t>Gas</t>
  </si>
  <si>
    <t>Hulu Sungai Utara</t>
  </si>
  <si>
    <t xml:space="preserve">Panangkalaan #03  </t>
  </si>
  <si>
    <t xml:space="preserve">Panangkalaan #04  </t>
  </si>
  <si>
    <t>Tabalong</t>
  </si>
  <si>
    <t xml:space="preserve">Maburai #01  </t>
  </si>
  <si>
    <t xml:space="preserve">Maburai #02  </t>
  </si>
  <si>
    <t>ID-KT</t>
  </si>
  <si>
    <t>Barito Utara</t>
  </si>
  <si>
    <t>Gas Engine</t>
  </si>
  <si>
    <t xml:space="preserve">Bangkanai Blok #01   </t>
  </si>
  <si>
    <t>Bangkanai Blok #02</t>
  </si>
  <si>
    <t>Bangkanai Blok #03</t>
  </si>
  <si>
    <t>Bangkanai Blok #04</t>
  </si>
  <si>
    <t>Tanah Laut</t>
  </si>
  <si>
    <t>Minehead</t>
  </si>
  <si>
    <t>Asam Asam #01</t>
  </si>
  <si>
    <t>COABCO</t>
  </si>
  <si>
    <t>ELCCOA</t>
  </si>
  <si>
    <t>Batubara</t>
  </si>
  <si>
    <t>Asam Asam #02</t>
  </si>
  <si>
    <t>Asam Asam #03 (FTP 1)</t>
  </si>
  <si>
    <t>Asam Asam #04 (FTP 1)</t>
  </si>
  <si>
    <t>Pulang Pisau</t>
  </si>
  <si>
    <t>Coal</t>
  </si>
  <si>
    <t>Pulang Pisau #01 (FTP 1)</t>
  </si>
  <si>
    <t>Pulang Pisau #02 (FTP 1)</t>
  </si>
  <si>
    <t>Palangkaraya</t>
  </si>
  <si>
    <t>Kahayan #4</t>
  </si>
  <si>
    <t>Sampit</t>
  </si>
  <si>
    <t>SAMPIT #09</t>
  </si>
  <si>
    <t>SAMPIT #10</t>
  </si>
  <si>
    <t>Buntok</t>
  </si>
  <si>
    <t>Buntok #1</t>
  </si>
  <si>
    <t>Buntok #2</t>
  </si>
  <si>
    <t>Buntok #3</t>
  </si>
  <si>
    <t>Muara Teweh</t>
  </si>
  <si>
    <t>Muara teweh #1</t>
  </si>
  <si>
    <t>Muara teweh #3</t>
  </si>
  <si>
    <t>ID-KI</t>
  </si>
  <si>
    <t>Samarinda</t>
  </si>
  <si>
    <t>Karang Asam #07</t>
  </si>
  <si>
    <t>OILHFO</t>
  </si>
  <si>
    <t>Bontang</t>
  </si>
  <si>
    <t>Cummins#1</t>
  </si>
  <si>
    <t>Cummins#2</t>
  </si>
  <si>
    <t>Cummins#3</t>
  </si>
  <si>
    <t>Cummins#4</t>
  </si>
  <si>
    <t>Bontang Wartsila  #1</t>
  </si>
  <si>
    <t>Bontang Wartsila  #2</t>
  </si>
  <si>
    <t xml:space="preserve">MPP Kaltim #01 </t>
  </si>
  <si>
    <t xml:space="preserve">MPP Kaltim #02 </t>
  </si>
  <si>
    <t>MPP Kaltim #03</t>
  </si>
  <si>
    <t>MPP Kaltim #04</t>
  </si>
  <si>
    <t>Balikpapan</t>
  </si>
  <si>
    <t>Teluk Balikpapan #01 (FTP 1)</t>
  </si>
  <si>
    <t>Teluk Balikpapan #02 (FTP 1)</t>
  </si>
  <si>
    <t>Kutai Kartanegara</t>
  </si>
  <si>
    <t>Combined Cycle</t>
  </si>
  <si>
    <t>Tanjung Batu #01</t>
  </si>
  <si>
    <t>Tanjung Batu #02</t>
  </si>
  <si>
    <t>Tanjung Batu #03</t>
  </si>
  <si>
    <t xml:space="preserve">Peaking #01 </t>
  </si>
  <si>
    <t xml:space="preserve">Peaking #02 </t>
  </si>
  <si>
    <t xml:space="preserve">Semberah #01 </t>
  </si>
  <si>
    <t xml:space="preserve">Semberah #02 </t>
  </si>
  <si>
    <t>Tana Paser</t>
  </si>
  <si>
    <t>Tanah Grogot #01</t>
  </si>
  <si>
    <t>Tanah Grogot #02</t>
  </si>
  <si>
    <t>Long Ikis #02</t>
  </si>
  <si>
    <t>Long Ikis #03</t>
  </si>
  <si>
    <t>Long Ikis #04</t>
  </si>
  <si>
    <t>Long Ikis #05</t>
  </si>
  <si>
    <t>Penajam Paser Utara</t>
  </si>
  <si>
    <t>Petung #02</t>
  </si>
  <si>
    <t>Petung #04</t>
  </si>
  <si>
    <t>Petung #05</t>
  </si>
  <si>
    <t>Petung #06</t>
  </si>
  <si>
    <t>Petung #07</t>
  </si>
  <si>
    <t>Petung #08</t>
  </si>
  <si>
    <t>Trisakti Sewatama #1</t>
  </si>
  <si>
    <t>Sewa</t>
  </si>
  <si>
    <t>Trisakti Sewatama #2</t>
  </si>
  <si>
    <t>Sampit Kaltimex PH4</t>
  </si>
  <si>
    <t>Central Daya Energi #01</t>
  </si>
  <si>
    <t>Central Daya Energi #02</t>
  </si>
  <si>
    <t>Kaltimex</t>
  </si>
  <si>
    <t>Tanah Grogot #04</t>
  </si>
  <si>
    <t>Tanah Grogot #05</t>
  </si>
  <si>
    <t>Tanah Grogot #06</t>
  </si>
  <si>
    <t>Tanah Grogot #07</t>
  </si>
  <si>
    <t>Sewatama Grogot</t>
  </si>
  <si>
    <t>Sw Long Ikis KPM</t>
  </si>
  <si>
    <t xml:space="preserve">  Betagy #01</t>
  </si>
  <si>
    <t xml:space="preserve">  Betagy #02</t>
  </si>
  <si>
    <t xml:space="preserve">  Betagy #03</t>
  </si>
  <si>
    <t xml:space="preserve">  Betagy #04</t>
  </si>
  <si>
    <t>Kariangau #01</t>
  </si>
  <si>
    <t>PPU</t>
  </si>
  <si>
    <t>EP</t>
  </si>
  <si>
    <t>Kariangau #02</t>
  </si>
  <si>
    <t>Cogindo #01</t>
  </si>
  <si>
    <t>IPP Anak Perusahaan</t>
  </si>
  <si>
    <t>Cogindo #02</t>
  </si>
  <si>
    <t>Cogindo #03</t>
  </si>
  <si>
    <t>Cogindo #04</t>
  </si>
  <si>
    <t>Cogindo #05</t>
  </si>
  <si>
    <t>Muara Jawa</t>
  </si>
  <si>
    <t xml:space="preserve">MT KALTIM </t>
  </si>
  <si>
    <t>IPP</t>
  </si>
  <si>
    <t xml:space="preserve"> Senipah #01</t>
  </si>
  <si>
    <t xml:space="preserve"> Senipah #02</t>
  </si>
  <si>
    <t>Embalut #01 (PT CFK)</t>
  </si>
  <si>
    <t>Embalut #02 (PT CFK)</t>
  </si>
  <si>
    <t>Embalut Ekspansi (PT CFK)</t>
  </si>
  <si>
    <t>PALANGKA RAYA</t>
  </si>
  <si>
    <t>KAHAYAN #04 (MAK)</t>
  </si>
  <si>
    <t>KAHAYAN #05 (KOMATSU)</t>
  </si>
  <si>
    <t>KOTAWARINGIN TIMUR</t>
  </si>
  <si>
    <t>SAMPIT #08 (MAK)</t>
  </si>
  <si>
    <t>SAMPIT #09 (MAK)</t>
  </si>
  <si>
    <t>KATINGAN</t>
  </si>
  <si>
    <t>BAON BANGO #01 (DEUTZ)</t>
  </si>
  <si>
    <t>BARITO SELATAN</t>
  </si>
  <si>
    <t>BUNTOK #01 (MIRRLEES)</t>
  </si>
  <si>
    <t>BUNTOK #02 (MIRRLEES)</t>
  </si>
  <si>
    <t>BUNTOK #03 (DEUTZ)</t>
  </si>
  <si>
    <t>BUNTOK #04 (MTU)</t>
  </si>
  <si>
    <t>BARITO UTARA</t>
  </si>
  <si>
    <t>MUARA TEWEH #01 (MIRRLEES)</t>
  </si>
  <si>
    <t>MUARA TEWEH #03 (DEUTZ AG)</t>
  </si>
  <si>
    <t>MUARA TEWEH #04 (DEUTZ AG)</t>
  </si>
  <si>
    <t xml:space="preserve">SUNGAI KUPANG #01 (PERKINS)  </t>
  </si>
  <si>
    <t xml:space="preserve">SUNGAI KUPANG #02 (PERKINS)  </t>
  </si>
  <si>
    <t>ASAM ASAM #03 (BS 3 &amp; 4) (MITSUBISHI)</t>
  </si>
  <si>
    <t>ASAM ASAM #05 (BS 3 &amp; 4) (MITSUBISHI)</t>
  </si>
  <si>
    <t>Kotabaru</t>
  </si>
  <si>
    <t>PAGATAN #04 (SCODA)</t>
  </si>
  <si>
    <t>PAGATAN #05 (PERKINS)</t>
  </si>
  <si>
    <t xml:space="preserve">BARITO TIMUR </t>
  </si>
  <si>
    <t>PT. RIMAU ELECTRIC (T. LAYANG)</t>
  </si>
  <si>
    <t>Kotawaringin</t>
  </si>
  <si>
    <t>Kaltimex Sampit III</t>
  </si>
  <si>
    <t>Kaltimex Sampit IV KM 13</t>
  </si>
  <si>
    <t>UPM Parenggean</t>
  </si>
  <si>
    <t>Sewatama Pagatan</t>
  </si>
  <si>
    <t>Default Units</t>
  </si>
  <si>
    <t>Currency</t>
  </si>
  <si>
    <t>Activity</t>
  </si>
  <si>
    <t>Emissions</t>
  </si>
  <si>
    <t>COA</t>
  </si>
  <si>
    <t>GAS</t>
  </si>
  <si>
    <t>OIL</t>
  </si>
  <si>
    <t>NUC</t>
  </si>
  <si>
    <t>RNW</t>
  </si>
  <si>
    <t>SLU</t>
  </si>
  <si>
    <t>HET</t>
  </si>
  <si>
    <t>ELC</t>
  </si>
  <si>
    <t>PJ</t>
  </si>
  <si>
    <t>kt</t>
  </si>
  <si>
    <t>Natural Gas</t>
  </si>
  <si>
    <t>Crude Oil</t>
  </si>
  <si>
    <t>Wind Energy</t>
  </si>
  <si>
    <t>Solar Energy</t>
  </si>
  <si>
    <t>Industrial Wastes</t>
  </si>
  <si>
    <t>Derived Heat</t>
  </si>
  <si>
    <t>Electricity</t>
  </si>
  <si>
    <t>Total</t>
  </si>
  <si>
    <t>Base Year</t>
  </si>
  <si>
    <t>Break-out by Region 1</t>
  </si>
  <si>
    <t>Solid Fuels</t>
  </si>
  <si>
    <t>Crude oil</t>
  </si>
  <si>
    <t>Nuclear Energy</t>
  </si>
  <si>
    <t>Renewable Energies</t>
  </si>
  <si>
    <t>PRIMARY</t>
  </si>
  <si>
    <t>MIN</t>
  </si>
  <si>
    <t>Domestic Supply</t>
  </si>
  <si>
    <t>IMP</t>
  </si>
  <si>
    <t>Imports</t>
  </si>
  <si>
    <t>EXP</t>
  </si>
  <si>
    <t>Exports</t>
  </si>
  <si>
    <t>TPS</t>
  </si>
  <si>
    <t>Total Primary Supply</t>
  </si>
  <si>
    <t>CONVERSION</t>
  </si>
  <si>
    <t>ESC</t>
  </si>
  <si>
    <t>Energy Sector Consumption</t>
  </si>
  <si>
    <t>Electricity Plants</t>
  </si>
  <si>
    <t>HPL</t>
  </si>
  <si>
    <t>Heat Plants</t>
  </si>
  <si>
    <t>REF</t>
  </si>
  <si>
    <t>Petroleum Refineries</t>
  </si>
  <si>
    <t>Total Conversion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</si>
  <si>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</si>
  <si>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</si>
  <si>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</si>
  <si>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</si>
  <si>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</si>
  <si>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</si>
  <si>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</si>
  <si>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</si>
  <si>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</si>
  <si>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</si>
  <si>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</si>
  <si>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</si>
  <si>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</si>
  <si>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NEN</t>
  </si>
  <si>
    <t>Non Energy</t>
  </si>
  <si>
    <t>BNK</t>
  </si>
  <si>
    <t>Bunkers</t>
  </si>
  <si>
    <t>TFC</t>
  </si>
  <si>
    <t>Total Final Consumption</t>
  </si>
  <si>
    <t>Data used in the template to buld the model</t>
  </si>
  <si>
    <t>Domestic Supply Curve Share - Step 1</t>
  </si>
  <si>
    <t>Domestic Supply Curve Share - Step 2</t>
  </si>
  <si>
    <t>Sector</t>
  </si>
  <si>
    <t>Break-out by end-use</t>
  </si>
  <si>
    <t>SH</t>
  </si>
  <si>
    <t>Space Heating</t>
  </si>
  <si>
    <t>AP</t>
  </si>
  <si>
    <t>Appliancens</t>
  </si>
  <si>
    <t>OT</t>
  </si>
  <si>
    <t>D1</t>
  </si>
  <si>
    <t>Demand 1</t>
  </si>
  <si>
    <t>D6</t>
  </si>
  <si>
    <t>Demand 6</t>
  </si>
  <si>
    <t>CO2</t>
  </si>
  <si>
    <t>Nox</t>
  </si>
  <si>
    <t>VOC</t>
  </si>
  <si>
    <t>Emission by sector</t>
  </si>
  <si>
    <t>Carbon dioxide</t>
  </si>
  <si>
    <t>NOX</t>
  </si>
  <si>
    <t>M€</t>
  </si>
  <si>
    <t>REG1</t>
  </si>
  <si>
    <t>REG2</t>
  </si>
  <si>
    <t>_SysCost resukt table</t>
  </si>
  <si>
    <t>Objective Function</t>
  </si>
  <si>
    <t>Run name: DemoS_006</t>
  </si>
  <si>
    <t>Run name: DemoS_006a</t>
  </si>
  <si>
    <t>Run name: DemoS_006b</t>
  </si>
  <si>
    <t>Reference Energy System</t>
  </si>
  <si>
    <t>Primary Supply (Mining, Import/Export)</t>
  </si>
  <si>
    <t>Conversion (Power Sector)</t>
  </si>
  <si>
    <t>Demand Sectors</t>
  </si>
  <si>
    <t>2020 /PJ</t>
  </si>
  <si>
    <t>FIXOM /GW</t>
  </si>
  <si>
    <t>VAROM /PJ</t>
  </si>
  <si>
    <t>INVCOST</t>
  </si>
  <si>
    <t>EFF</t>
  </si>
  <si>
    <t>Dummy Capacity GW</t>
  </si>
  <si>
    <t>Dummy Prod GWh</t>
  </si>
  <si>
    <t>Dummy Prod PJ</t>
  </si>
  <si>
    <t>Fuel Needed PJ</t>
  </si>
  <si>
    <t>Fuel Cost</t>
  </si>
  <si>
    <t>Operational Marginal Cost</t>
  </si>
  <si>
    <t>Annualized Inv Cost</t>
  </si>
  <si>
    <t>Total Marginal Cost</t>
  </si>
  <si>
    <t>Marginal Cost Cent per kWh</t>
  </si>
  <si>
    <t>SOL</t>
  </si>
  <si>
    <t>WIN</t>
  </si>
  <si>
    <t>BIO</t>
  </si>
  <si>
    <t>HYD</t>
  </si>
  <si>
    <t>HYDMINI</t>
  </si>
  <si>
    <t>1 MWh</t>
  </si>
  <si>
    <t>Sector Name</t>
  </si>
  <si>
    <t>Commodity</t>
  </si>
  <si>
    <t>Description</t>
  </si>
  <si>
    <t>Default Unit</t>
  </si>
  <si>
    <t>Currency Unit</t>
  </si>
  <si>
    <t>Hydro Power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</si>
  <si>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</si>
  <si>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</si>
  <si>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</si>
  <si>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</si>
  <si>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</si>
  <si>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</si>
  <si>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</si>
  <si>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</si>
  <si>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</si>
  <si>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</si>
  <si>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</si>
  <si>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</si>
  <si>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</si>
  <si>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</si>
  <si>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</si>
  <si>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</si>
  <si>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</si>
  <si>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</si>
  <si>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</si>
  <si>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~FI_T</t>
  </si>
  <si>
    <t>~FI_Process</t>
  </si>
  <si>
    <t>TechName</t>
  </si>
  <si>
    <t>Comm-IN</t>
  </si>
  <si>
    <t>Comm-OUT</t>
  </si>
  <si>
    <t>CUM</t>
  </si>
  <si>
    <t>COST</t>
  </si>
  <si>
    <t>Sets</t>
  </si>
  <si>
    <t>TechDesc</t>
  </si>
  <si>
    <t>Tact</t>
  </si>
  <si>
    <t>Tcap</t>
  </si>
  <si>
    <t>Tslvl</t>
  </si>
  <si>
    <t>PrimaryCG</t>
  </si>
  <si>
    <t>Vintage</t>
  </si>
  <si>
    <t>*Technology Name</t>
  </si>
  <si>
    <t>Input Commodity</t>
  </si>
  <si>
    <t>Output Commodity</t>
  </si>
  <si>
    <t>Cost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</si>
  <si>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</si>
  <si>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</si>
  <si>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</si>
  <si>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</si>
  <si>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</si>
  <si>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</si>
  <si>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</si>
  <si>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</si>
  <si>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*Units</t>
  </si>
  <si>
    <t>*</t>
  </si>
  <si>
    <t>User inputs</t>
  </si>
  <si>
    <t>Linked to the Energy Balance</t>
  </si>
  <si>
    <t>Biomass Energy</t>
  </si>
  <si>
    <t>ACT_BND</t>
  </si>
  <si>
    <t>Reserves Cumulative Value</t>
  </si>
  <si>
    <t>Annual Production Bound</t>
  </si>
  <si>
    <t>Year</t>
  </si>
  <si>
    <t>YEAR</t>
  </si>
  <si>
    <t>Data year</t>
  </si>
  <si>
    <t>GW</t>
  </si>
  <si>
    <t>Table 6. Electric power delivered fuel prices and quality for coal, petroleum, natural gas, 1990 through 2021</t>
  </si>
  <si>
    <t>United States</t>
  </si>
  <si>
    <t> </t>
  </si>
  <si>
    <t>Coal (dollars per million Btu)</t>
  </si>
  <si>
    <t>Average heat value (Btu per pound)</t>
  </si>
  <si>
    <t>Average sulfur content (percent)</t>
  </si>
  <si>
    <t>Petroleum (dollars per million Btu)</t>
  </si>
  <si>
    <t>Average heat value (Btu per gallon)</t>
  </si>
  <si>
    <t>Natural gas (dollars per million Btu)</t>
  </si>
  <si>
    <t>Average heat value (Btu per cubic foot)</t>
  </si>
  <si>
    <t>Petroleum includes petroleum liquids and petroleum coke.
Note: Due to different reporting requirements between the Form EIA-923 and historical FERC Form 423, the receipts data from 2008 and on are not directly comparable to prior years.  There may be a notable increase in fuel receipts beginning with 2008.  For more information, please see the Technical Notes in the Electric Power Annual.
Source: U.S. Energy Information Administration, Forms EIA-423, Monthly Cost and Quality of Fuels for Electric Plants Report. and EIA-923,   Power Plant Operations Report. Federal Energy Regulatory Commission, FERC Form 423, Monthly Cost and Quality of Fuels for Electric Plants.</t>
  </si>
  <si>
    <t>Deafult unit</t>
  </si>
  <si>
    <t>Existing</t>
  </si>
  <si>
    <t>Sector Fuel</t>
  </si>
  <si>
    <t>E</t>
  </si>
  <si>
    <t>ELCSOL</t>
  </si>
  <si>
    <t>ELCWIN</t>
  </si>
  <si>
    <t>ELCHYD</t>
  </si>
  <si>
    <t>Electricity Plants Hydro Energy</t>
  </si>
  <si>
    <t>ELCBIO</t>
  </si>
  <si>
    <t>Electricity Plants Biomass Energy</t>
  </si>
  <si>
    <t>STOCK</t>
  </si>
  <si>
    <t>LIFE</t>
  </si>
  <si>
    <t>Existing Installed Capacity</t>
  </si>
  <si>
    <t>Years</t>
  </si>
  <si>
    <t>PRE</t>
  </si>
  <si>
    <t>Type</t>
  </si>
  <si>
    <t>Capacity unit</t>
  </si>
  <si>
    <t>Power Plants</t>
  </si>
  <si>
    <t>Power Plant Type</t>
  </si>
  <si>
    <t>Thermal</t>
  </si>
  <si>
    <t>CHP</t>
  </si>
  <si>
    <t>Renewable</t>
  </si>
  <si>
    <t>Nuclear</t>
  </si>
  <si>
    <t>Code</t>
  </si>
  <si>
    <t>T</t>
  </si>
  <si>
    <t>C</t>
  </si>
  <si>
    <t>R</t>
  </si>
  <si>
    <t>N</t>
  </si>
  <si>
    <t>DAYNITE</t>
  </si>
  <si>
    <t>ENV</t>
  </si>
  <si>
    <t>AFA</t>
  </si>
  <si>
    <t>FIXOM</t>
  </si>
  <si>
    <t>VAROM</t>
  </si>
  <si>
    <t>CAP2ACT</t>
  </si>
  <si>
    <t>Peak</t>
  </si>
  <si>
    <t>Utilisation Factor</t>
  </si>
  <si>
    <t>Invesctment Cost</t>
  </si>
  <si>
    <t>Fixed O&amp;M Cost</t>
  </si>
  <si>
    <t>Variable O&amp;M Cost</t>
  </si>
  <si>
    <t>Capacity to Activity Factor</t>
  </si>
  <si>
    <t>% contribution to PEAK</t>
  </si>
  <si>
    <t>ELE</t>
  </si>
  <si>
    <t>SEASON</t>
  </si>
  <si>
    <t>$/MWh</t>
  </si>
  <si>
    <t>Past Investment Capacity</t>
  </si>
  <si>
    <t>Dynamic coefficients for combustion emissions in power sector</t>
  </si>
  <si>
    <t>~COMEMI</t>
  </si>
  <si>
    <t>kt/PJ</t>
  </si>
  <si>
    <t>ELCCO2</t>
  </si>
  <si>
    <t>Solar</t>
  </si>
  <si>
    <t xml:space="preserve">Hydro </t>
  </si>
  <si>
    <t>M$2020</t>
  </si>
  <si>
    <t>PASTI~1985</t>
  </si>
  <si>
    <t>PASTI~1995</t>
  </si>
  <si>
    <t>PASTI~2000</t>
  </si>
  <si>
    <t>PASTI~2005</t>
  </si>
  <si>
    <t>PASTI~2010</t>
  </si>
  <si>
    <t>PASTI~2015</t>
  </si>
  <si>
    <t>PASTI~2016</t>
  </si>
  <si>
    <t>PASTI~2017</t>
  </si>
  <si>
    <t>PASTI~2018</t>
  </si>
  <si>
    <t>PASTI~2019</t>
  </si>
  <si>
    <t>PASTI~2020</t>
  </si>
  <si>
    <t>M$2020/GW</t>
  </si>
  <si>
    <t>M$2020/PJ</t>
  </si>
  <si>
    <t>PJ/GW</t>
  </si>
  <si>
    <t>NCAP_PASTI</t>
  </si>
  <si>
    <t>Existing Solar</t>
  </si>
  <si>
    <t>Existing Hydro</t>
  </si>
  <si>
    <t>Exist_KI_19MW_ELCTESOL00</t>
  </si>
  <si>
    <t>Exist_KI_30MW_ELCTEHYD00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</si>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</sst>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00"/>
    <numFmt numFmtId="166" formatCode="General_)"/>
    <numFmt numFmtId="167" formatCode="0.0"/>
    <numFmt numFmtId="168" formatCode="\Te\x\t"/>
    <numFmt numFmtId="169" formatCode="0.0%"/>
    <numFmt numFmtId="170" formatCode="0.0000"/>
  </numFmts>
  <fonts count="3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indexed="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8E5F1"/>
        <bgColor rgb="FF000000"/>
      </patternFill>
    </fill>
    <fill>
      <patternFill patternType="solid">
        <fgColor rgb="FFEBF2FA"/>
        <bgColor rgb="FF000000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8" applyNumberFormat="0" applyAlignment="0" applyProtection="0"/>
    <xf numFmtId="164" fontId="14" fillId="0" borderId="0" applyFont="0" applyFill="0" applyBorder="0" applyAlignment="0" applyProtection="0"/>
    <xf numFmtId="0" fontId="17" fillId="9" borderId="0" applyNumberFormat="0" applyBorder="0" applyAlignment="0" applyProtection="0"/>
    <xf numFmtId="0" fontId="18" fillId="10" borderId="18" applyNumberFormat="0" applyAlignment="0" applyProtection="0"/>
    <xf numFmtId="0" fontId="19" fillId="1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3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</cellStyleXfs>
  <cellXfs count="206">
    <xf numFmtId="0" fontId="0" fillId="0" borderId="0" xfId="0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left"/>
    </xf>
    <xf numFmtId="0" fontId="5" fillId="0" borderId="0" xfId="13" applyAlignment="1">
      <alignment horizontal="right"/>
    </xf>
    <xf numFmtId="0" fontId="6" fillId="0" borderId="0" xfId="13" applyFont="1" applyAlignment="1">
      <alignment horizontal="left"/>
    </xf>
    <xf numFmtId="0" fontId="5" fillId="0" borderId="0" xfId="13" applyAlignment="1">
      <alignment horizontal="left"/>
    </xf>
    <xf numFmtId="0" fontId="0" fillId="0" borderId="2" xfId="0" applyBorder="1"/>
    <xf numFmtId="1" fontId="0" fillId="0" borderId="0" xfId="0" applyNumberFormat="1"/>
    <xf numFmtId="0" fontId="15" fillId="7" borderId="0" xfId="5"/>
    <xf numFmtId="0" fontId="20" fillId="0" borderId="0" xfId="8" applyFont="1" applyFill="1"/>
    <xf numFmtId="0" fontId="21" fillId="0" borderId="0" xfId="0" applyFont="1"/>
    <xf numFmtId="0" fontId="20" fillId="12" borderId="0" xfId="8" applyFont="1" applyFill="1"/>
    <xf numFmtId="0" fontId="22" fillId="3" borderId="3" xfId="1" applyFont="1" applyBorder="1" applyAlignment="1">
      <alignment horizontal="center" wrapText="1"/>
    </xf>
    <xf numFmtId="0" fontId="22" fillId="3" borderId="3" xfId="1" applyFont="1" applyBorder="1" applyAlignment="1">
      <alignment horizontal="left" wrapText="1"/>
    </xf>
    <xf numFmtId="0" fontId="22" fillId="3" borderId="1" xfId="1" applyFont="1" applyBorder="1" applyAlignment="1">
      <alignment horizontal="left" wrapText="1"/>
    </xf>
    <xf numFmtId="0" fontId="4" fillId="2" borderId="1" xfId="13" applyFont="1" applyFill="1" applyBorder="1" applyAlignment="1">
      <alignment horizontal="left" vertical="center"/>
    </xf>
    <xf numFmtId="0" fontId="4" fillId="2" borderId="1" xfId="13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/>
    </xf>
    <xf numFmtId="0" fontId="0" fillId="0" borderId="0" xfId="0" applyAlignment="1">
      <alignment wrapText="1"/>
    </xf>
    <xf numFmtId="0" fontId="20" fillId="12" borderId="0" xfId="8" applyFont="1" applyFill="1" applyAlignment="1">
      <alignment wrapText="1"/>
    </xf>
    <xf numFmtId="0" fontId="23" fillId="0" borderId="0" xfId="0" applyFont="1"/>
    <xf numFmtId="9" fontId="21" fillId="0" borderId="6" xfId="18" applyFont="1" applyBorder="1" applyAlignment="1"/>
    <xf numFmtId="9" fontId="21" fillId="0" borderId="7" xfId="18" applyFont="1" applyBorder="1" applyAlignment="1"/>
    <xf numFmtId="9" fontId="21" fillId="0" borderId="0" xfId="18" applyFont="1" applyBorder="1" applyAlignment="1"/>
    <xf numFmtId="0" fontId="15" fillId="7" borderId="0" xfId="5" applyAlignment="1">
      <alignment wrapText="1"/>
    </xf>
    <xf numFmtId="0" fontId="4" fillId="0" borderId="0" xfId="0" applyFont="1"/>
    <xf numFmtId="0" fontId="0" fillId="0" borderId="0" xfId="0" applyAlignment="1">
      <alignment horizontal="center" wrapText="1"/>
    </xf>
    <xf numFmtId="0" fontId="5" fillId="0" borderId="0" xfId="11"/>
    <xf numFmtId="0" fontId="5" fillId="0" borderId="0" xfId="11" applyAlignment="1">
      <alignment wrapText="1"/>
    </xf>
    <xf numFmtId="0" fontId="24" fillId="0" borderId="0" xfId="8" applyFont="1" applyFill="1"/>
    <xf numFmtId="0" fontId="25" fillId="0" borderId="0" xfId="5" applyFont="1" applyFill="1" applyAlignment="1">
      <alignment wrapText="1"/>
    </xf>
    <xf numFmtId="9" fontId="0" fillId="0" borderId="0" xfId="18" applyFont="1" applyBorder="1" applyAlignment="1"/>
    <xf numFmtId="1" fontId="26" fillId="0" borderId="0" xfId="2" applyNumberFormat="1" applyFont="1" applyFill="1" applyBorder="1" applyAlignment="1">
      <alignment horizontal="right" wrapText="1"/>
    </xf>
    <xf numFmtId="0" fontId="15" fillId="0" borderId="0" xfId="5" applyFill="1" applyAlignment="1">
      <alignment wrapText="1"/>
    </xf>
    <xf numFmtId="0" fontId="4" fillId="0" borderId="2" xfId="0" applyFont="1" applyBorder="1" applyAlignment="1">
      <alignment horizontal="center" wrapText="1"/>
    </xf>
    <xf numFmtId="0" fontId="27" fillId="0" borderId="0" xfId="0" applyFont="1"/>
    <xf numFmtId="0" fontId="20" fillId="12" borderId="0" xfId="8" applyFont="1" applyFill="1" applyAlignment="1">
      <alignment horizontal="left"/>
    </xf>
    <xf numFmtId="1" fontId="0" fillId="13" borderId="0" xfId="0" applyNumberFormat="1" applyFill="1"/>
    <xf numFmtId="0" fontId="27" fillId="14" borderId="2" xfId="0" applyFont="1" applyFill="1" applyBorder="1" applyAlignment="1">
      <alignment wrapText="1"/>
    </xf>
    <xf numFmtId="0" fontId="4" fillId="14" borderId="2" xfId="0" applyFont="1" applyFill="1" applyBorder="1" applyAlignment="1">
      <alignment wrapText="1"/>
    </xf>
    <xf numFmtId="0" fontId="27" fillId="14" borderId="0" xfId="0" applyFont="1" applyFill="1"/>
    <xf numFmtId="166" fontId="10" fillId="15" borderId="0" xfId="0" applyNumberFormat="1" applyFont="1" applyFill="1" applyAlignment="1">
      <alignment horizontal="left" vertical="center"/>
    </xf>
    <xf numFmtId="1" fontId="0" fillId="16" borderId="0" xfId="0" applyNumberFormat="1" applyFill="1"/>
    <xf numFmtId="0" fontId="0" fillId="16" borderId="0" xfId="0" applyFill="1"/>
    <xf numFmtId="166" fontId="10" fillId="15" borderId="2" xfId="0" applyNumberFormat="1" applyFont="1" applyFill="1" applyBorder="1" applyAlignment="1">
      <alignment horizontal="left" vertical="center"/>
    </xf>
    <xf numFmtId="1" fontId="0" fillId="15" borderId="2" xfId="0" applyNumberFormat="1" applyFill="1" applyBorder="1"/>
    <xf numFmtId="1" fontId="18" fillId="10" borderId="0" xfId="9" applyNumberFormat="1" applyBorder="1" applyAlignment="1"/>
    <xf numFmtId="1" fontId="18" fillId="10" borderId="2" xfId="9" applyNumberFormat="1" applyBorder="1" applyAlignment="1"/>
    <xf numFmtId="1" fontId="18" fillId="10" borderId="1" xfId="9" applyNumberFormat="1" applyBorder="1" applyAlignment="1"/>
    <xf numFmtId="1" fontId="18" fillId="10" borderId="9" xfId="9" applyNumberFormat="1" applyBorder="1" applyAlignment="1"/>
    <xf numFmtId="1" fontId="18" fillId="10" borderId="10" xfId="9" applyNumberFormat="1" applyBorder="1" applyAlignment="1"/>
    <xf numFmtId="1" fontId="16" fillId="8" borderId="4" xfId="6" applyNumberFormat="1" applyBorder="1" applyAlignment="1">
      <alignment horizontal="right"/>
    </xf>
    <xf numFmtId="1" fontId="18" fillId="10" borderId="4" xfId="9" applyNumberFormat="1" applyBorder="1" applyAlignment="1"/>
    <xf numFmtId="1" fontId="16" fillId="8" borderId="11" xfId="6" applyNumberFormat="1" applyBorder="1" applyAlignment="1">
      <alignment horizontal="right"/>
    </xf>
    <xf numFmtId="166" fontId="16" fillId="8" borderId="5" xfId="6" applyNumberFormat="1" applyBorder="1" applyAlignment="1">
      <alignment horizontal="right" vertical="center"/>
    </xf>
    <xf numFmtId="1" fontId="16" fillId="8" borderId="19" xfId="6" applyNumberFormat="1" applyBorder="1" applyAlignment="1">
      <alignment horizontal="right"/>
    </xf>
    <xf numFmtId="1" fontId="16" fillId="8" borderId="20" xfId="6" applyNumberFormat="1" applyBorder="1" applyAlignment="1">
      <alignment horizontal="right"/>
    </xf>
    <xf numFmtId="1" fontId="16" fillId="8" borderId="21" xfId="6" applyNumberFormat="1" applyBorder="1" applyAlignment="1">
      <alignment horizontal="right"/>
    </xf>
    <xf numFmtId="1" fontId="16" fillId="8" borderId="22" xfId="6" applyNumberFormat="1" applyBorder="1" applyAlignment="1">
      <alignment horizontal="right"/>
    </xf>
    <xf numFmtId="166" fontId="10" fillId="16" borderId="6" xfId="0" applyNumberFormat="1" applyFont="1" applyFill="1" applyBorder="1" applyAlignment="1">
      <alignment horizontal="left" vertical="center"/>
    </xf>
    <xf numFmtId="166" fontId="10" fillId="16" borderId="12" xfId="0" applyNumberFormat="1" applyFont="1" applyFill="1" applyBorder="1" applyAlignment="1">
      <alignment horizontal="left" vertical="center"/>
    </xf>
    <xf numFmtId="166" fontId="10" fillId="15" borderId="6" xfId="0" applyNumberFormat="1" applyFont="1" applyFill="1" applyBorder="1" applyAlignment="1">
      <alignment horizontal="left" vertical="center"/>
    </xf>
    <xf numFmtId="166" fontId="10" fillId="15" borderId="12" xfId="0" applyNumberFormat="1" applyFont="1" applyFill="1" applyBorder="1" applyAlignment="1">
      <alignment horizontal="left" vertical="center"/>
    </xf>
    <xf numFmtId="166" fontId="10" fillId="15" borderId="7" xfId="0" applyNumberFormat="1" applyFont="1" applyFill="1" applyBorder="1" applyAlignment="1">
      <alignment horizontal="left" vertical="center"/>
    </xf>
    <xf numFmtId="166" fontId="10" fillId="15" borderId="9" xfId="0" applyNumberFormat="1" applyFont="1" applyFill="1" applyBorder="1" applyAlignment="1">
      <alignment horizontal="left" vertical="center"/>
    </xf>
    <xf numFmtId="166" fontId="10" fillId="15" borderId="10" xfId="0" applyNumberFormat="1" applyFont="1" applyFill="1" applyBorder="1" applyAlignment="1">
      <alignment horizontal="left" vertical="center"/>
    </xf>
    <xf numFmtId="166" fontId="10" fillId="15" borderId="1" xfId="0" applyNumberFormat="1" applyFont="1" applyFill="1" applyBorder="1" applyAlignment="1">
      <alignment horizontal="left" vertical="center"/>
    </xf>
    <xf numFmtId="166" fontId="10" fillId="15" borderId="13" xfId="0" applyNumberFormat="1" applyFont="1" applyFill="1" applyBorder="1" applyAlignment="1">
      <alignment horizontal="left" vertical="center"/>
    </xf>
    <xf numFmtId="166" fontId="10" fillId="15" borderId="14" xfId="0" applyNumberFormat="1" applyFont="1" applyFill="1" applyBorder="1" applyAlignment="1">
      <alignment horizontal="left" vertical="center"/>
    </xf>
    <xf numFmtId="166" fontId="10" fillId="15" borderId="15" xfId="0" applyNumberFormat="1" applyFont="1" applyFill="1" applyBorder="1" applyAlignment="1">
      <alignment horizontal="left" vertical="center"/>
    </xf>
    <xf numFmtId="166" fontId="10" fillId="15" borderId="16" xfId="0" applyNumberFormat="1" applyFont="1" applyFill="1" applyBorder="1" applyAlignment="1">
      <alignment horizontal="left" vertical="center"/>
    </xf>
    <xf numFmtId="0" fontId="4" fillId="14" borderId="17" xfId="0" applyFont="1" applyFill="1" applyBorder="1" applyAlignment="1">
      <alignment wrapText="1"/>
    </xf>
    <xf numFmtId="0" fontId="23" fillId="0" borderId="5" xfId="0" applyFont="1" applyBorder="1" applyAlignment="1">
      <alignment horizontal="center"/>
    </xf>
    <xf numFmtId="166" fontId="10" fillId="15" borderId="1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wrapText="1"/>
    </xf>
    <xf numFmtId="166" fontId="10" fillId="15" borderId="7" xfId="0" applyNumberFormat="1" applyFont="1" applyFill="1" applyBorder="1" applyAlignment="1">
      <alignment horizontal="center" vertical="center"/>
    </xf>
    <xf numFmtId="0" fontId="27" fillId="14" borderId="17" xfId="0" applyFont="1" applyFill="1" applyBorder="1" applyAlignment="1">
      <alignment wrapText="1"/>
    </xf>
    <xf numFmtId="0" fontId="27" fillId="14" borderId="11" xfId="0" applyFont="1" applyFill="1" applyBorder="1" applyAlignment="1">
      <alignment wrapText="1"/>
    </xf>
    <xf numFmtId="0" fontId="27" fillId="14" borderId="5" xfId="0" applyFont="1" applyFill="1" applyBorder="1" applyAlignment="1">
      <alignment wrapText="1"/>
    </xf>
    <xf numFmtId="9" fontId="18" fillId="10" borderId="0" xfId="18" applyFont="1" applyFill="1" applyBorder="1" applyAlignment="1"/>
    <xf numFmtId="166" fontId="16" fillId="8" borderId="17" xfId="6" applyNumberFormat="1" applyBorder="1" applyAlignment="1">
      <alignment horizontal="right" vertical="center"/>
    </xf>
    <xf numFmtId="166" fontId="16" fillId="8" borderId="4" xfId="6" applyNumberFormat="1" applyBorder="1" applyAlignment="1">
      <alignment horizontal="right" vertical="center"/>
    </xf>
    <xf numFmtId="166" fontId="16" fillId="8" borderId="11" xfId="6" applyNumberFormat="1" applyBorder="1" applyAlignment="1">
      <alignment horizontal="right" vertical="center"/>
    </xf>
    <xf numFmtId="9" fontId="18" fillId="10" borderId="4" xfId="18" applyFont="1" applyFill="1" applyBorder="1" applyAlignment="1"/>
    <xf numFmtId="9" fontId="18" fillId="10" borderId="11" xfId="18" applyFont="1" applyFill="1" applyBorder="1" applyAlignment="1"/>
    <xf numFmtId="9" fontId="18" fillId="10" borderId="1" xfId="18" applyFont="1" applyFill="1" applyBorder="1" applyAlignment="1"/>
    <xf numFmtId="9" fontId="18" fillId="10" borderId="17" xfId="18" applyFont="1" applyFill="1" applyBorder="1" applyAlignment="1"/>
    <xf numFmtId="9" fontId="18" fillId="10" borderId="10" xfId="18" applyFont="1" applyFill="1" applyBorder="1" applyAlignment="1"/>
    <xf numFmtId="9" fontId="18" fillId="10" borderId="9" xfId="18" applyFont="1" applyFill="1" applyBorder="1" applyAlignment="1"/>
    <xf numFmtId="166" fontId="10" fillId="13" borderId="6" xfId="0" applyNumberFormat="1" applyFont="1" applyFill="1" applyBorder="1" applyAlignment="1">
      <alignment horizontal="left" vertical="center"/>
    </xf>
    <xf numFmtId="166" fontId="10" fillId="13" borderId="12" xfId="0" applyNumberFormat="1" applyFont="1" applyFill="1" applyBorder="1" applyAlignment="1">
      <alignment horizontal="left" vertical="center"/>
    </xf>
    <xf numFmtId="166" fontId="10" fillId="13" borderId="7" xfId="0" applyNumberFormat="1" applyFont="1" applyFill="1" applyBorder="1" applyAlignment="1">
      <alignment horizontal="left" vertical="center"/>
    </xf>
    <xf numFmtId="0" fontId="28" fillId="7" borderId="2" xfId="5" applyFont="1" applyBorder="1" applyAlignment="1">
      <alignment horizontal="left" vertical="center"/>
    </xf>
    <xf numFmtId="0" fontId="28" fillId="6" borderId="2" xfId="4" applyFont="1" applyBorder="1" applyAlignment="1">
      <alignment horizontal="left" vertical="center"/>
    </xf>
    <xf numFmtId="1" fontId="0" fillId="17" borderId="0" xfId="0" applyNumberFormat="1" applyFill="1"/>
    <xf numFmtId="0" fontId="0" fillId="17" borderId="0" xfId="0" applyFill="1"/>
    <xf numFmtId="2" fontId="0" fillId="17" borderId="0" xfId="0" applyNumberFormat="1" applyFill="1"/>
    <xf numFmtId="2" fontId="0" fillId="16" borderId="0" xfId="0" applyNumberFormat="1" applyFill="1"/>
    <xf numFmtId="0" fontId="5" fillId="16" borderId="0" xfId="11" applyFill="1"/>
    <xf numFmtId="2" fontId="5" fillId="16" borderId="0" xfId="11" applyNumberFormat="1" applyFill="1"/>
    <xf numFmtId="0" fontId="29" fillId="0" borderId="0" xfId="0" applyFont="1"/>
    <xf numFmtId="0" fontId="4" fillId="18" borderId="0" xfId="0" applyFont="1" applyFill="1"/>
    <xf numFmtId="0" fontId="4" fillId="2" borderId="1" xfId="13" applyFont="1" applyFill="1" applyBorder="1" applyAlignment="1">
      <alignment horizontal="center" vertical="center" wrapText="1"/>
    </xf>
    <xf numFmtId="0" fontId="22" fillId="3" borderId="1" xfId="1" applyFont="1" applyBorder="1" applyAlignment="1">
      <alignment horizontal="center" wrapText="1"/>
    </xf>
    <xf numFmtId="0" fontId="22" fillId="3" borderId="8" xfId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0" xfId="13" applyFont="1" applyAlignment="1">
      <alignment horizontal="center" wrapText="1"/>
    </xf>
    <xf numFmtId="0" fontId="15" fillId="5" borderId="0" xfId="3"/>
    <xf numFmtId="166" fontId="9" fillId="0" borderId="17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11" xfId="0" applyBorder="1"/>
    <xf numFmtId="166" fontId="10" fillId="13" borderId="10" xfId="0" applyNumberFormat="1" applyFont="1" applyFill="1" applyBorder="1" applyAlignment="1">
      <alignment horizontal="left" vertical="center"/>
    </xf>
    <xf numFmtId="1" fontId="4" fillId="13" borderId="14" xfId="0" applyNumberFormat="1" applyFont="1" applyFill="1" applyBorder="1"/>
    <xf numFmtId="166" fontId="9" fillId="0" borderId="15" xfId="0" applyNumberFormat="1" applyFont="1" applyBorder="1" applyAlignment="1">
      <alignment horizontal="left" vertical="center"/>
    </xf>
    <xf numFmtId="0" fontId="4" fillId="0" borderId="16" xfId="0" applyFont="1" applyBorder="1"/>
    <xf numFmtId="1" fontId="4" fillId="16" borderId="14" xfId="0" applyNumberFormat="1" applyFont="1" applyFill="1" applyBorder="1"/>
    <xf numFmtId="1" fontId="0" fillId="15" borderId="0" xfId="0" applyNumberFormat="1" applyFill="1"/>
    <xf numFmtId="0" fontId="0" fillId="15" borderId="0" xfId="0" applyFill="1"/>
    <xf numFmtId="1" fontId="4" fillId="15" borderId="14" xfId="0" applyNumberFormat="1" applyFont="1" applyFill="1" applyBorder="1"/>
    <xf numFmtId="1" fontId="4" fillId="15" borderId="16" xfId="0" applyNumberFormat="1" applyFont="1" applyFill="1" applyBorder="1"/>
    <xf numFmtId="0" fontId="0" fillId="0" borderId="16" xfId="0" applyBorder="1"/>
    <xf numFmtId="0" fontId="22" fillId="3" borderId="4" xfId="1" applyFont="1" applyBorder="1" applyAlignment="1">
      <alignment horizontal="left" wrapText="1"/>
    </xf>
    <xf numFmtId="165" fontId="5" fillId="16" borderId="0" xfId="11" applyNumberFormat="1" applyFill="1"/>
    <xf numFmtId="168" fontId="6" fillId="0" borderId="0" xfId="0" applyNumberFormat="1" applyFont="1"/>
    <xf numFmtId="168" fontId="4" fillId="2" borderId="1" xfId="0" applyNumberFormat="1" applyFont="1" applyFill="1" applyBorder="1" applyAlignment="1">
      <alignment horizontal="left"/>
    </xf>
    <xf numFmtId="168" fontId="4" fillId="2" borderId="4" xfId="0" applyNumberFormat="1" applyFont="1" applyFill="1" applyBorder="1" applyAlignment="1">
      <alignment horizontal="left"/>
    </xf>
    <xf numFmtId="168" fontId="22" fillId="3" borderId="3" xfId="1" applyNumberFormat="1" applyFont="1" applyBorder="1" applyAlignment="1">
      <alignment horizontal="left" wrapText="1"/>
    </xf>
    <xf numFmtId="168" fontId="0" fillId="0" borderId="0" xfId="0" applyNumberFormat="1"/>
    <xf numFmtId="168" fontId="22" fillId="3" borderId="3" xfId="1" applyNumberFormat="1" applyFont="1" applyBorder="1" applyAlignment="1">
      <alignment horizontal="center" wrapText="1"/>
    </xf>
    <xf numFmtId="168" fontId="0" fillId="0" borderId="0" xfId="0" applyNumberFormat="1" applyAlignment="1">
      <alignment wrapText="1"/>
    </xf>
    <xf numFmtId="0" fontId="30" fillId="18" borderId="23" xfId="15" applyFont="1" applyFill="1" applyBorder="1" applyAlignment="1">
      <alignment horizontal="center" vertical="center" wrapText="1"/>
    </xf>
    <xf numFmtId="0" fontId="30" fillId="18" borderId="24" xfId="15" applyFont="1" applyFill="1" applyBorder="1" applyAlignment="1">
      <alignment horizontal="center" vertical="center" wrapText="1"/>
    </xf>
    <xf numFmtId="0" fontId="30" fillId="18" borderId="25" xfId="15" applyFont="1" applyFill="1" applyBorder="1" applyAlignment="1">
      <alignment horizontal="center" vertical="center" wrapText="1"/>
    </xf>
    <xf numFmtId="0" fontId="30" fillId="19" borderId="25" xfId="15" applyFont="1" applyFill="1" applyBorder="1" applyAlignment="1">
      <alignment horizontal="center" vertical="center" wrapText="1"/>
    </xf>
    <xf numFmtId="0" fontId="30" fillId="18" borderId="26" xfId="15" applyFont="1" applyFill="1" applyBorder="1" applyAlignment="1">
      <alignment horizontal="center" vertical="center" wrapText="1"/>
    </xf>
    <xf numFmtId="0" fontId="14" fillId="0" borderId="0" xfId="15"/>
    <xf numFmtId="0" fontId="14" fillId="0" borderId="27" xfId="15" applyBorder="1"/>
    <xf numFmtId="0" fontId="14" fillId="0" borderId="11" xfId="15" applyBorder="1"/>
    <xf numFmtId="0" fontId="14" fillId="0" borderId="5" xfId="15" applyBorder="1"/>
    <xf numFmtId="0" fontId="14" fillId="0" borderId="5" xfId="15" applyBorder="1" applyAlignment="1">
      <alignment horizontal="right"/>
    </xf>
    <xf numFmtId="0" fontId="14" fillId="0" borderId="28" xfId="15" applyBorder="1"/>
    <xf numFmtId="0" fontId="14" fillId="0" borderId="5" xfId="15" applyBorder="1" applyAlignment="1">
      <alignment vertical="center"/>
    </xf>
    <xf numFmtId="0" fontId="14" fillId="12" borderId="5" xfId="15" applyFill="1" applyBorder="1"/>
    <xf numFmtId="0" fontId="14" fillId="19" borderId="5" xfId="15" applyFill="1" applyBorder="1"/>
    <xf numFmtId="9" fontId="0" fillId="0" borderId="0" xfId="18" applyFont="1"/>
    <xf numFmtId="0" fontId="2" fillId="0" borderId="0" xfId="30"/>
    <xf numFmtId="0" fontId="32" fillId="20" borderId="0" xfId="30" quotePrefix="1" applyFont="1" applyFill="1"/>
    <xf numFmtId="0" fontId="32" fillId="0" borderId="0" xfId="30" quotePrefix="1" applyFont="1"/>
    <xf numFmtId="0" fontId="6" fillId="0" borderId="0" xfId="30" applyFont="1" applyAlignment="1">
      <alignment horizontal="left"/>
    </xf>
    <xf numFmtId="0" fontId="32" fillId="0" borderId="0" xfId="30" applyFont="1"/>
    <xf numFmtId="0" fontId="4" fillId="2" borderId="3" xfId="31" applyFont="1" applyFill="1" applyBorder="1" applyAlignment="1">
      <alignment horizontal="left" vertical="center"/>
    </xf>
    <xf numFmtId="2" fontId="2" fillId="16" borderId="0" xfId="30" applyNumberFormat="1" applyFill="1"/>
    <xf numFmtId="0" fontId="2" fillId="16" borderId="0" xfId="30" applyFill="1"/>
    <xf numFmtId="0" fontId="2" fillId="17" borderId="0" xfId="30" applyFill="1"/>
    <xf numFmtId="168" fontId="2" fillId="0" borderId="0" xfId="0" applyNumberFormat="1" applyFont="1"/>
    <xf numFmtId="0" fontId="2" fillId="0" borderId="0" xfId="0" applyFont="1"/>
    <xf numFmtId="0" fontId="2" fillId="0" borderId="0" xfId="10" applyFont="1" applyFill="1"/>
    <xf numFmtId="2" fontId="2" fillId="0" borderId="0" xfId="0" applyNumberFormat="1" applyFont="1"/>
    <xf numFmtId="9" fontId="2" fillId="16" borderId="9" xfId="18" applyFont="1" applyFill="1" applyBorder="1" applyAlignment="1"/>
    <xf numFmtId="9" fontId="2" fillId="16" borderId="1" xfId="18" applyFont="1" applyFill="1" applyBorder="1" applyAlignment="1"/>
    <xf numFmtId="9" fontId="2" fillId="16" borderId="10" xfId="18" applyFont="1" applyFill="1" applyBorder="1" applyAlignment="1"/>
    <xf numFmtId="9" fontId="2" fillId="16" borderId="0" xfId="18" applyFont="1" applyFill="1" applyBorder="1" applyAlignment="1"/>
    <xf numFmtId="9" fontId="2" fillId="16" borderId="15" xfId="18" applyFont="1" applyFill="1" applyBorder="1" applyAlignment="1"/>
    <xf numFmtId="9" fontId="2" fillId="16" borderId="2" xfId="18" applyFont="1" applyFill="1" applyBorder="1" applyAlignment="1"/>
    <xf numFmtId="9" fontId="2" fillId="15" borderId="9" xfId="18" applyFont="1" applyFill="1" applyBorder="1" applyAlignment="1"/>
    <xf numFmtId="9" fontId="2" fillId="15" borderId="1" xfId="18" applyFont="1" applyFill="1" applyBorder="1" applyAlignment="1"/>
    <xf numFmtId="9" fontId="2" fillId="15" borderId="10" xfId="18" applyFont="1" applyFill="1" applyBorder="1" applyAlignment="1"/>
    <xf numFmtId="9" fontId="2" fillId="15" borderId="0" xfId="18" applyFont="1" applyFill="1" applyBorder="1" applyAlignment="1"/>
    <xf numFmtId="9" fontId="2" fillId="15" borderId="15" xfId="18" applyFont="1" applyFill="1" applyBorder="1" applyAlignment="1"/>
    <xf numFmtId="9" fontId="2" fillId="15" borderId="2" xfId="18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16" borderId="0" xfId="10" applyFont="1" applyFill="1"/>
    <xf numFmtId="2" fontId="2" fillId="16" borderId="0" xfId="0" applyNumberFormat="1" applyFont="1" applyFill="1"/>
    <xf numFmtId="1" fontId="2" fillId="17" borderId="0" xfId="0" applyNumberFormat="1" applyFont="1" applyFill="1"/>
    <xf numFmtId="1" fontId="2" fillId="0" borderId="0" xfId="0" applyNumberFormat="1" applyFont="1"/>
    <xf numFmtId="2" fontId="2" fillId="0" borderId="0" xfId="10" applyNumberFormat="1" applyFont="1" applyFill="1"/>
    <xf numFmtId="2" fontId="2" fillId="16" borderId="0" xfId="10" applyNumberFormat="1" applyFont="1" applyFill="1"/>
    <xf numFmtId="0" fontId="0" fillId="21" borderId="0" xfId="0" applyFill="1"/>
    <xf numFmtId="165" fontId="5" fillId="0" borderId="0" xfId="11" applyNumberFormat="1"/>
    <xf numFmtId="0" fontId="2" fillId="0" borderId="0" xfId="11" applyFont="1"/>
    <xf numFmtId="2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36" fillId="23" borderId="5" xfId="0" applyFont="1" applyFill="1" applyBorder="1" applyAlignment="1">
      <alignment wrapText="1"/>
    </xf>
    <xf numFmtId="0" fontId="36" fillId="23" borderId="11" xfId="0" applyFont="1" applyFill="1" applyBorder="1" applyAlignment="1">
      <alignment wrapText="1"/>
    </xf>
    <xf numFmtId="0" fontId="4" fillId="24" borderId="7" xfId="0" applyFont="1" applyFill="1" applyBorder="1" applyAlignment="1">
      <alignment wrapText="1"/>
    </xf>
    <xf numFmtId="0" fontId="4" fillId="24" borderId="16" xfId="0" applyFont="1" applyFill="1" applyBorder="1" applyAlignment="1">
      <alignment wrapText="1"/>
    </xf>
    <xf numFmtId="0" fontId="37" fillId="0" borderId="7" xfId="0" applyFont="1" applyBorder="1" applyAlignment="1">
      <alignment wrapText="1"/>
    </xf>
    <xf numFmtId="0" fontId="37" fillId="0" borderId="16" xfId="0" applyFont="1" applyBorder="1" applyAlignment="1">
      <alignment wrapText="1"/>
    </xf>
    <xf numFmtId="3" fontId="37" fillId="0" borderId="16" xfId="0" applyNumberFormat="1" applyFont="1" applyBorder="1" applyAlignment="1">
      <alignment wrapText="1"/>
    </xf>
    <xf numFmtId="0" fontId="2" fillId="16" borderId="0" xfId="10" quotePrefix="1" applyFont="1" applyFill="1"/>
    <xf numFmtId="165" fontId="0" fillId="17" borderId="0" xfId="0" applyNumberFormat="1" applyFill="1"/>
    <xf numFmtId="165" fontId="0" fillId="0" borderId="0" xfId="0" applyNumberFormat="1"/>
    <xf numFmtId="0" fontId="4" fillId="0" borderId="1" xfId="13" applyFont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left" wrapText="1"/>
    </xf>
    <xf numFmtId="0" fontId="22" fillId="0" borderId="3" xfId="1" applyFont="1" applyFill="1" applyBorder="1" applyAlignment="1">
      <alignment horizontal="center" wrapText="1"/>
    </xf>
    <xf numFmtId="0" fontId="1" fillId="0" borderId="5" xfId="15" applyFont="1" applyBorder="1"/>
    <xf numFmtId="2" fontId="5" fillId="0" borderId="0" xfId="11" applyNumberFormat="1"/>
    <xf numFmtId="170" fontId="0" fillId="0" borderId="0" xfId="0" applyNumberFormat="1"/>
    <xf numFmtId="0" fontId="35" fillId="22" borderId="0" xfId="0" applyFont="1" applyFill="1" applyAlignment="1">
      <alignment wrapText="1"/>
    </xf>
    <xf numFmtId="0" fontId="38" fillId="22" borderId="0" xfId="0" applyFont="1" applyFill="1" applyAlignment="1">
      <alignment wrapText="1"/>
    </xf>
    <xf numFmtId="0" fontId="1" fillId="0" borderId="0" xfId="15" applyFont="1"/>
  </cellXfs>
  <cellStyles count="32">
    <cellStyle name="20% - Accent5" xfId="1" builtinId="46"/>
    <cellStyle name="40% - Accent3" xfId="2" builtinId="39"/>
    <cellStyle name="60% - Accent2" xfId="3" builtinId="36"/>
    <cellStyle name="Accent1" xfId="4" builtinId="29"/>
    <cellStyle name="Accent2" xfId="5" builtinId="33"/>
    <cellStyle name="Calculation" xfId="6" builtinId="22"/>
    <cellStyle name="Comma 2" xfId="7" xr:uid="{00000000-0005-0000-0000-000006000000}"/>
    <cellStyle name="Good" xfId="8" builtinId="26"/>
    <cellStyle name="Input" xfId="9" builtinId="20"/>
    <cellStyle name="Neutral" xfId="10" builtinId="28"/>
    <cellStyle name="Normal" xfId="0" builtinId="0"/>
    <cellStyle name="Normal 10" xfId="11" xr:uid="{00000000-0005-0000-0000-00000B000000}"/>
    <cellStyle name="Normal 10 2" xfId="30" xr:uid="{2CA8CA68-5C08-A445-9C20-36C9AE4B1461}"/>
    <cellStyle name="Normal 2" xfId="12" xr:uid="{00000000-0005-0000-0000-00000C000000}"/>
    <cellStyle name="Normal 3" xfId="29" xr:uid="{2FE349FC-0327-E04F-A09B-68995A5E66DB}"/>
    <cellStyle name="Normal 4" xfId="13" xr:uid="{00000000-0005-0000-0000-00000D000000}"/>
    <cellStyle name="Normal 4 2" xfId="14" xr:uid="{00000000-0005-0000-0000-00000E000000}"/>
    <cellStyle name="Normal 4 3" xfId="31" xr:uid="{48D3BCDB-F188-B647-BCAB-F6C15192C4FE}"/>
    <cellStyle name="Normal 8" xfId="15" xr:uid="{00000000-0005-0000-0000-00000F000000}"/>
    <cellStyle name="Normal 9 2" xfId="16" xr:uid="{00000000-0005-0000-0000-000010000000}"/>
    <cellStyle name="Normale_B2020" xfId="17" xr:uid="{00000000-0005-0000-0000-000011000000}"/>
    <cellStyle name="Percent" xfId="18" builtinId="5"/>
    <cellStyle name="Percent 2" xfId="19" xr:uid="{00000000-0005-0000-0000-000013000000}"/>
    <cellStyle name="Percent 3" xfId="20" xr:uid="{00000000-0005-0000-0000-000014000000}"/>
    <cellStyle name="Percent 3 2" xfId="21" xr:uid="{00000000-0005-0000-0000-000015000000}"/>
    <cellStyle name="Percent 3 3" xfId="22" xr:uid="{00000000-0005-0000-0000-000016000000}"/>
    <cellStyle name="Percent 4" xfId="23" xr:uid="{00000000-0005-0000-0000-000017000000}"/>
    <cellStyle name="Percent 4 2" xfId="24" xr:uid="{00000000-0005-0000-0000-000018000000}"/>
    <cellStyle name="Percent 4 3" xfId="25" xr:uid="{00000000-0005-0000-0000-000019000000}"/>
    <cellStyle name="Percent 5" xfId="26" xr:uid="{00000000-0005-0000-0000-00001A000000}"/>
    <cellStyle name="Percent 6" xfId="27" xr:uid="{00000000-0005-0000-0000-00001B000000}"/>
    <cellStyle name="Standard_Sce_D_Extraction" xfId="28" xr:uid="{00000000-0005-0000-0000-00001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3.xml"/><Relationship Id="rId34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24.xml"/><Relationship Id="rId47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32.xml"/><Relationship Id="rId55" Type="http://schemas.openxmlformats.org/officeDocument/2006/relationships/externalLink" Target="externalLinks/externalLink37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1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32" Type="http://schemas.openxmlformats.org/officeDocument/2006/relationships/externalLink" Target="externalLinks/externalLink14.xml"/><Relationship Id="rId37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22.xml"/><Relationship Id="rId45" Type="http://schemas.openxmlformats.org/officeDocument/2006/relationships/externalLink" Target="externalLinks/externalLink27.xml"/><Relationship Id="rId53" Type="http://schemas.openxmlformats.org/officeDocument/2006/relationships/externalLink" Target="externalLinks/externalLink35.xml"/><Relationship Id="rId58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externalLink" Target="externalLinks/externalLink9.xml"/><Relationship Id="rId30" Type="http://schemas.openxmlformats.org/officeDocument/2006/relationships/externalLink" Target="externalLinks/externalLink12.xml"/><Relationship Id="rId35" Type="http://schemas.openxmlformats.org/officeDocument/2006/relationships/externalLink" Target="externalLinks/externalLink17.xml"/><Relationship Id="rId43" Type="http://schemas.openxmlformats.org/officeDocument/2006/relationships/externalLink" Target="externalLinks/externalLink25.xml"/><Relationship Id="rId48" Type="http://schemas.openxmlformats.org/officeDocument/2006/relationships/externalLink" Target="externalLinks/externalLink30.xml"/><Relationship Id="rId56" Type="http://schemas.openxmlformats.org/officeDocument/2006/relationships/externalLink" Target="externalLinks/externalLink3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7.xml"/><Relationship Id="rId33" Type="http://schemas.openxmlformats.org/officeDocument/2006/relationships/externalLink" Target="externalLinks/externalLink15.xml"/><Relationship Id="rId38" Type="http://schemas.openxmlformats.org/officeDocument/2006/relationships/externalLink" Target="externalLinks/externalLink20.xml"/><Relationship Id="rId46" Type="http://schemas.openxmlformats.org/officeDocument/2006/relationships/externalLink" Target="externalLinks/externalLink28.xml"/><Relationship Id="rId59" Type="http://schemas.openxmlformats.org/officeDocument/2006/relationships/theme" Target="theme/theme1.xml"/><Relationship Id="rId20" Type="http://schemas.openxmlformats.org/officeDocument/2006/relationships/externalLink" Target="externalLinks/externalLink2.xml"/><Relationship Id="rId41" Type="http://schemas.openxmlformats.org/officeDocument/2006/relationships/externalLink" Target="externalLinks/externalLink23.xml"/><Relationship Id="rId54" Type="http://schemas.openxmlformats.org/officeDocument/2006/relationships/externalLink" Target="externalLinks/externalLink36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externalLink" Target="externalLinks/externalLink10.xml"/><Relationship Id="rId36" Type="http://schemas.openxmlformats.org/officeDocument/2006/relationships/externalLink" Target="externalLinks/externalLink18.xml"/><Relationship Id="rId49" Type="http://schemas.openxmlformats.org/officeDocument/2006/relationships/externalLink" Target="externalLinks/externalLink31.xml"/><Relationship Id="rId57" Type="http://schemas.openxmlformats.org/officeDocument/2006/relationships/externalLink" Target="externalLinks/externalLink39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3.xml"/><Relationship Id="rId44" Type="http://schemas.openxmlformats.org/officeDocument/2006/relationships/externalLink" Target="externalLinks/externalLink26.xml"/><Relationship Id="rId52" Type="http://schemas.openxmlformats.org/officeDocument/2006/relationships/externalLink" Target="externalLinks/externalLink34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703367</xdr:colOff>
      <xdr:row>26</xdr:row>
      <xdr:rowOff>11430</xdr:rowOff>
    </xdr:from>
    <xdr:to>
      <xdr:col>11</xdr:col>
      <xdr:colOff>703367</xdr:colOff>
      <xdr:row>31</xdr:row>
      <xdr:rowOff>150451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19B0F3-9E92-4A9B-AE24-0105FB420170}"/>
            </a:ext>
          </a:extLst>
        </xdr:cNvPr>
        <xdr:cNvSpPr txBox="1"/>
      </xdr:nvSpPr>
      <xdr:spPr>
        <a:xfrm>
          <a:off x="5133974" y="4802717"/>
          <a:ext cx="4327525" cy="958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3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7</xdr:col>
      <xdr:colOff>24340</xdr:colOff>
      <xdr:row>33</xdr:row>
      <xdr:rowOff>158539</xdr:rowOff>
    </xdr:from>
    <xdr:to>
      <xdr:col>13</xdr:col>
      <xdr:colOff>31752</xdr:colOff>
      <xdr:row>38</xdr:row>
      <xdr:rowOff>36830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C98419-8591-42DD-9F14-4D5137934415}"/>
            </a:ext>
          </a:extLst>
        </xdr:cNvPr>
        <xdr:cNvSpPr txBox="1"/>
      </xdr:nvSpPr>
      <xdr:spPr>
        <a:xfrm>
          <a:off x="5888565" y="6091767"/>
          <a:ext cx="4334935" cy="67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0</xdr:rowOff>
    </xdr:from>
    <xdr:to>
      <xdr:col>12</xdr:col>
      <xdr:colOff>73025</xdr:colOff>
      <xdr:row>31</xdr:row>
      <xdr:rowOff>140960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06E4C3-EC8D-47E4-B095-0417D8265A09}"/>
            </a:ext>
          </a:extLst>
        </xdr:cNvPr>
        <xdr:cNvSpPr txBox="1"/>
      </xdr:nvSpPr>
      <xdr:spPr>
        <a:xfrm>
          <a:off x="5122333" y="4783667"/>
          <a:ext cx="4327525" cy="958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6</xdr:col>
      <xdr:colOff>684108</xdr:colOff>
      <xdr:row>33</xdr:row>
      <xdr:rowOff>146262</xdr:rowOff>
    </xdr:from>
    <xdr:to>
      <xdr:col>13</xdr:col>
      <xdr:colOff>66851</xdr:colOff>
      <xdr:row>38</xdr:row>
      <xdr:rowOff>27477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6B46794-4199-4F1A-A590-4009F1265AF3}"/>
            </a:ext>
          </a:extLst>
        </xdr:cNvPr>
        <xdr:cNvSpPr txBox="1"/>
      </xdr:nvSpPr>
      <xdr:spPr>
        <a:xfrm>
          <a:off x="5810251" y="6074834"/>
          <a:ext cx="4334935" cy="67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0</xdr:rowOff>
    </xdr:from>
    <xdr:to>
      <xdr:col>12</xdr:col>
      <xdr:colOff>0</xdr:colOff>
      <xdr:row>31</xdr:row>
      <xdr:rowOff>128221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4833DF-AF29-4AB3-A23F-692722A042F6}"/>
            </a:ext>
          </a:extLst>
        </xdr:cNvPr>
        <xdr:cNvSpPr txBox="1"/>
      </xdr:nvSpPr>
      <xdr:spPr>
        <a:xfrm>
          <a:off x="5090583" y="4783667"/>
          <a:ext cx="4254500" cy="946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13</xdr:col>
      <xdr:colOff>0</xdr:colOff>
      <xdr:row>38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B8E161-5E7B-4A42-A624-F44E51B7F8EF}"/>
            </a:ext>
          </a:extLst>
        </xdr:cNvPr>
        <xdr:cNvSpPr txBox="1"/>
      </xdr:nvSpPr>
      <xdr:spPr>
        <a:xfrm>
          <a:off x="5799667" y="6085417"/>
          <a:ext cx="4254500" cy="660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21</xdr:row>
      <xdr:rowOff>9525</xdr:rowOff>
    </xdr:from>
    <xdr:to>
      <xdr:col>2</xdr:col>
      <xdr:colOff>295275</xdr:colOff>
      <xdr:row>34</xdr:row>
      <xdr:rowOff>142875</xdr:rowOff>
    </xdr:to>
    <xdr:pic>
      <xdr:nvPicPr>
        <xdr:cNvPr id="53793" name="Picture 6">
          <a:extLst>
            <a:ext uri="{FF2B5EF4-FFF2-40B4-BE49-F238E27FC236}">
              <a16:creationId xmlns:a16="http://schemas.microsoft.com/office/drawing/2014/main" id="{23F720F5-1E8C-4962-BF50-7F5521AC0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96227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17</xdr:col>
      <xdr:colOff>561975</xdr:colOff>
      <xdr:row>142</xdr:row>
      <xdr:rowOff>133350</xdr:rowOff>
    </xdr:to>
    <xdr:pic>
      <xdr:nvPicPr>
        <xdr:cNvPr id="53794" name="Picture 8">
          <a:extLst>
            <a:ext uri="{FF2B5EF4-FFF2-40B4-BE49-F238E27FC236}">
              <a16:creationId xmlns:a16="http://schemas.microsoft.com/office/drawing/2014/main" id="{EBF6DA68-7CAD-4A7C-9243-1D69AF02F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0774025"/>
          <a:ext cx="40862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28575</xdr:colOff>
      <xdr:row>21</xdr:row>
      <xdr:rowOff>38100</xdr:rowOff>
    </xdr:from>
    <xdr:to>
      <xdr:col>25</xdr:col>
      <xdr:colOff>209550</xdr:colOff>
      <xdr:row>31</xdr:row>
      <xdr:rowOff>152400</xdr:rowOff>
    </xdr:to>
    <xdr:pic>
      <xdr:nvPicPr>
        <xdr:cNvPr id="53795" name="Picture 3">
          <a:extLst>
            <a:ext uri="{FF2B5EF4-FFF2-40B4-BE49-F238E27FC236}">
              <a16:creationId xmlns:a16="http://schemas.microsoft.com/office/drawing/2014/main" id="{6B8CED76-B921-41BC-A136-C543542B2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990850"/>
          <a:ext cx="2619375" cy="173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38100</xdr:colOff>
      <xdr:row>33</xdr:row>
      <xdr:rowOff>9525</xdr:rowOff>
    </xdr:from>
    <xdr:to>
      <xdr:col>25</xdr:col>
      <xdr:colOff>352425</xdr:colOff>
      <xdr:row>43</xdr:row>
      <xdr:rowOff>28575</xdr:rowOff>
    </xdr:to>
    <xdr:pic>
      <xdr:nvPicPr>
        <xdr:cNvPr id="53796" name="Picture 21">
          <a:extLst>
            <a:ext uri="{FF2B5EF4-FFF2-40B4-BE49-F238E27FC236}">
              <a16:creationId xmlns:a16="http://schemas.microsoft.com/office/drawing/2014/main" id="{A4EAF4F4-E549-4CBA-9723-10E69789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4905375"/>
          <a:ext cx="2752725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20</xdr:col>
      <xdr:colOff>161925</xdr:colOff>
      <xdr:row>39</xdr:row>
      <xdr:rowOff>19050</xdr:rowOff>
    </xdr:to>
    <xdr:pic>
      <xdr:nvPicPr>
        <xdr:cNvPr id="53797" name="Picture 14">
          <a:extLst>
            <a:ext uri="{FF2B5EF4-FFF2-40B4-BE49-F238E27FC236}">
              <a16:creationId xmlns:a16="http://schemas.microsoft.com/office/drawing/2014/main" id="{8977A6E5-F6F8-49BE-B907-25A390889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962275"/>
          <a:ext cx="5514975" cy="2924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552450</xdr:colOff>
      <xdr:row>33</xdr:row>
      <xdr:rowOff>47625</xdr:rowOff>
    </xdr:to>
    <xdr:pic>
      <xdr:nvPicPr>
        <xdr:cNvPr id="53800" name="Picture 3">
          <a:extLst>
            <a:ext uri="{FF2B5EF4-FFF2-40B4-BE49-F238E27FC236}">
              <a16:creationId xmlns:a16="http://schemas.microsoft.com/office/drawing/2014/main" id="{2CA7B0A6-43ED-40B5-B191-AF2DAC9C4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952750"/>
          <a:ext cx="36004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33</xdr:row>
      <xdr:rowOff>47625</xdr:rowOff>
    </xdr:from>
    <xdr:to>
      <xdr:col>8</xdr:col>
      <xdr:colOff>561975</xdr:colOff>
      <xdr:row>45</xdr:row>
      <xdr:rowOff>38100</xdr:rowOff>
    </xdr:to>
    <xdr:pic>
      <xdr:nvPicPr>
        <xdr:cNvPr id="53801" name="Picture 1">
          <a:extLst>
            <a:ext uri="{FF2B5EF4-FFF2-40B4-BE49-F238E27FC236}">
              <a16:creationId xmlns:a16="http://schemas.microsoft.com/office/drawing/2014/main" id="{87B00C03-54E2-4755-BE1A-4E75DAF6A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943475"/>
          <a:ext cx="3609975" cy="1933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45</xdr:row>
      <xdr:rowOff>28575</xdr:rowOff>
    </xdr:from>
    <xdr:to>
      <xdr:col>8</xdr:col>
      <xdr:colOff>552450</xdr:colOff>
      <xdr:row>58</xdr:row>
      <xdr:rowOff>28575</xdr:rowOff>
    </xdr:to>
    <xdr:pic>
      <xdr:nvPicPr>
        <xdr:cNvPr id="53802" name="Picture 5">
          <a:extLst>
            <a:ext uri="{FF2B5EF4-FFF2-40B4-BE49-F238E27FC236}">
              <a16:creationId xmlns:a16="http://schemas.microsoft.com/office/drawing/2014/main" id="{D66EADEA-5239-48E4-98D8-D1AFF23D6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6867525"/>
          <a:ext cx="360045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58</xdr:row>
      <xdr:rowOff>9525</xdr:rowOff>
    </xdr:from>
    <xdr:to>
      <xdr:col>8</xdr:col>
      <xdr:colOff>552450</xdr:colOff>
      <xdr:row>67</xdr:row>
      <xdr:rowOff>76200</xdr:rowOff>
    </xdr:to>
    <xdr:pic>
      <xdr:nvPicPr>
        <xdr:cNvPr id="53803" name="Picture 6">
          <a:extLst>
            <a:ext uri="{FF2B5EF4-FFF2-40B4-BE49-F238E27FC236}">
              <a16:creationId xmlns:a16="http://schemas.microsoft.com/office/drawing/2014/main" id="{AD2C3ED0-5003-43B8-A8D1-BC8668779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8953500"/>
          <a:ext cx="360045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66</xdr:row>
      <xdr:rowOff>152400</xdr:rowOff>
    </xdr:from>
    <xdr:to>
      <xdr:col>8</xdr:col>
      <xdr:colOff>552450</xdr:colOff>
      <xdr:row>76</xdr:row>
      <xdr:rowOff>9525</xdr:rowOff>
    </xdr:to>
    <xdr:pic>
      <xdr:nvPicPr>
        <xdr:cNvPr id="53804" name="Picture 7">
          <a:extLst>
            <a:ext uri="{FF2B5EF4-FFF2-40B4-BE49-F238E27FC236}">
              <a16:creationId xmlns:a16="http://schemas.microsoft.com/office/drawing/2014/main" id="{EA9E066B-AE3A-4F48-8123-B5D69B0C8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0391775"/>
          <a:ext cx="3600450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11</xdr:col>
      <xdr:colOff>186869</xdr:colOff>
      <xdr:row>15</xdr:row>
      <xdr:rowOff>19546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1F13FD-2919-4249-A3CD-8AE4358EB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01875" y="158750"/>
          <a:ext cx="3647619" cy="23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0</xdr:rowOff>
    </xdr:from>
    <xdr:to>
      <xdr:col>10</xdr:col>
      <xdr:colOff>2482215</xdr:colOff>
      <xdr:row>21</xdr:row>
      <xdr:rowOff>150512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35A69B-7611-4E11-9F69-E3F4C039758F}"/>
            </a:ext>
          </a:extLst>
        </xdr:cNvPr>
        <xdr:cNvSpPr txBox="1"/>
      </xdr:nvSpPr>
      <xdr:spPr>
        <a:xfrm>
          <a:off x="5395913" y="3057525"/>
          <a:ext cx="4725352" cy="10458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nuclear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nuclear commodity.</a:t>
          </a:r>
          <a:endParaRPr lang="en-GB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13</xdr:col>
      <xdr:colOff>2482215</xdr:colOff>
      <xdr:row>21</xdr:row>
      <xdr:rowOff>150512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D9CEED-0523-43FC-BCA2-FC19494E3933}"/>
            </a:ext>
          </a:extLst>
        </xdr:cNvPr>
        <xdr:cNvSpPr txBox="1"/>
      </xdr:nvSpPr>
      <xdr:spPr>
        <a:xfrm>
          <a:off x="5395913" y="3057525"/>
          <a:ext cx="4725352" cy="10458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nuclear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nuclear commodity.</a:t>
          </a:r>
          <a:endParaRPr lang="en-GB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28</xdr:row>
      <xdr:rowOff>0</xdr:rowOff>
    </xdr:from>
    <xdr:to>
      <xdr:col>13</xdr:col>
      <xdr:colOff>2299252</xdr:colOff>
      <xdr:row>34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489484-A944-457A-8B53-5E693578BFBB}"/>
            </a:ext>
          </a:extLst>
        </xdr:cNvPr>
        <xdr:cNvSpPr txBox="1"/>
      </xdr:nvSpPr>
      <xdr:spPr>
        <a:xfrm>
          <a:off x="6505575" y="3733800"/>
          <a:ext cx="4457700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28</xdr:row>
      <xdr:rowOff>0</xdr:rowOff>
    </xdr:from>
    <xdr:to>
      <xdr:col>13</xdr:col>
      <xdr:colOff>2325972</xdr:colOff>
      <xdr:row>33</xdr:row>
      <xdr:rowOff>150514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18A81F-3662-431E-80F8-38B1D18FAEF5}"/>
            </a:ext>
          </a:extLst>
        </xdr:cNvPr>
        <xdr:cNvSpPr txBox="1"/>
      </xdr:nvSpPr>
      <xdr:spPr>
        <a:xfrm>
          <a:off x="6515100" y="3733800"/>
          <a:ext cx="4467225" cy="962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gas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gas supply curve, along with and import and export option.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27</xdr:row>
      <xdr:rowOff>0</xdr:rowOff>
    </xdr:from>
    <xdr:to>
      <xdr:col>14</xdr:col>
      <xdr:colOff>0</xdr:colOff>
      <xdr:row>33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4E37D1-C13A-4248-8C00-14F3BEA3AD4D}"/>
            </a:ext>
          </a:extLst>
        </xdr:cNvPr>
        <xdr:cNvSpPr txBox="1"/>
      </xdr:nvSpPr>
      <xdr:spPr>
        <a:xfrm>
          <a:off x="6457950" y="3733800"/>
          <a:ext cx="4486275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oil an energy commodity (FI_COMM table) and define each supply option (FI_Process table).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oil supply curve, along with and import and export option.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13</xdr:row>
      <xdr:rowOff>9525</xdr:rowOff>
    </xdr:from>
    <xdr:to>
      <xdr:col>11</xdr:col>
      <xdr:colOff>2695515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617E5A-9EB3-4443-8597-27912C6AC4D0}"/>
            </a:ext>
          </a:extLst>
        </xdr:cNvPr>
        <xdr:cNvSpPr txBox="1"/>
      </xdr:nvSpPr>
      <xdr:spPr>
        <a:xfrm>
          <a:off x="6362700" y="2952750"/>
          <a:ext cx="4781550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reneable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renewable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0</xdr:rowOff>
    </xdr:from>
    <xdr:to>
      <xdr:col>11</xdr:col>
      <xdr:colOff>2482215</xdr:colOff>
      <xdr:row>21</xdr:row>
      <xdr:rowOff>150512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3B0CD7-C9A8-4673-B644-43C14922DCC2}"/>
            </a:ext>
          </a:extLst>
        </xdr:cNvPr>
        <xdr:cNvSpPr txBox="1"/>
      </xdr:nvSpPr>
      <xdr:spPr>
        <a:xfrm>
          <a:off x="6353175" y="3124200"/>
          <a:ext cx="4791075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nuclear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nuclear commodity.</a:t>
          </a:r>
          <a:endParaRPr lang="en-GB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140970</xdr:colOff>
      <xdr:row>26</xdr:row>
      <xdr:rowOff>114300</xdr:rowOff>
    </xdr:from>
    <xdr:to>
      <xdr:col>12</xdr:col>
      <xdr:colOff>116213</xdr:colOff>
      <xdr:row>32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A07B8F-5C94-42DB-8F45-D749764C0571}"/>
            </a:ext>
          </a:extLst>
        </xdr:cNvPr>
        <xdr:cNvSpPr txBox="1"/>
      </xdr:nvSpPr>
      <xdr:spPr>
        <a:xfrm>
          <a:off x="6008370" y="4541520"/>
          <a:ext cx="6644640" cy="10153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100442</xdr:colOff>
      <xdr:row>15</xdr:row>
      <xdr:rowOff>73212</xdr:rowOff>
    </xdr:from>
    <xdr:to>
      <xdr:col>23</xdr:col>
      <xdr:colOff>650971</xdr:colOff>
      <xdr:row>27</xdr:row>
      <xdr:rowOff>136651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BBC0B1-179D-4D25-B33E-C64148B35B7B}"/>
            </a:ext>
          </a:extLst>
        </xdr:cNvPr>
        <xdr:cNvSpPr txBox="1"/>
      </xdr:nvSpPr>
      <xdr:spPr>
        <a:xfrm>
          <a:off x="10736692" y="3440981"/>
          <a:ext cx="6911869" cy="19684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Declae  electricity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energy commodity and  electricity plants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power plant options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power plant option for each fuel commodity.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4F1103-7A75-5443-8BCA-94016BD40A36}"/>
            </a:ext>
          </a:extLst>
        </xdr:cNvPr>
        <xdr:cNvSpPr txBox="1"/>
      </xdr:nvSpPr>
      <xdr:spPr>
        <a:xfrm>
          <a:off x="673100" y="2171700"/>
          <a:ext cx="4851400" cy="5619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Clients/PLN/PLN%20Budget/PLN%20budget%20forms/Lk200312-02-03-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ri%20Agus%20Salim/Local%20Settings/Temp/NERACA%20TAHAP%20PERTAM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ocuments/Pram/Stastistik/Kitlur/LAPORAN%20KINERJA%20TRW%20I%202004/My%20Documents/ERI%20P/KINERJA%20NTB/LKTW101/LAPORAN/CashFlow012001Anggar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ocuments/Pram/Stastistik/Kitlur/LAPORAN%20KINERJA%20TRW%20I%202004/My%20Documents/ERI%20P/KINERJA%20NTB/LKTW201/@PJB/LKSEM2001PJB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Ubos-dispatch2/Data_2/My%20Documents/epo/ROB%20AGUSTUS%202003/MWH%20PROSYM%20Februari%2020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ocuments/Pram/Stastistik/Kitlur/RKAP2005%20UNIT(10Aug04)/TM1/RKAP%20Laba_%20Rugi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TEMPLATE%20EXCEL%20&amp;%20WORD/monitori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Statistik/Kitlur/Kitlur/My%20Documents/Pram/Stastistik/Kitlur/Documents%20and%20Settings/Wirabumi/My%20Documents/Forum%20Perencanaan/WILUS-KALTIM/TRANS+DIST/DIST0-high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-%20arief%20-/LNG%20RTRF/PLN/060510%20Data_DefSy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00.LAPORAN%20SISTEM/Tahun%202012/04.%20April/13%20April%20Logshe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DPP01/RUKN2001/jujun/My%20Documents/WINDOWS/Personal/Feb-SKB-Fre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ocuments/Pram/Stastistik/Kitlur/Backup%20document/RPTL%202005/DKL%20KALTIM%202005/_calinvestrptl20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Piop/KHUSUS%20PIOPP/Documents%20and%20Settings/User/My%20Documents/PINJAM%20BUKU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2.%20Logsheet%20Dispatcher/2011/Januari%20'11/Logsheet,%20Switching,%20KWH%20Januari%202011/01012011/Logsheet%200101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Statistik/Kitlur/Kitlur/My%20Documents/Pram/Stastistik/Kitlur/DATAPENGUSAHAAN/TM1/RKAP%20Laba_%20Rugi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ERD/TYCHE%20Contract/Assignments/WA%200-05%20(316(b))/Ph4_Supporting_Analyses/Data_Supporting_All_Analyses/EPA/PhIV_Compliance_Costs_by_Option/P4%20I&amp;E%20All%20S2%20Compliance%20Costs_7-31-08_Adj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Wolfgang/c/temphold/TMPL_RE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Amro/c/My%20Documents/RENCANA-UPBSR/HARIAN/RencJul'98-0,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Dispatcher1/d/Documents%20and%20Settings/Lastri/Desktop/EPO/master%20LS_RJKB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Users/lisa/AppData/Roaming/Microsoft/Excel/Logsheet%20P3BS%2009%20Maret%20201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Statistik/Kitlur/Kitlur/My%20Documents/Pram/Stastistik/Kitlur/PASA-BALI/HASIL/Hasil_COAL_0801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ATA/LAPORAN%20BAHAN%20BAKAR%202011/Database%20EPI%202011-D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Kang%20Abie/Proyek%202010/Proyek%202010%20Semester%202/Hasil%20Rapat%20RAE%20Tahun%202010%20sem%202/Documents%20and%20Settings/HP_Owner/My%20Documents/01RenOp/02ROB/Buku%20Rencana%20Bulan%20Desember%202005/Neraca%20Day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/EPA%205.12/Retrofit%20checks/ReferenceKey_v512_PF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Upbsbs-olin/2013/DATA%20CAROLINE/DATA%20RENEV%20(CAROLINA)/CAROLINA%20NITIP%20on%20Erie/2012/LOGSHEET%20UPB%20SUMBAGSEL/UPB%20SUMBAGSEL/07%20JULI%202012/Logsheet%20UPBSBS%2022-07-201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ocuments/Pram/Stastistik/Kitlur/My%20Documents/Back%20Up%20Pram/Stastistik/Back%20Up%20Office%20Comp%2005%2008%2009/Stastistik/El-For-AI'99'02/DElFor-pro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ERD/TYCHE%20Contract/Assignments/WA%200-05%20(316(b))/Ph4_Supporting_Analyses/All_Ph_IV_Analyses/Cost_Analyses_Using_PhIV_IPM_Baseline/Cost_Analysis/Private_Costs_Assessmen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ata%20my%20document/File%20kirim%20email%20ke%20opsis/Tahun%202012/03%20MARET/22%20Maret%20Logsheet%20pkl%2024.00%20WIB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01.SUPERVISOR%20DOS/01.Penyelia/Tahun%202012/02.%20Februari%202012/LAPORAN%20SISTEM/Tahun%202011/12.Desember/31%20Desember%202011%20Logshe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ruminto/lap-keu/sent/LKTW101/LAPORAN/CashFlow012001Anggara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10.6.70.250/Lap_Pen_2005/temp/Adi/Ls_01_09_05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Io_SP/Smtr_ALT/ThermalRep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~1/HP_ADM~1/LOCALS~1/Temp/scp45796/Yohanes/LPRN%20BULANAN%202007/STAND%20KWH%20TH%202007-F12RB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ocuments/Pram/Stastistik/Kitlur/LAPORAN%20KINERJA%20TRW%20I%202004/My%20Documents/ERI%20P/KINERJA%20NTB/TARGET%20kit_p3b200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VEDA/VEDA_Models/~g2v_Irish-TIMES-model/Electricity_576TS/VT_IE_ELC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DPP01/RUKN2001/jujun/My%20Documents/Rukn/SWA_RPT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backup/BAHRI-BARU/THN-2008/LAP%20BUL/MEI'08/MEI'08%20nanda/BAHRI-BARU/TUGAS%20OP%20&amp;%20KIT/PIOP/2006/Desember/Logsheet%20Desem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TEMPLATE%20EXCEL%20&amp;%20WORD/work-schedule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WINNT/Profiles/wkongsamut/Temporary%20Internet%20Files/Content.IE5/CDERGTUV/Danfoss%20Submission%20form%202004%20(1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00.LAPORAN%20SISTEM/Tahun%202012/03.%20Maret/16%20Maret%20Log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Rp"/>
      <sheetName val="PkVal"/>
      <sheetName val="PkJtRp"/>
      <sheetName val="PkJtVal"/>
      <sheetName val="ByDkpRp"/>
      <sheetName val="ByDkpVal"/>
      <sheetName val="ByDkpJtRp"/>
      <sheetName val="ByDkpJtVal"/>
      <sheetName val="ByPinjRp"/>
      <sheetName val="ByPinjVal"/>
      <sheetName val="Asumsi"/>
      <sheetName val="NERACA DAYA"/>
      <sheetName val="M"/>
      <sheetName val="C"/>
      <sheetName val="TRNS-C1"/>
      <sheetName val="DJBB PNYL"/>
      <sheetName val="Chart gang BOGOR"/>
      <sheetName val="MESIN_KIT"/>
      <sheetName val="B.P-C.P 2006"/>
      <sheetName val="Kode"/>
      <sheetName val="HARGA SATUAN"/>
      <sheetName val="DJBB_PNYL"/>
      <sheetName val="Chart_gang_BOGOR"/>
      <sheetName val="NERACA_DAYA"/>
      <sheetName val="B_P-C_P_2006"/>
      <sheetName val="Data"/>
      <sheetName val="Resource_Plan_(2)"/>
      <sheetName val="Kontrol"/>
      <sheetName val="Cover"/>
      <sheetName val="LabaRugi"/>
      <sheetName val="GABLUARJAWA1_(2)"/>
      <sheetName val="Kamus"/>
      <sheetName val="R-SM-KIN"/>
      <sheetName val="REKAP"/>
      <sheetName val="List"/>
      <sheetName val="FORM REN RUTIN KIT"/>
      <sheetName val="Layout-UNIT1"/>
      <sheetName val="Location"/>
      <sheetName val="Submission Form"/>
      <sheetName val="Produksi"/>
      <sheetName val="BRUT0-1"/>
      <sheetName val="Lk200312-02-03-04"/>
      <sheetName val="Prod.Harian"/>
      <sheetName val="Usia"/>
      <sheetName val="ca"/>
      <sheetName val="PERIODIK"/>
      <sheetName val="pddk"/>
      <sheetName val="UshDeb00"/>
      <sheetName val="W-NAD"/>
      <sheetName val="M-PEG"/>
      <sheetName val="Sudah Berjalan"/>
      <sheetName val="Wil-2"/>
      <sheetName val="tabel JHT"/>
      <sheetName val="NRCPTK01"/>
      <sheetName val="L-rok"/>
      <sheetName val="sk17-76-78"/>
      <sheetName val="Listrik Mati 05"/>
      <sheetName val="Listrik Mati 06"/>
      <sheetName val="Tabel Kode"/>
      <sheetName val="Instalasi"/>
      <sheetName val="ACUAN"/>
      <sheetName val="GABLUARJAWA1 (2)"/>
      <sheetName val="trenprod2001"/>
      <sheetName val="Kin1TH"/>
      <sheetName val="Res142001"/>
      <sheetName val="GrafikProd"/>
      <sheetName val="Kin3BLN"/>
      <sheetName val="Kin1BLN"/>
      <sheetName val="Kin2TH"/>
      <sheetName val="Kin2BLN"/>
      <sheetName val="THN-7"/>
      <sheetName val="L-PENGUS-24.00"/>
      <sheetName val="KINERJA"/>
      <sheetName val="Eval.bln.Okt'15"/>
      <sheetName val="ROH PBS"/>
      <sheetName val="PBS"/>
      <sheetName val="ROH JAM 07-14"/>
      <sheetName val="JLK"/>
      <sheetName val="ROH JAM 15-21"/>
      <sheetName val="ROH JAM 00-06"/>
      <sheetName val="TIMO"/>
      <sheetName val="GRG"/>
      <sheetName val="KTG"/>
      <sheetName val="WDL"/>
      <sheetName val="PJKL"/>
      <sheetName val="KDO"/>
      <sheetName val="KLB"/>
      <sheetName val="SMPR"/>
      <sheetName val="SDRJ"/>
      <sheetName val="WNG"/>
      <sheetName val="Input T&amp;R Prod"/>
      <sheetName val="Code"/>
      <sheetName val="Da AN BRAT TWR"/>
      <sheetName val="THN-6"/>
      <sheetName val="Twr (15)"/>
      <sheetName val="Form-B-R1"/>
      <sheetName val="WAN"/>
      <sheetName val="INLAND FACTOR DISTANCE"/>
      <sheetName val="tabel-JHT"/>
      <sheetName val="Uraian"/>
      <sheetName val="Catatan"/>
      <sheetName val="TID1_Old"/>
      <sheetName val="FORM A1_A2  Tangerang"/>
      <sheetName val="FORM A1_A2  Gambir"/>
      <sheetName val="FORM A1_A2  Kebayoran"/>
      <sheetName val="FORM A1_A2  Kramatjati"/>
      <sheetName val="FORM A1_A2 KD"/>
      <sheetName val="Basket 6"/>
      <sheetName val="Trunking"/>
      <sheetName val="L_23"/>
      <sheetName val="prod03"/>
      <sheetName val="Sheet5"/>
      <sheetName val="ANALISA"/>
      <sheetName val="AN-MAJOR"/>
      <sheetName val="DivVI"/>
      <sheetName val="bahan"/>
      <sheetName val="Pareto_SKR#2"/>
      <sheetName val="Pareto_SKR#3"/>
      <sheetName val="Kuantitas &amp; Harga"/>
      <sheetName val="D-2"/>
      <sheetName val="Sheet3"/>
      <sheetName val="Sheet6"/>
      <sheetName val="Jenis Pelatihan"/>
      <sheetName val="scada 2001"/>
      <sheetName val="A"/>
      <sheetName val="KUMULATIP"/>
      <sheetName val="KMS-DIS5"/>
      <sheetName val="MENU"/>
      <sheetName val="PARAMETER"/>
      <sheetName val="analis"/>
      <sheetName val="DGGKIT+ Derating"/>
      <sheetName val="WORKPLAN GROWS R KARANGNUNGGAL"/>
      <sheetName val="F-1"/>
      <sheetName val="TRANS"/>
      <sheetName val="PTG"/>
      <sheetName val="Daftar"/>
      <sheetName val="MST"/>
      <sheetName val="B"/>
      <sheetName val="Sheet1"/>
      <sheetName val="REK-PEG"/>
      <sheetName val="FLI - Sec.1"/>
      <sheetName val="Transfer"/>
      <sheetName val="SewaBeli"/>
      <sheetName val="Inv_MALUKU"/>
      <sheetName val="Inv_NAD"/>
      <sheetName val="Inv_SUMUT"/>
      <sheetName val="Inv_RIAU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SULSELRA"/>
      <sheetName val="Inv_NTB"/>
      <sheetName val="Inv_KALTIM"/>
      <sheetName val="Inv_KALSELTENG"/>
      <sheetName val="GenlistHI"/>
      <sheetName val="CMK"/>
      <sheetName val="JTM"/>
      <sheetName val="TUL III-09"/>
      <sheetName val="REFERENSI"/>
      <sheetName val="Sch-5"/>
      <sheetName val="Harga BBM Indonesia"/>
      <sheetName val="Electrical "/>
      <sheetName val="SCADA ENG"/>
      <sheetName val="Supervisory Control System"/>
      <sheetName val="NERACA_DAYA1"/>
      <sheetName val="DJBB_PNYL1"/>
      <sheetName val="Chart_gang_BOGOR1"/>
      <sheetName val="B_P-C_P_20061"/>
      <sheetName val="HARGA_SATUAN"/>
      <sheetName val="FORM_REN_RUTIN_KIT"/>
      <sheetName val="Submission_Form"/>
      <sheetName val="Prod_Harian"/>
      <sheetName val="Sudah_Berjalan"/>
      <sheetName val="tabel_JHT"/>
      <sheetName val="Listrik_Mati_05"/>
      <sheetName val="Listrik_Mati_06"/>
      <sheetName val="Tabel_Kode"/>
      <sheetName val="L-PENGUS-24_00"/>
      <sheetName val="Eval_bln_Okt'15"/>
      <sheetName val="ROH_PBS"/>
      <sheetName val="ROH_JAM_07-14"/>
      <sheetName val="ROH_JAM_15-21"/>
      <sheetName val="ROH_JAM_00-06"/>
      <sheetName val="Input_T&amp;R_Prod"/>
      <sheetName val="Da_AN_BRAT_TWR"/>
      <sheetName val="Twr_(15)"/>
      <sheetName val="GABLUARJAWA1_(2)1"/>
      <sheetName val="INLAND_FACTOR_DISTANCE"/>
      <sheetName val="FORM_A1_A2__Tangerang"/>
      <sheetName val="FORM_A1_A2__Gambir"/>
      <sheetName val="FORM_A1_A2__Kebayoran"/>
      <sheetName val="FORM_A1_A2__Kramatjati"/>
      <sheetName val="FORM_A1_A2_KD"/>
      <sheetName val="Basket_6"/>
      <sheetName val="Kuantitas_&amp;_Harga"/>
      <sheetName val="scada_2001"/>
      <sheetName val="Jenis_Pelatihan"/>
      <sheetName val="FailureMode_PLTU"/>
      <sheetName val="FailureMode_PLTG"/>
      <sheetName val="Resume"/>
      <sheetName val="graf2"/>
      <sheetName val="DATA-BASE SUTT"/>
      <sheetName val="analhps Pasng"/>
      <sheetName val="Beltra  (7)"/>
      <sheetName val="Peralatan"/>
      <sheetName val="Basic Price"/>
      <sheetName val="NP-7"/>
      <sheetName val="HSLAIN-LAIN"/>
      <sheetName val="Master Edit"/>
      <sheetName val="AC"/>
      <sheetName val="REF"/>
      <sheetName val="TAHAP 5"/>
      <sheetName val="Pareto_SKR#4"/>
      <sheetName val="DivVII"/>
      <sheetName val="Div2"/>
      <sheetName val="Div3"/>
      <sheetName val="FDR"/>
      <sheetName val="2008"/>
      <sheetName val="DAFGED"/>
      <sheetName val="Summary"/>
      <sheetName val="RAB"/>
      <sheetName val="rekmodiPtk (MAP)"/>
      <sheetName val="FUNGSI"/>
      <sheetName val="W1"/>
      <sheetName val="RATE TENAGA KERJA"/>
      <sheetName val="beban"/>
      <sheetName val="FORM-B"/>
      <sheetName val="SAA"/>
      <sheetName val="A1 pri123"/>
      <sheetName val="A1 PRY"/>
      <sheetName val="ACUANBARU"/>
      <sheetName val="Prog Desc"/>
      <sheetName val="Peralatan (2)"/>
      <sheetName val="Assumptions (2)"/>
      <sheetName val="se006t"/>
      <sheetName val="Daftar Harga"/>
      <sheetName val="Kuanti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RCPTK01"/>
      <sheetName val="NRCKTP01"/>
      <sheetName val="NRCPTS01"/>
      <sheetName val="NRCSKW01"/>
      <sheetName val="NRCSGU01"/>
      <sheetName val="NRC-STG"/>
      <sheetName val="NRCSBS01"/>
      <sheetName val="UshDeb00"/>
      <sheetName val="NERACA DAYA"/>
      <sheetName val="NERACA TAHAP PERTAMA"/>
      <sheetName val="SISTEM SUMBAGSEL"/>
      <sheetName val="Wil-2"/>
      <sheetName val="2008"/>
      <sheetName val="Submission Form"/>
      <sheetName val="BA Exsport Trafo IP"/>
      <sheetName val="Produksi"/>
      <sheetName val="Pemakaian BBakar"/>
      <sheetName val="BB STAT PTD OKT 11"/>
      <sheetName val="BB PP PTD OKT 11"/>
      <sheetName val="bb stat ptd sept 11"/>
      <sheetName val="BB per sept 11 PTD"/>
      <sheetName val="Rupiah BB permesin"/>
      <sheetName val="LabaRugi"/>
      <sheetName val="LOGRESUME"/>
      <sheetName val="Usia"/>
      <sheetName val="pddk"/>
      <sheetName val="PS(bruto10-neto10) adjust"/>
      <sheetName val="tabel-JHT"/>
      <sheetName val="tabel JHT"/>
      <sheetName val="eval-jual"/>
      <sheetName val="TGP"/>
      <sheetName val="R-SM-KIN"/>
      <sheetName val="M-PEG"/>
      <sheetName val="RKA 2010"/>
      <sheetName val="rencana"/>
      <sheetName val="W1"/>
      <sheetName val="CAL"/>
      <sheetName val="TRNS-C1"/>
      <sheetName val="PkRp"/>
      <sheetName val="M"/>
      <sheetName val="C"/>
      <sheetName val="Transfer"/>
      <sheetName val="Uraian"/>
      <sheetName val="rkap2008"/>
      <sheetName val="List"/>
      <sheetName val="Bipeg-U(12D2)"/>
      <sheetName val="ca"/>
      <sheetName val="sept"/>
      <sheetName val="Asumsi"/>
      <sheetName val="TRANS"/>
      <sheetName val="Kamus"/>
      <sheetName val="Electrical "/>
      <sheetName val="SCADA ENG"/>
      <sheetName val="Supervisory Control System"/>
      <sheetName val="AKTIVA TETAP"/>
      <sheetName val="FORM.A3"/>
      <sheetName val="Download_Data"/>
      <sheetName val="Sheet6"/>
      <sheetName val="kroscek BBM"/>
      <sheetName val="simulasi droping"/>
      <sheetName val="10. ND-Lampung"/>
      <sheetName val="11. ND-Banten"/>
      <sheetName val="Div2"/>
      <sheetName val="FORM REN RUTIN KIT"/>
      <sheetName val="Twr (15)"/>
      <sheetName val="RAB"/>
      <sheetName val="Inv_NAD"/>
      <sheetName val="Inv_RIA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0"/>
      <sheetName val="UshDeb03001"/>
      <sheetName val="GABUNG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DAFISI"/>
      <sheetName val="Jelas"/>
      <sheetName val="Neraca"/>
      <sheetName val="LR"/>
      <sheetName val="LR_F"/>
      <sheetName val="Arus_Kas"/>
      <sheetName val="RE"/>
      <sheetName val="Cat"/>
      <sheetName val="BukuBesar"/>
      <sheetName val="L1_1"/>
      <sheetName val="L1_2"/>
      <sheetName val="L1_3"/>
      <sheetName val="L1_4"/>
      <sheetName val="L1_5"/>
      <sheetName val="L1_6"/>
      <sheetName val="L1_7"/>
      <sheetName val="L1_8"/>
      <sheetName val="L1_9"/>
      <sheetName val="L2_1"/>
      <sheetName val="L2_2"/>
      <sheetName val="L2_3"/>
      <sheetName val="L2_4"/>
      <sheetName val="L_2_4b"/>
      <sheetName val="L2_5"/>
      <sheetName val="L2_6"/>
      <sheetName val="L3_1"/>
      <sheetName val="L3_2"/>
      <sheetName val="L3_3"/>
      <sheetName val="L3_4"/>
      <sheetName val="L3_5"/>
      <sheetName val="L_4"/>
      <sheetName val="L_4_1"/>
      <sheetName val="L_5"/>
      <sheetName val="L_6"/>
      <sheetName val="L_7"/>
      <sheetName val="L_8a"/>
      <sheetName val="L_8b"/>
      <sheetName val="L_9"/>
      <sheetName val="L_10"/>
      <sheetName val="L_11"/>
      <sheetName val="L_12"/>
      <sheetName val="L_13"/>
      <sheetName val="L_14"/>
      <sheetName val="L_14b"/>
      <sheetName val="L_15"/>
      <sheetName val="L_16"/>
      <sheetName val="L_17"/>
      <sheetName val="L_18"/>
      <sheetName val="L_19"/>
      <sheetName val="L_20_1"/>
      <sheetName val="L_20_2"/>
      <sheetName val="L_21"/>
      <sheetName val="L_22"/>
      <sheetName val="L_23"/>
      <sheetName val="L_24"/>
      <sheetName val="L_25"/>
      <sheetName val="L_26"/>
      <sheetName val="L_27"/>
      <sheetName val="L_27_1"/>
      <sheetName val="L_27_2"/>
      <sheetName val="L_28a"/>
      <sheetName val="L_28b"/>
      <sheetName val="L_28c"/>
      <sheetName val="L_29"/>
      <sheetName val="GABUNG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_x0000_ÿ"/>
      <sheetName val="DTERPAREA "/>
      <sheetName val="uts"/>
      <sheetName val="DMN"/>
      <sheetName val="Target"/>
      <sheetName val="LF"/>
      <sheetName val="Prosym"/>
      <sheetName val="Jawa-Bali "/>
      <sheetName val="PJB I&amp;II"/>
      <sheetName val="10. ND-Lampung"/>
      <sheetName val="11. ND-Bant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Cover"/>
      <sheetName val="Daftar Isi"/>
      <sheetName val="Asumsi"/>
      <sheetName val="LabaRugi Unsur"/>
      <sheetName val="LabaRugi Fungsi"/>
      <sheetName val="Penjelas"/>
      <sheetName val="JualGTarif(11A)"/>
      <sheetName val="PendOpLain(11B)"/>
      <sheetName val="IkhtisarBiop(12.0)"/>
      <sheetName val="PembelianiTL(12A1"/>
      <sheetName val="SewaDis(12A2)"/>
      <sheetName val="BBMJenis(12B1)"/>
      <sheetName val="ProduksiTL(12B2)"/>
      <sheetName val="HarMat(12C1)"/>
      <sheetName val="HarJabor(12C2)"/>
      <sheetName val="BBaku(12C3)"/>
      <sheetName val="BPeg-F(12D1)"/>
      <sheetName val="Bipeg-U(12D2)"/>
      <sheetName val="BOLain(12E1)"/>
      <sheetName val="BOLain(12E2)"/>
      <sheetName val="PendaLuOp(13)"/>
      <sheetName val="BiLuOp(14)"/>
      <sheetName val="BiPinjamin(15)"/>
      <sheetName val="PenjTL(18)"/>
      <sheetName val="LabaRugi Lainnya 2005(20)"/>
      <sheetName val="LabaRugi Unsur2004(21A)"/>
      <sheetName val="LabaRugi Fungsi2004(21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er1"/>
      <sheetName val="Planner2"/>
      <sheetName val="mainDishes"/>
      <sheetName val="sideDishes"/>
      <sheetName val="Breakfast"/>
      <sheetName val="Lunch"/>
      <sheetName val="Snack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S-DIS5"/>
      <sheetName val="KMS-DISHIGH "/>
      <sheetName val="NRCPTK01"/>
    </sheetNames>
    <sheetDataSet>
      <sheetData sheetId="0" refreshError="1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DC"/>
      <sheetName val="LOAD"/>
      <sheetName val="HYDRO"/>
      <sheetName val="CATALOG"/>
      <sheetName val="FIXTHER"/>
      <sheetName val="VARTHER"/>
      <sheetName val="P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j BGP"/>
      <sheetName val="NETTO"/>
      <sheetName val="Adj Ashan 1"/>
      <sheetName val="Adj AD PPASR"/>
      <sheetName val="PLTD SEWA ACEH"/>
      <sheetName val="Adj TD AKE"/>
      <sheetName val="INALUM"/>
      <sheetName val="1.COVER"/>
      <sheetName val="2.BEBANUPBSBU"/>
      <sheetName val="2.1.ISIANBRUTTO"/>
      <sheetName val="2.2.DMP"/>
      <sheetName val="3.GRAFIK"/>
      <sheetName val="4.SWITCHKITLUR"/>
      <sheetName val="5.GGNKITLUR"/>
      <sheetName val="6.KETDKSIAPANKITLUR"/>
      <sheetName val="7.KWHKIT"/>
      <sheetName val="9.TRAFOPHT"/>
      <sheetName val="10.TEGANGAN"/>
      <sheetName val="11.PEMADAMAN"/>
      <sheetName val="12.SCADATEL"/>
      <sheetName val="13.REFERENSI"/>
      <sheetName val="REKAP "/>
      <sheetName val="UFR-1"/>
      <sheetName val="UFR-2"/>
      <sheetName val="UFR-3"/>
      <sheetName val="Start Kit"/>
      <sheetName val="Stop Ki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7"/>
      <sheetName val="Jawa Tengah"/>
      <sheetName val="MWH Jawa-Bali "/>
      <sheetName val="W-NAD"/>
      <sheetName val="Harian"/>
      <sheetName val="KMS-DIS5"/>
      <sheetName val="R_ccode"/>
      <sheetName val="StU"/>
      <sheetName val="R_SM_KIN"/>
      <sheetName val="Uraian"/>
      <sheetName val="rkap2008"/>
      <sheetName val="List"/>
      <sheetName val="APO"/>
      <sheetName val="PERIODIK"/>
      <sheetName val="LK2004"/>
      <sheetName val="Catalog"/>
      <sheetName val="L20Keu"/>
      <sheetName val="LK 2005"/>
      <sheetName val="Parameter"/>
      <sheetName val="General Parameter"/>
      <sheetName val="MENU"/>
      <sheetName val="13.REFERENSI"/>
      <sheetName val="Cek Extend Material"/>
      <sheetName val="F-1"/>
      <sheetName val="analhps"/>
      <sheetName val="DivVI"/>
      <sheetName val="bahan"/>
      <sheetName val="DATA"/>
      <sheetName val="UshDeb00"/>
      <sheetName val="Bipeg-U(12D2)"/>
      <sheetName val="Div2"/>
      <sheetName val="ANALISA"/>
      <sheetName val="Upah"/>
      <sheetName val="RKAP"/>
      <sheetName val="Mar 2004"/>
      <sheetName val="NRCPTK01"/>
      <sheetName val="divI"/>
      <sheetName val="divII"/>
      <sheetName val="AHS STR ARS"/>
      <sheetName val="AHS ME"/>
      <sheetName val="HSD ARS+STR"/>
      <sheetName val="HSD ME"/>
      <sheetName val="HSD Bahan"/>
      <sheetName val="Jadwal"/>
      <sheetName val="Sum IF"/>
      <sheetName val="HSD Upah"/>
      <sheetName val="NerSubsis"/>
      <sheetName val="REKAP"/>
      <sheetName val="kali-2001"/>
      <sheetName val="BBMJenis(12B1)"/>
      <sheetName val="BiLuOp(14)"/>
      <sheetName val="BiPinjaman(15)"/>
      <sheetName val="BPeg-F(12D1)"/>
      <sheetName val="HarJabor(12C2)"/>
      <sheetName val="IkhtisarBiop(12.0)"/>
      <sheetName val="JualGTarif(11A)"/>
      <sheetName val="LabaRugi Fungsi th (t-1)(21B)"/>
      <sheetName val="LabaRugi Lainnya(20)"/>
      <sheetName val="LabaRugi Unsur th(t-1)(21A)"/>
      <sheetName val="Asumsi"/>
      <sheetName val="PembelianTL(12A1)"/>
      <sheetName val="PendaLuOp(13)"/>
      <sheetName val="PendOpLain(11B)"/>
      <sheetName val="ProduksiTL(12B2)"/>
      <sheetName val="SewaPemb(12A2)"/>
      <sheetName val="REFERENSI"/>
      <sheetName val="spp mesin sn 1428 (Electric)"/>
      <sheetName val="biaya jasa borongan 1428"/>
      <sheetName val="TRANS"/>
      <sheetName val="Sheet3"/>
      <sheetName val="L_23"/>
      <sheetName val="Du_lieu"/>
      <sheetName val="GI"/>
      <sheetName val="LOAD2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Factor"/>
      <sheetName val="Container"/>
      <sheetName val="GenlistHI"/>
      <sheetName val="Genlist RPTL DES'03"/>
      <sheetName val="GenlistLO"/>
      <sheetName val="Genlist RPTL SEP'03"/>
      <sheetName val="REKAP"/>
      <sheetName val="Inv_NAD"/>
      <sheetName val="Inv_SUMUT"/>
      <sheetName val="Inv_RIAU"/>
      <sheetName val="Inv_SUMBAR"/>
      <sheetName val="Inv_S2JB"/>
      <sheetName val="Inv_LAMPUNG"/>
      <sheetName val="Inv_BABEL"/>
      <sheetName val="Inv_KITLUR SUMBAGUT"/>
      <sheetName val="Inv_KITLUR SUMBAGSEL"/>
      <sheetName val="Summary SUMATRA"/>
      <sheetName val="Inv_KALBAR"/>
      <sheetName val="Inv_KALTIM"/>
      <sheetName val="Inv_KALSELTENG"/>
      <sheetName val="Summary KALIMANTAN"/>
      <sheetName val="Inv_SULUTENGGO"/>
      <sheetName val="Inv_SULSELRA"/>
      <sheetName val="Summary SULAWESI"/>
      <sheetName val="Inv_NTB"/>
      <sheetName val="Inv_NTT"/>
      <sheetName val="Inv_MALUKU"/>
      <sheetName val="Module1"/>
      <sheetName val="Module2"/>
      <sheetName val="Module5"/>
      <sheetName val="Inv_PAPUA"/>
      <sheetName val="Inv_OUTSIDE JAVA"/>
      <sheetName val="Summary LUAR JAWA"/>
      <sheetName val="KMS-DIS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 refreshError="1"/>
      <sheetData sheetId="18"/>
      <sheetData sheetId="19"/>
      <sheetData sheetId="20"/>
      <sheetData sheetId="21" refreshError="1"/>
      <sheetData sheetId="22"/>
      <sheetData sheetId="23"/>
      <sheetData sheetId="24" refreshError="1"/>
      <sheetData sheetId="25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ku"/>
      <sheetName val="sewa"/>
      <sheetName val="Sheet3"/>
      <sheetName val="Sheet4"/>
      <sheetName val="TUG.4 S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s"/>
      <sheetName val="Beban-Kit"/>
      <sheetName val="Halaman-1"/>
      <sheetName val="KWH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ftar Isi"/>
      <sheetName val="Asumsi"/>
      <sheetName val="PTKU"/>
      <sheetName val="LabaRugi Unsur"/>
      <sheetName val="LabaRugi Fungsi"/>
      <sheetName val="Penjelas"/>
      <sheetName val="JualGTarif(11A)"/>
      <sheetName val="PendOpLain(11B)"/>
      <sheetName val="IkhtisarBiop(12.0)"/>
      <sheetName val="PembelianiTL(12A1"/>
      <sheetName val="SewaPemb(12A2)"/>
      <sheetName val="BBMJenis(12B1)"/>
      <sheetName val="ProduksiTL(12B2)"/>
      <sheetName val="HarMat(12C1)"/>
      <sheetName val="HarJabor(12C2)"/>
      <sheetName val="BBaku(12C3)"/>
      <sheetName val="BPeg-F(12D1)"/>
      <sheetName val="Bipeg-U(12D2)"/>
      <sheetName val="BOLain(12E1)"/>
      <sheetName val="BOLain(12E2)"/>
      <sheetName val="PendaLuOp(13)"/>
      <sheetName val="BiLuOp(14)"/>
      <sheetName val="BiPinjamin(15)"/>
      <sheetName val="PenjTL(18)"/>
      <sheetName val="LabaRugi Lainnya 2005(20)"/>
      <sheetName val="LabaRugi Unsur2004(21A)"/>
      <sheetName val="LabaRugi Fungsi2004(21B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pek"/>
      <sheetName val="Isian Awal"/>
      <sheetName val="Pola"/>
      <sheetName val="Produksi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Rencana"/>
      <sheetName val="Piket"/>
      <sheetName val="grafik-010B"/>
      <sheetName val="Kit_PU"/>
      <sheetName val="Energi"/>
      <sheetName val="Kit1234-010E"/>
      <sheetName val="Summary-010F"/>
      <sheetName val="Pek_lur-010G"/>
      <sheetName val="GANG.-010H"/>
      <sheetName val="IBT&amp;Transf-010I"/>
      <sheetName val="PU_10-010J"/>
      <sheetName val="PU_19-010K"/>
      <sheetName val="BB&amp;Air-010L"/>
      <sheetName val="Padam-010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MP KIT"/>
      <sheetName val="UPBSBU"/>
      <sheetName val="UPBSBT"/>
      <sheetName val="UPBSBS"/>
      <sheetName val="PEMBEBANAN-1"/>
      <sheetName val="PEMBEBANAN-2"/>
      <sheetName val="3.SWITCHKITLUR"/>
      <sheetName val="4.GGNKITLUR"/>
      <sheetName val="5.KETDKSIAPANKITLUR"/>
      <sheetName val="EKSKURSI FREK"/>
      <sheetName val="LDFLOW SIANG"/>
      <sheetName val="LDFLOW MALAM"/>
      <sheetName val="Data"/>
      <sheetName val="PEMADAMAN"/>
      <sheetName val="Gb. Kurva Beban "/>
      <sheetName val="KWH KIT SBT"/>
      <sheetName val="KWH KIT SBS"/>
      <sheetName val="KWH KIT SBS-SBT"/>
      <sheetName val="KWH KIT PROD SBU"/>
      <sheetName val="KWH KIT SBU"/>
      <sheetName val="Monitor Air"/>
      <sheetName val="IPP"/>
      <sheetName val="REFERENSI"/>
      <sheetName val="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uto (3)"/>
      <sheetName val="Bruto (2)"/>
      <sheetName val="Hitung_Energi"/>
      <sheetName val="Hasil-Energi"/>
      <sheetName val="Hasil -Cost"/>
      <sheetName val="Komposisi"/>
      <sheetName val="Resume-Bruto"/>
      <sheetName val="Energy"/>
      <sheetName val="Bruto"/>
      <sheetName val="Biaya-netto"/>
      <sheetName val="Biaya-bruto"/>
      <sheetName val="RpkWH03"/>
      <sheetName val="ResumeBB"/>
      <sheetName val="ResumeBB (2)"/>
      <sheetName val="Geot"/>
      <sheetName val="Air"/>
      <sheetName val="Gas"/>
      <sheetName val="BatuBara"/>
      <sheetName val="BB-CF"/>
      <sheetName val="MFO"/>
      <sheetName val="MFO-CF"/>
      <sheetName val="HSD"/>
      <sheetName val="Marginal"/>
      <sheetName val="Resume-CF"/>
      <sheetName val="Biaya-netto (abcd-1)"/>
      <sheetName val="Biaya-netto(ABCD)"/>
      <sheetName val="03"/>
      <sheetName val="04"/>
      <sheetName val="05"/>
      <sheetName val="06"/>
      <sheetName val="07"/>
      <sheetName val="08"/>
      <sheetName val="data"/>
      <sheetName val="Sheet5"/>
      <sheetName val="Biaya-netto (3)"/>
      <sheetName val="XXXXXXXX"/>
      <sheetName val="Install"/>
      <sheetName val="Geot-cf"/>
      <sheetName val="Air-cf"/>
      <sheetName val="Gas-cf"/>
      <sheetName val="HSD-C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ek Progres F12,13,14"/>
      <sheetName val="REALISASI PER-WIL"/>
      <sheetName val="IPP 2011"/>
      <sheetName val="REALISASI PER-KIT"/>
      <sheetName val="Energy Mix"/>
      <sheetName val="Per PLTU"/>
      <sheetName val="BBM Per Pemasok"/>
      <sheetName val="Gas Per Pemasok"/>
      <sheetName val="Rekap PLN+IPP"/>
      <sheetName val="Rekap BBM 2011 Add Mobil 5"/>
      <sheetName val="Rekap BBM 2011 Add Mobil 9.5"/>
      <sheetName val="Rekap BBM 2011 Kapal 5"/>
      <sheetName val="Rekap BBM 2011 Kapal 9.5"/>
      <sheetName val="Lelang"/>
      <sheetName val="HRG GAS"/>
      <sheetName val="Kontrak vs Realisasi Gas"/>
      <sheetName val="Grafik Gas"/>
      <sheetName val="Grafik batubara"/>
      <sheetName val="GWh Per-Jns Kit"/>
      <sheetName val="Stok Fuel 2011"/>
      <sheetName val="Stok Coal Jawa"/>
      <sheetName val="Stok HSD LJB"/>
      <sheetName val="Stok HSD Jawa"/>
      <sheetName val="Stok MFO LJB"/>
      <sheetName val="Stok MFO Jawa"/>
      <sheetName val="Stok Coal LJB"/>
      <sheetName val="Batubara Ind"/>
      <sheetName val="Rp-kWh"/>
      <sheetName val="HOLDING"/>
      <sheetName val="AP"/>
      <sheetName val="Percepatan"/>
      <sheetName val="IPP"/>
      <sheetName val="SUMMARY SFC"/>
      <sheetName val="SUMMARY SFC (2)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Hitung BP"/>
      <sheetName val="KOEF"/>
      <sheetName val="Tabel ND(Tb8)"/>
      <sheetName val="Grafik ND(Tb9)"/>
      <sheetName val="Data"/>
      <sheetName val="Panduan"/>
      <sheetName val="HAR"/>
      <sheetName val="GGN"/>
      <sheetName val="TERPASANG"/>
      <sheetName val="V. MUSIM"/>
      <sheetName val="DERATING"/>
      <sheetName val="GRFRencBP"/>
      <sheetName val="BP"/>
      <sheetName val="NerDa"/>
      <sheetName val="Gb.Komposisi Kit"/>
      <sheetName val="Mampu Pasok"/>
      <sheetName val="Gb. Kurva Beban Sept"/>
      <sheetName val="9 Sept 05--1296,8 MW"/>
      <sheetName val="kerja-libur"/>
      <sheetName val="PO (2)"/>
      <sheetName val="PO"/>
      <sheetName val="MO"/>
      <sheetName val="Waduk"/>
      <sheetName val="Per kit"/>
      <sheetName val="Mampu Pasok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COVER"/>
      <sheetName val="2.BEBANUPBSBS"/>
      <sheetName val="3.SWITCHKITLUR"/>
      <sheetName val="4.GGNKITLUR"/>
      <sheetName val="5.KETDKSIAPANKITLUR"/>
      <sheetName val="6.KWHKIT"/>
      <sheetName val="7.KWHGI"/>
      <sheetName val="8.TEGANGAN"/>
      <sheetName val="9.TRAFOPHT"/>
      <sheetName val="ELEVASI"/>
      <sheetName val="10.PEMADAMAN"/>
      <sheetName val="11.SCADATEL"/>
      <sheetName val="12.REFERENSI"/>
      <sheetName val="13.SER-PAGI"/>
      <sheetName val="14.SER-SIANG"/>
      <sheetName val="15.SER-MAL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"/>
      <sheetName val="El-For.Adi"/>
      <sheetName val="Module1"/>
      <sheetName val="Pro"/>
      <sheetName val="Defor"/>
      <sheetName val="DElFor-pro"/>
    </sheetNames>
    <definedNames>
      <definedName name="Macro1"/>
      <definedName name="Macro2"/>
      <definedName name="Macro3"/>
      <definedName name="Macro4"/>
      <definedName name="Macro5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TO"/>
      <sheetName val="Adj Ashan 1"/>
      <sheetName val="Adj BGP"/>
      <sheetName val="PLTD SEWA ACEH"/>
      <sheetName val="Adj TD AKE"/>
      <sheetName val="Adj AD PPASR"/>
      <sheetName val="INALUM"/>
      <sheetName val="1.COVER"/>
      <sheetName val="2.BEBANUPBSBU"/>
      <sheetName val="2.1.ISIANBRUTTO"/>
      <sheetName val="2.2.DMP"/>
      <sheetName val="3.GRAFIK"/>
      <sheetName val="4.SWITCHKITLUR"/>
      <sheetName val="5.GGNKITLUR"/>
      <sheetName val="6.KETDKSIAPANKITLUR"/>
      <sheetName val="7.KWHKIT"/>
      <sheetName val="9.TRAFOPHT"/>
      <sheetName val="10.TEGANGAN"/>
      <sheetName val="11.PEMADAMAN"/>
      <sheetName val="12.SCADATEL"/>
      <sheetName val="13.REFERENSI"/>
      <sheetName val="REKAP "/>
      <sheetName val="UFR-1"/>
      <sheetName val="UFR-2"/>
      <sheetName val="UFR-3"/>
      <sheetName val="Start Kit"/>
      <sheetName val="Stop K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TO"/>
      <sheetName val="1.COVER"/>
      <sheetName val="2.BEBANUPBSBU"/>
      <sheetName val="3.SWITCHKITLUR"/>
      <sheetName val="4.GGNKITLUR"/>
      <sheetName val="5.KETDKSIAPANKITLUR"/>
      <sheetName val="6.KWHKIT"/>
      <sheetName val="7.KWHGI"/>
      <sheetName val="8.TEGANGAN"/>
      <sheetName val="9.TRAFOPHT"/>
      <sheetName val="10.PEMADAMAN"/>
      <sheetName val="11.SCADATEL"/>
      <sheetName val="12.REFERENSI"/>
      <sheetName val="13. INALUM"/>
      <sheetName val="UFR-1"/>
      <sheetName val="UFR-2"/>
      <sheetName val="UFR-3"/>
      <sheetName val="ASAHAN 1"/>
      <sheetName val="DMP"/>
      <sheetName val="SBU-SBT"/>
      <sheetName val="BINJAI 275 KV"/>
      <sheetName val="275 BNJAI"/>
      <sheetName val="NDUPBSBU "/>
      <sheetName val="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0"/>
      <sheetName val="UshDeb03001"/>
      <sheetName val="SBS-SBT"/>
      <sheetName val="GABUNGAN"/>
      <sheetName val="Sheet1"/>
      <sheetName val="Sheet2"/>
      <sheetName val="Sheet3"/>
      <sheetName val="CashFlow012001Anggaran"/>
      <sheetName val="DENPASAR"/>
      <sheetName val="Asumsi"/>
      <sheetName val="Ref"/>
      <sheetName val="L_23"/>
      <sheetName val="Penjualan"/>
      <sheetName val="PdptBP"/>
      <sheetName val="PdptLain"/>
      <sheetName val="ProdVolBiaya"/>
      <sheetName val="IPP"/>
      <sheetName val="Sewa"/>
      <sheetName val="Har"/>
      <sheetName val="BPeg"/>
      <sheetName val="Depr"/>
      <sheetName val="BAdmin"/>
      <sheetName val="LuarOperasi"/>
      <sheetName val="ca"/>
      <sheetName val="ENERGI MIX 2005-2010-OK-rev2"/>
      <sheetName val="Resume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RENC"/>
      <sheetName val="Piket"/>
      <sheetName val="grafik"/>
      <sheetName val="Pagi"/>
      <sheetName val="Siang"/>
      <sheetName val="Malam"/>
      <sheetName val="Perintah"/>
      <sheetName val="Reaktor"/>
      <sheetName val="Cat_kit"/>
      <sheetName val="Cat_lur"/>
      <sheetName val="Kit1234"/>
      <sheetName val="IBT&amp;Transf"/>
      <sheetName val="PU_10"/>
      <sheetName val="PU_19"/>
      <sheetName val="Prod, BB"/>
      <sheetName val="BB&amp;Air"/>
      <sheetName val="EvKit"/>
      <sheetName val="EvTot"/>
      <sheetName val="Scada"/>
      <sheetName val="LC_Tie-in"/>
      <sheetName val="Padam"/>
      <sheetName val="MVA"/>
      <sheetName val="GANG."/>
      <sheetName val="Grafk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rmal1"/>
      <sheetName val="Thermal2"/>
      <sheetName val="Type_BhnBkr"/>
      <sheetName val="Finansial"/>
      <sheetName val="PP"/>
      <sheetName val="Type_Pemb"/>
      <sheetName val="Inv_NAD"/>
      <sheetName val="Inv_SUMUT"/>
      <sheetName val="Inv_RIAU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KALTIM"/>
      <sheetName val="Inv_KALSELTENG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&amp;faktor kali"/>
      <sheetName val="kwhpakai_all"/>
      <sheetName val="FORM LU 5"/>
      <sheetName val="terima"/>
      <sheetName val="PS GI"/>
      <sheetName val="kirim"/>
      <sheetName val="A.Terima F(1-2)"/>
      <sheetName val="B.Kirim F(1-3)"/>
      <sheetName val="C.12RB F(1-1)"/>
      <sheetName val="FORM LU 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-R"/>
      <sheetName val="NRC"/>
      <sheetName val="PerhitunganKinKeu_kit"/>
      <sheetName val="target_penunjang"/>
      <sheetName val="target_ki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Cover"/>
      <sheetName val="Log"/>
      <sheetName val="SETUP"/>
      <sheetName val="SEM"/>
      <sheetName val="WRI"/>
      <sheetName val="IWEA"/>
      <sheetName val="GCS"/>
      <sheetName val="Data_Dispatch"/>
      <sheetName val="Processes"/>
      <sheetName val="Commodities"/>
      <sheetName val="ELC_FuelTech"/>
      <sheetName val="E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-2"/>
      <sheetName val="E7"/>
      <sheetName val="Pangsa Pasar"/>
      <sheetName val="Sensi-BBM"/>
      <sheetName val="L-R-OK"/>
      <sheetName val="Sheet1"/>
      <sheetName val="Usia"/>
      <sheetName val="pddk"/>
      <sheetName val="tabel JHT"/>
      <sheetName val="GABUNGAN"/>
      <sheetName val="LabaRugi Fungsi th (t-1)(21B)"/>
      <sheetName val="SWA_RPTL"/>
      <sheetName val="M-PEG"/>
      <sheetName val="Sch-5"/>
      <sheetName val="Laba Rugi"/>
      <sheetName val="GeneralInfo"/>
      <sheetName val="Asumsi"/>
      <sheetName val="Sudah Berjalan"/>
      <sheetName val="UPAH"/>
      <sheetName val="MU"/>
      <sheetName val="Sentra"/>
      <sheetName val="LAIN2"/>
      <sheetName val="L-R"/>
      <sheetName val="L_23"/>
      <sheetName val="DTU"/>
      <sheetName val="BA-1"/>
      <sheetName val="BA1"/>
      <sheetName val="D-2"/>
      <sheetName val="sept"/>
      <sheetName val="FORM BQ TL PRATU 4cct"/>
      <sheetName val="RAB GI"/>
      <sheetName val="LOGRESUME"/>
      <sheetName val="SATPAM"/>
      <sheetName val="3-DIV2"/>
      <sheetName val="Master Ed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ission Form"/>
      <sheetName val="Feuil2"/>
      <sheetName val="XL4Test5"/>
      <sheetName val="Sheet1"/>
      <sheetName val="01 A"/>
      <sheetName val="XREF"/>
      <sheetName val="Har_Sus"/>
      <sheetName val="006 AC Standing Floor CT"/>
      <sheetName val="THN-7"/>
      <sheetName val="Sudah Berjalan"/>
      <sheetName val="RKA 2012 (GAS)"/>
      <sheetName val="KONTRAK RAFLINDO"/>
      <sheetName val="Komp-A"/>
      <sheetName val="Harian"/>
      <sheetName val="tabel-JHT"/>
      <sheetName val="rkap2008"/>
      <sheetName val="List"/>
      <sheetName val="C3"/>
      <sheetName val="Aktual Realisasi 2011 TW V2"/>
      <sheetName val="Aktual Realisasi 2012 FINAL"/>
      <sheetName val="Non Rutin Baai"/>
      <sheetName val="Non Rutin SKM"/>
      <sheetName val="Priodik Mirrless2B SKM (2)"/>
      <sheetName val="Priodik Mirrless2 SKM"/>
      <sheetName val="Pri Mir 3 TO"/>
      <sheetName val="Priodik Sulzer 2 Baai"/>
      <sheetName val="Priodik Sulzer 2B Baai"/>
      <sheetName val="Priodik SWD BAAI"/>
      <sheetName val="Rutin Baai "/>
      <sheetName val="Rutin SKM"/>
      <sheetName val="Parameter"/>
      <sheetName val="Sheet2"/>
      <sheetName val="AnalisaSIPIL RIIL"/>
      <sheetName val="IkhtisarBiop(12.0)"/>
      <sheetName val="PendOpLain(11B)"/>
      <sheetName val="E450"/>
      <sheetName val="prev-i"/>
      <sheetName val="Kamus"/>
      <sheetName val="sch 1.2"/>
      <sheetName val="Sch-5"/>
      <sheetName val="Kontrak vs Realisasi Gas"/>
      <sheetName val="TB"/>
      <sheetName val="totaL"/>
      <sheetName val="Usulan"/>
      <sheetName val="W1"/>
      <sheetName val="Material"/>
      <sheetName val="BBT HARDU"/>
      <sheetName val="KALK_GES"/>
      <sheetName val="LAIN2"/>
      <sheetName val="unit"/>
      <sheetName val="Penjualan"/>
      <sheetName val="ProdSendiri"/>
      <sheetName val="PS&amp;Susut TL"/>
      <sheetName val="SewaBeli"/>
      <sheetName val="Transfer"/>
      <sheetName val="BBT HARJAR"/>
      <sheetName val="Formulas"/>
      <sheetName val="non feeder-kc"/>
      <sheetName val="Dasar Pemadaman"/>
      <sheetName val="aruskas"/>
      <sheetName val="W-NAD"/>
      <sheetName val="RAB GI"/>
      <sheetName val="Mar 2004"/>
      <sheetName val="terima"/>
      <sheetName val="Form-B-R1"/>
      <sheetName val="SISTEM SUMBAGSEL"/>
      <sheetName val="Resume"/>
      <sheetName val="NP"/>
      <sheetName val="LK2004"/>
      <sheetName val="L_23"/>
      <sheetName val="Asumsi"/>
      <sheetName val="daftar hrg mat 07"/>
      <sheetName val="BBaku(12C3)"/>
      <sheetName val="BBMJenis(12B1)"/>
      <sheetName val="BiLuOp(14)"/>
      <sheetName val="Bipeg-U(12D2)"/>
      <sheetName val="BiPinjamin(15)"/>
      <sheetName val="BOLain(12E2)"/>
      <sheetName val="BPeg-F(12D1)"/>
      <sheetName val="HarJabor(12C2)"/>
      <sheetName val="JualGTarif(11A)"/>
      <sheetName val="LabaRugi Fungsi"/>
      <sheetName val="LabaRugi Fungsi2004(21B)"/>
      <sheetName val="LabaRugi Lainnya 2005(20)"/>
      <sheetName val="LabaRugi Unsur2004(21A)"/>
      <sheetName val="PembelianiTL(12A1"/>
      <sheetName val="PendaLuOp(13)"/>
      <sheetName val="PenjTL(18)"/>
      <sheetName val="ProduksiTL(12B2)"/>
      <sheetName val="SewaPemb(12A2)"/>
      <sheetName val="IN OUT"/>
      <sheetName val="Sheet3"/>
      <sheetName val="TRANS"/>
      <sheetName val="RJBR"/>
      <sheetName val="16 - Alternative Unit Pricing"/>
      <sheetName val="Estimate"/>
      <sheetName val="Fuel Gas"/>
      <sheetName val="Harga Satuan"/>
      <sheetName val="RAB"/>
      <sheetName val="3-DIV2"/>
      <sheetName val="analhps Pasng"/>
      <sheetName val="NerSubsis"/>
      <sheetName val="FEB"/>
      <sheetName val="JAN"/>
      <sheetName val="MAR"/>
      <sheetName val="UshDeb00"/>
      <sheetName val="Cover"/>
      <sheetName val="For Report-Akum"/>
      <sheetName val="Submission_Form"/>
      <sheetName val="01_A"/>
      <sheetName val="Sudah_Berjalan"/>
      <sheetName val="006_AC_Standing_Floor_CT"/>
      <sheetName val="RKA_2012_(GAS)"/>
      <sheetName val="KONTRAK_RAFLINDO"/>
      <sheetName val="Aktual_Realisasi_2011_TW_V2"/>
      <sheetName val="Aktual_Realisasi_2012_FINAL"/>
      <sheetName val="Non_Rutin_Baai"/>
      <sheetName val="Non_Rutin_SKM"/>
      <sheetName val="Priodik_Mirrless2B_SKM_(2)"/>
      <sheetName val="Priodik_Mirrless2_SKM"/>
      <sheetName val="Pri_Mir_3_TO"/>
      <sheetName val="Priodik_Sulzer_2_Baai"/>
      <sheetName val="Priodik_Sulzer_2B_Baai"/>
      <sheetName val="Priodik_SWD_BAAI"/>
      <sheetName val="Rutin_Baai_"/>
      <sheetName val="Rutin_SKM"/>
      <sheetName val="IkhtisarBiop(12_0)"/>
      <sheetName val="R-SM-KIN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TO"/>
      <sheetName val="Adj Ashan 1"/>
      <sheetName val="Adj BGP"/>
      <sheetName val="PLTD SEWA ACEH"/>
      <sheetName val="Adj TD AKE"/>
      <sheetName val="Adj AD PPASR"/>
      <sheetName val="INALUM"/>
      <sheetName val="1.COVER"/>
      <sheetName val="2.BEBANUPBSBU"/>
      <sheetName val="2.1.ISIANBRUTTO"/>
      <sheetName val="2.2.DMP"/>
      <sheetName val="3.GRAFIK"/>
      <sheetName val="4.SWITCHKITLUR"/>
      <sheetName val="5.GGNKITLUR"/>
      <sheetName val="6.KETDKSIAPANKITLUR"/>
      <sheetName val="7.KWHKIT"/>
      <sheetName val="9.TRAFOPHT"/>
      <sheetName val="10.TEGANGAN"/>
      <sheetName val="11.PEMADAMAN"/>
      <sheetName val="12.SCADATEL"/>
      <sheetName val="13.REFERENSI"/>
      <sheetName val="GRAFIK KWH PROD"/>
      <sheetName val="REKAP "/>
      <sheetName val="SINKRON SBU-T"/>
      <sheetName val="UFR-1"/>
      <sheetName val="UFR-2"/>
      <sheetName val="UFR-3"/>
      <sheetName val="START KIT"/>
      <sheetName val="STOP KIT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57"/>
  <sheetViews>
    <sheetView zoomScale="90" zoomScaleNormal="90" workbookViewId="0">
      <selection activeCell="F49" sqref="F49"/>
    </sheetView>
  </sheetViews>
  <sheetFormatPr baseColWidth="10" defaultColWidth="8.83203125" defaultRowHeight="13"/>
  <cols>
    <col min="1" max="1" width="3" bestFit="1" customWidth="1"/>
    <col min="2" max="2" width="18.33203125" bestFit="1" customWidth="1"/>
    <col min="3" max="3" width="40.1640625" bestFit="1" customWidth="1"/>
    <col min="4" max="12" width="13.33203125" customWidth="1"/>
    <col min="13" max="13" width="10.83203125" customWidth="1"/>
    <col min="14" max="14" width="12.33203125" bestFit="1" customWidth="1"/>
    <col min="15" max="15" width="2" bestFit="1" customWidth="1"/>
    <col min="16" max="16" width="12.33203125" bestFit="1" customWidth="1"/>
    <col min="18" max="18" width="6.6640625" bestFit="1" customWidth="1"/>
    <col min="19" max="19" width="9.33203125" bestFit="1" customWidth="1"/>
    <col min="20" max="20" width="2" bestFit="1" customWidth="1"/>
    <col min="21" max="21" width="21.33203125" bestFit="1" customWidth="1"/>
    <col min="22" max="22" width="23.33203125" bestFit="1" customWidth="1"/>
    <col min="23" max="30" width="10.83203125" customWidth="1"/>
  </cols>
  <sheetData>
    <row r="1" spans="2:30">
      <c r="P1" s="21" t="s">
        <v>192</v>
      </c>
      <c r="Q1" s="157" t="s">
        <v>193</v>
      </c>
      <c r="R1" s="157" t="s">
        <v>194</v>
      </c>
      <c r="S1" s="157" t="s">
        <v>195</v>
      </c>
    </row>
    <row r="2" spans="2:30" ht="16">
      <c r="D2" s="39" t="s">
        <v>196</v>
      </c>
      <c r="E2" s="39" t="s">
        <v>197</v>
      </c>
      <c r="F2" s="39" t="s">
        <v>198</v>
      </c>
      <c r="G2" s="39" t="s">
        <v>199</v>
      </c>
      <c r="H2" s="39" t="s">
        <v>200</v>
      </c>
      <c r="I2" s="39" t="s">
        <v>201</v>
      </c>
      <c r="J2" s="39" t="s">
        <v>202</v>
      </c>
      <c r="K2" s="39" t="s">
        <v>203</v>
      </c>
      <c r="L2" s="26"/>
      <c r="Q2" s="37" t="str">
        <f>"M€"&amp;Q3</f>
        <v>M€2020</v>
      </c>
      <c r="R2" s="12" t="s">
        <v>204</v>
      </c>
      <c r="S2" s="12" t="s">
        <v>205</v>
      </c>
      <c r="W2" s="39" t="s">
        <v>196</v>
      </c>
      <c r="X2" s="39" t="s">
        <v>197</v>
      </c>
      <c r="Y2" s="39" t="s">
        <v>198</v>
      </c>
      <c r="Z2" s="39" t="s">
        <v>199</v>
      </c>
      <c r="AA2" s="39" t="s">
        <v>200</v>
      </c>
      <c r="AB2" s="39" t="s">
        <v>201</v>
      </c>
      <c r="AC2" s="39" t="s">
        <v>202</v>
      </c>
      <c r="AD2" s="39" t="s">
        <v>203</v>
      </c>
    </row>
    <row r="3" spans="2:30" ht="28">
      <c r="C3" s="7"/>
      <c r="D3" s="40" t="s">
        <v>70</v>
      </c>
      <c r="E3" s="40" t="s">
        <v>206</v>
      </c>
      <c r="F3" s="40" t="s">
        <v>207</v>
      </c>
      <c r="G3" s="40" t="s">
        <v>208</v>
      </c>
      <c r="H3" s="40" t="s">
        <v>209</v>
      </c>
      <c r="I3" s="40" t="s">
        <v>210</v>
      </c>
      <c r="J3" s="40" t="s">
        <v>211</v>
      </c>
      <c r="K3" s="40" t="s">
        <v>212</v>
      </c>
      <c r="L3" s="35" t="s">
        <v>213</v>
      </c>
      <c r="P3" t="s">
        <v>214</v>
      </c>
      <c r="Q3">
        <v>2020</v>
      </c>
      <c r="U3" s="21" t="s">
        <v>215</v>
      </c>
      <c r="V3" s="7"/>
      <c r="W3" s="40" t="s">
        <v>216</v>
      </c>
      <c r="X3" s="40" t="s">
        <v>206</v>
      </c>
      <c r="Y3" s="40" t="s">
        <v>217</v>
      </c>
      <c r="Z3" s="40" t="s">
        <v>218</v>
      </c>
      <c r="AA3" s="40" t="s">
        <v>219</v>
      </c>
      <c r="AB3" s="40" t="s">
        <v>210</v>
      </c>
      <c r="AC3" s="40" t="s">
        <v>211</v>
      </c>
      <c r="AD3" s="40" t="s">
        <v>212</v>
      </c>
    </row>
    <row r="4" spans="2:30">
      <c r="C4" s="109" t="s">
        <v>220</v>
      </c>
      <c r="D4" s="110"/>
      <c r="E4" s="110"/>
      <c r="F4" s="110"/>
      <c r="G4" s="111"/>
      <c r="H4" s="111"/>
      <c r="I4" s="111"/>
      <c r="J4" s="111"/>
      <c r="K4" s="111"/>
      <c r="L4" s="112"/>
      <c r="V4" s="109" t="s">
        <v>220</v>
      </c>
      <c r="W4" s="111"/>
      <c r="X4" s="111"/>
      <c r="Y4" s="111"/>
      <c r="Z4" s="111"/>
      <c r="AA4" s="111"/>
      <c r="AB4" s="111"/>
      <c r="AC4" s="111"/>
      <c r="AD4" s="112"/>
    </row>
    <row r="5" spans="2:30" ht="15">
      <c r="B5" s="41" t="s">
        <v>221</v>
      </c>
      <c r="C5" s="113" t="s">
        <v>222</v>
      </c>
      <c r="D5" s="50">
        <v>8098.3580000000002</v>
      </c>
      <c r="E5" s="49">
        <v>7899.4970000000003</v>
      </c>
      <c r="F5" s="49">
        <v>5378.5119999999997</v>
      </c>
      <c r="G5" s="38">
        <v>10775.148999999999</v>
      </c>
      <c r="H5" s="38">
        <v>5026.6000000000004</v>
      </c>
      <c r="I5" s="38">
        <v>0</v>
      </c>
      <c r="J5" s="38">
        <v>0</v>
      </c>
      <c r="K5" s="38">
        <v>0</v>
      </c>
      <c r="L5" s="114">
        <f>SUM(D5:K5)</f>
        <v>37178.115999999995</v>
      </c>
      <c r="P5" s="8"/>
      <c r="U5" s="41" t="s">
        <v>221</v>
      </c>
      <c r="V5" s="90" t="s">
        <v>222</v>
      </c>
      <c r="W5" s="89">
        <v>1</v>
      </c>
      <c r="X5" s="86">
        <v>1</v>
      </c>
      <c r="Y5" s="86">
        <v>1</v>
      </c>
      <c r="Z5" s="86">
        <v>1</v>
      </c>
      <c r="AA5" s="86">
        <v>1</v>
      </c>
      <c r="AB5" s="86">
        <v>1</v>
      </c>
      <c r="AC5" s="86">
        <v>1</v>
      </c>
      <c r="AD5" s="86">
        <v>1</v>
      </c>
    </row>
    <row r="6" spans="2:30" ht="15">
      <c r="B6" s="41" t="s">
        <v>223</v>
      </c>
      <c r="C6" s="113" t="s">
        <v>224</v>
      </c>
      <c r="D6" s="51">
        <v>6462.6710000000003</v>
      </c>
      <c r="E6" s="47">
        <v>13291.728999999999</v>
      </c>
      <c r="F6" s="47">
        <v>39959.980000000003</v>
      </c>
      <c r="G6" s="38">
        <v>0</v>
      </c>
      <c r="H6" s="38">
        <v>113.01900000000001</v>
      </c>
      <c r="I6" s="38">
        <v>7.0000000000000001E-3</v>
      </c>
      <c r="J6" s="38">
        <v>0.153</v>
      </c>
      <c r="K6" s="38">
        <v>1167.52</v>
      </c>
      <c r="L6" s="114">
        <f>SUM(D6:K6)</f>
        <v>60995.078999999998</v>
      </c>
      <c r="U6" s="41" t="s">
        <v>223</v>
      </c>
      <c r="V6" s="91" t="s">
        <v>224</v>
      </c>
      <c r="W6" s="88">
        <v>1</v>
      </c>
      <c r="X6" s="80">
        <v>1</v>
      </c>
      <c r="Y6" s="80">
        <v>1</v>
      </c>
      <c r="Z6" s="80">
        <v>1</v>
      </c>
      <c r="AA6" s="80">
        <v>1</v>
      </c>
      <c r="AB6" s="80">
        <v>1</v>
      </c>
      <c r="AC6" s="80">
        <v>1</v>
      </c>
      <c r="AD6" s="80">
        <v>1</v>
      </c>
    </row>
    <row r="7" spans="2:30" ht="15">
      <c r="B7" s="41" t="s">
        <v>225</v>
      </c>
      <c r="C7" s="113" t="s">
        <v>226</v>
      </c>
      <c r="D7" s="51">
        <v>-1147.069</v>
      </c>
      <c r="E7" s="47">
        <v>-2516.3310000000001</v>
      </c>
      <c r="F7" s="47">
        <v>-14830.662</v>
      </c>
      <c r="G7" s="38">
        <v>0</v>
      </c>
      <c r="H7" s="38">
        <v>-72.403999999999996</v>
      </c>
      <c r="I7" s="38">
        <v>0</v>
      </c>
      <c r="J7" s="38">
        <v>-0.129</v>
      </c>
      <c r="K7" s="38">
        <v>-1126.8040000000001</v>
      </c>
      <c r="L7" s="114">
        <f>SUM(D7:K7)</f>
        <v>-19693.399000000001</v>
      </c>
      <c r="P7" s="8"/>
      <c r="U7" s="41" t="s">
        <v>225</v>
      </c>
      <c r="V7" s="92" t="s">
        <v>226</v>
      </c>
      <c r="W7" s="88">
        <v>1</v>
      </c>
      <c r="X7" s="80">
        <v>1</v>
      </c>
      <c r="Y7" s="80">
        <v>1</v>
      </c>
      <c r="Z7" s="80">
        <v>1</v>
      </c>
      <c r="AA7" s="80">
        <v>1</v>
      </c>
      <c r="AB7" s="80">
        <v>1</v>
      </c>
      <c r="AC7" s="80">
        <v>1</v>
      </c>
      <c r="AD7" s="80">
        <v>1</v>
      </c>
    </row>
    <row r="8" spans="2:30" ht="15">
      <c r="B8" s="108" t="s">
        <v>227</v>
      </c>
      <c r="C8" s="55" t="s">
        <v>228</v>
      </c>
      <c r="D8" s="56">
        <f t="shared" ref="D8:L8" si="0">SUM(D5:D7)</f>
        <v>13413.960000000001</v>
      </c>
      <c r="E8" s="57">
        <f t="shared" si="0"/>
        <v>18674.894999999997</v>
      </c>
      <c r="F8" s="57">
        <f t="shared" si="0"/>
        <v>30507.830000000005</v>
      </c>
      <c r="G8" s="57">
        <f t="shared" si="0"/>
        <v>10775.148999999999</v>
      </c>
      <c r="H8" s="57">
        <f t="shared" si="0"/>
        <v>5067.2150000000001</v>
      </c>
      <c r="I8" s="57">
        <f t="shared" si="0"/>
        <v>7.0000000000000001E-3</v>
      </c>
      <c r="J8" s="57">
        <f t="shared" si="0"/>
        <v>2.3999999999999994E-2</v>
      </c>
      <c r="K8" s="57">
        <f t="shared" si="0"/>
        <v>40.715999999999894</v>
      </c>
      <c r="L8" s="58">
        <f t="shared" si="0"/>
        <v>78479.795999999988</v>
      </c>
      <c r="U8" s="36"/>
      <c r="V8" s="81"/>
      <c r="W8" s="81"/>
      <c r="X8" s="82"/>
      <c r="Y8" s="82"/>
      <c r="Z8" s="82"/>
      <c r="AA8" s="82"/>
      <c r="AB8" s="82"/>
      <c r="AC8" s="82"/>
      <c r="AD8" s="83"/>
    </row>
    <row r="9" spans="2:30">
      <c r="B9" s="36"/>
      <c r="C9" s="115" t="s">
        <v>229</v>
      </c>
      <c r="D9" s="7"/>
      <c r="E9" s="7"/>
      <c r="F9" s="7"/>
      <c r="G9" s="7"/>
      <c r="H9" s="7"/>
      <c r="I9" s="7"/>
      <c r="J9" s="7"/>
      <c r="K9" s="7"/>
      <c r="L9" s="116"/>
      <c r="U9" s="36"/>
      <c r="V9" s="115" t="s">
        <v>229</v>
      </c>
      <c r="W9" s="7"/>
      <c r="X9" s="7"/>
      <c r="Y9" s="7"/>
      <c r="Z9" s="7"/>
      <c r="AA9" s="7"/>
      <c r="AB9" s="7"/>
      <c r="AC9" s="7"/>
      <c r="AD9" s="122"/>
    </row>
    <row r="10" spans="2:30">
      <c r="B10" s="41" t="s">
        <v>230</v>
      </c>
      <c r="C10" s="60" t="s">
        <v>231</v>
      </c>
      <c r="D10" s="43">
        <v>-57.637999999999998</v>
      </c>
      <c r="E10" s="43">
        <v>-792.98</v>
      </c>
      <c r="F10" s="43">
        <v>-1848.605</v>
      </c>
      <c r="G10" s="43">
        <v>0</v>
      </c>
      <c r="H10" s="43">
        <v>-4.2830000000000004</v>
      </c>
      <c r="I10" s="43">
        <v>-1.52</v>
      </c>
      <c r="J10" s="44">
        <v>0</v>
      </c>
      <c r="K10" s="44">
        <v>0</v>
      </c>
      <c r="L10" s="117">
        <f>SUM(D10:K10)</f>
        <v>-2705.0259999999998</v>
      </c>
      <c r="U10" s="41" t="s">
        <v>230</v>
      </c>
      <c r="V10" s="60" t="s">
        <v>231</v>
      </c>
      <c r="W10" s="160">
        <v>1</v>
      </c>
      <c r="X10" s="160">
        <v>1</v>
      </c>
      <c r="Y10" s="160">
        <v>1</v>
      </c>
      <c r="Z10" s="160">
        <v>1</v>
      </c>
      <c r="AA10" s="161">
        <v>1</v>
      </c>
      <c r="AB10" s="161">
        <v>1</v>
      </c>
      <c r="AC10" s="161">
        <v>1</v>
      </c>
      <c r="AD10" s="161">
        <v>1</v>
      </c>
    </row>
    <row r="11" spans="2:30" ht="15">
      <c r="B11" s="41" t="s">
        <v>203</v>
      </c>
      <c r="C11" s="61" t="s">
        <v>232</v>
      </c>
      <c r="D11" s="47">
        <v>-9598.1200000000008</v>
      </c>
      <c r="E11" s="47">
        <v>-5635.5439999999999</v>
      </c>
      <c r="F11" s="47">
        <v>-1224.6089999999999</v>
      </c>
      <c r="G11" s="47">
        <v>-10775.148999999999</v>
      </c>
      <c r="H11" s="47">
        <v>-1255.692</v>
      </c>
      <c r="I11" s="43">
        <v>-32.948999999999998</v>
      </c>
      <c r="J11" s="43">
        <v>1737.559</v>
      </c>
      <c r="K11" s="47">
        <v>11581.04</v>
      </c>
      <c r="L11" s="117">
        <f>SUM(D11:K11)</f>
        <v>-15203.463999999996</v>
      </c>
      <c r="U11" s="41" t="s">
        <v>203</v>
      </c>
      <c r="V11" s="61" t="s">
        <v>232</v>
      </c>
      <c r="W11" s="88">
        <v>1</v>
      </c>
      <c r="X11" s="88">
        <v>1</v>
      </c>
      <c r="Y11" s="88">
        <v>1</v>
      </c>
      <c r="Z11" s="88">
        <v>1</v>
      </c>
      <c r="AA11" s="80">
        <v>1</v>
      </c>
      <c r="AB11" s="80">
        <v>1</v>
      </c>
      <c r="AC11" s="80">
        <v>1</v>
      </c>
      <c r="AD11" s="80">
        <v>1</v>
      </c>
    </row>
    <row r="12" spans="2:30">
      <c r="B12" s="41" t="s">
        <v>233</v>
      </c>
      <c r="C12" s="61" t="s">
        <v>234</v>
      </c>
      <c r="D12" s="43">
        <v>-161.39599999999999</v>
      </c>
      <c r="E12" s="43">
        <v>-301.30099999999999</v>
      </c>
      <c r="F12" s="43">
        <v>-49.649000000000001</v>
      </c>
      <c r="G12" s="43">
        <v>0</v>
      </c>
      <c r="H12" s="43">
        <v>-140.20699999999999</v>
      </c>
      <c r="I12" s="43">
        <v>-1.569</v>
      </c>
      <c r="J12" s="43">
        <v>658.74300000000005</v>
      </c>
      <c r="K12" s="43">
        <v>0</v>
      </c>
      <c r="L12" s="117">
        <f>SUM(D12:K12)</f>
        <v>4.6210000000000946</v>
      </c>
      <c r="U12" s="41" t="s">
        <v>233</v>
      </c>
      <c r="V12" s="61" t="s">
        <v>234</v>
      </c>
      <c r="W12" s="162">
        <v>1</v>
      </c>
      <c r="X12" s="162">
        <v>1</v>
      </c>
      <c r="Y12" s="162">
        <v>1</v>
      </c>
      <c r="Z12" s="162">
        <v>1</v>
      </c>
      <c r="AA12" s="163">
        <v>1</v>
      </c>
      <c r="AB12" s="163">
        <v>1</v>
      </c>
      <c r="AC12" s="163">
        <v>1</v>
      </c>
      <c r="AD12" s="163">
        <v>1</v>
      </c>
    </row>
    <row r="13" spans="2:30">
      <c r="B13" s="41" t="s">
        <v>235</v>
      </c>
      <c r="C13" s="61" t="s">
        <v>236</v>
      </c>
      <c r="D13" s="44"/>
      <c r="E13" s="44"/>
      <c r="F13" s="43">
        <v>-31736.460999999999</v>
      </c>
      <c r="G13" s="44"/>
      <c r="H13" s="44"/>
      <c r="I13" s="44"/>
      <c r="J13" s="44"/>
      <c r="K13" s="44"/>
      <c r="L13" s="117">
        <f>SUM(D13:K13)</f>
        <v>-31736.460999999999</v>
      </c>
      <c r="U13" s="41" t="s">
        <v>235</v>
      </c>
      <c r="V13" s="61" t="s">
        <v>236</v>
      </c>
      <c r="W13" s="164">
        <v>1</v>
      </c>
      <c r="X13" s="164">
        <v>1</v>
      </c>
      <c r="Y13" s="164">
        <v>1</v>
      </c>
      <c r="Z13" s="164">
        <v>1</v>
      </c>
      <c r="AA13" s="165">
        <v>1</v>
      </c>
      <c r="AB13" s="165">
        <v>1</v>
      </c>
      <c r="AC13" s="165">
        <v>1</v>
      </c>
      <c r="AD13" s="165">
        <v>1</v>
      </c>
    </row>
    <row r="14" spans="2:30" ht="15">
      <c r="B14" s="36"/>
      <c r="C14" s="55" t="s">
        <v>237</v>
      </c>
      <c r="D14" s="59">
        <f t="shared" ref="D14:L14" si="1">SUM(D10:D13)</f>
        <v>-9817.1540000000023</v>
      </c>
      <c r="E14" s="57">
        <f t="shared" si="1"/>
        <v>-6729.8249999999998</v>
      </c>
      <c r="F14" s="57">
        <f t="shared" si="1"/>
        <v>-34859.324000000001</v>
      </c>
      <c r="G14" s="57">
        <f t="shared" si="1"/>
        <v>-10775.148999999999</v>
      </c>
      <c r="H14" s="57">
        <f t="shared" si="1"/>
        <v>-1400.1819999999998</v>
      </c>
      <c r="I14" s="57">
        <f t="shared" si="1"/>
        <v>-36.038000000000004</v>
      </c>
      <c r="J14" s="57">
        <f t="shared" si="1"/>
        <v>2396.3020000000001</v>
      </c>
      <c r="K14" s="57">
        <f t="shared" si="1"/>
        <v>11581.04</v>
      </c>
      <c r="L14" s="58">
        <f t="shared" si="1"/>
        <v>-49640.33</v>
      </c>
      <c r="U14" s="36"/>
      <c r="V14" s="81"/>
      <c r="W14" s="81"/>
      <c r="X14" s="82"/>
      <c r="Y14" s="82"/>
      <c r="Z14" s="84">
        <v>0</v>
      </c>
      <c r="AA14" s="82"/>
      <c r="AB14" s="82"/>
      <c r="AC14" s="82"/>
      <c r="AD14" s="83"/>
    </row>
    <row r="15" spans="2:30">
      <c r="B15" s="36"/>
      <c r="C15" s="115" t="s">
        <v>238</v>
      </c>
      <c r="D15" s="7"/>
      <c r="E15" s="7"/>
      <c r="F15" s="7"/>
      <c r="G15" s="7"/>
      <c r="H15" s="7"/>
      <c r="I15" s="7"/>
      <c r="J15" s="7"/>
      <c r="K15" s="7"/>
      <c r="L15" s="116"/>
      <c r="U15" s="36"/>
      <c r="V15" s="115" t="s">
        <v>238</v>
      </c>
      <c r="Z15" s="32">
        <v>0</v>
      </c>
    </row>
    <row r="16" spans="2:30" ht="15">
      <c r="B16" s="41" t="s">
        <v>239</v>
      </c>
      <c r="C16" s="62" t="s">
        <v>240</v>
      </c>
      <c r="D16" s="118">
        <v>356.55500000000001</v>
      </c>
      <c r="E16" s="47">
        <v>5159.7929999999997</v>
      </c>
      <c r="F16" s="118">
        <v>2289.2930000000001</v>
      </c>
      <c r="G16" s="119">
        <v>0</v>
      </c>
      <c r="H16" s="118">
        <v>1293.9269999999999</v>
      </c>
      <c r="I16" s="118">
        <v>0</v>
      </c>
      <c r="J16" s="118">
        <v>865.48500000000001</v>
      </c>
      <c r="K16" s="118">
        <v>2871.7420000000002</v>
      </c>
      <c r="L16" s="120">
        <f t="shared" ref="L16:L23" si="2">SUM(D16:K16)</f>
        <v>12836.795</v>
      </c>
      <c r="U16" s="41" t="s">
        <v>239</v>
      </c>
      <c r="V16" s="65" t="s">
        <v>240</v>
      </c>
      <c r="W16" s="166">
        <v>1</v>
      </c>
      <c r="X16" s="166">
        <v>1</v>
      </c>
      <c r="Y16" s="166">
        <v>1</v>
      </c>
      <c r="Z16" s="166">
        <v>1</v>
      </c>
      <c r="AA16" s="167">
        <v>1</v>
      </c>
      <c r="AB16" s="167">
        <v>1</v>
      </c>
      <c r="AC16" s="167">
        <v>1</v>
      </c>
      <c r="AD16" s="167">
        <v>1</v>
      </c>
    </row>
    <row r="17" spans="2:30">
      <c r="B17" s="41" t="s">
        <v>241</v>
      </c>
      <c r="C17" s="63" t="s">
        <v>242</v>
      </c>
      <c r="D17" s="118">
        <v>56.924999999999997</v>
      </c>
      <c r="E17" s="118">
        <v>1751.73</v>
      </c>
      <c r="F17" s="118">
        <v>854.81</v>
      </c>
      <c r="G17" s="119">
        <v>0</v>
      </c>
      <c r="H17" s="118">
        <v>67.406000000000006</v>
      </c>
      <c r="I17" s="118">
        <v>1.2170000000000001</v>
      </c>
      <c r="J17" s="118">
        <v>254.64599999999999</v>
      </c>
      <c r="K17" s="118">
        <v>2527.3910000000001</v>
      </c>
      <c r="L17" s="120">
        <f t="shared" si="2"/>
        <v>5514.125</v>
      </c>
      <c r="U17" s="41" t="s">
        <v>241</v>
      </c>
      <c r="V17" s="66" t="s">
        <v>242</v>
      </c>
      <c r="W17" s="168">
        <v>1</v>
      </c>
      <c r="X17" s="168">
        <v>1</v>
      </c>
      <c r="Y17" s="168">
        <v>1</v>
      </c>
      <c r="Z17" s="168">
        <v>1</v>
      </c>
      <c r="AA17" s="169">
        <v>1</v>
      </c>
      <c r="AB17" s="169">
        <v>1</v>
      </c>
      <c r="AC17" s="169">
        <v>1</v>
      </c>
      <c r="AD17" s="169">
        <v>1</v>
      </c>
    </row>
    <row r="18" spans="2:30">
      <c r="B18" s="41" t="s">
        <v>243</v>
      </c>
      <c r="C18" s="63" t="s">
        <v>244</v>
      </c>
      <c r="D18" s="118">
        <v>1896.9860000000001</v>
      </c>
      <c r="E18" s="118">
        <v>4437.1610000000001</v>
      </c>
      <c r="F18" s="118">
        <v>2016.1110000000001</v>
      </c>
      <c r="G18" s="119">
        <v>0</v>
      </c>
      <c r="H18" s="118">
        <v>721.67100000000005</v>
      </c>
      <c r="I18" s="118">
        <v>117.19199999999999</v>
      </c>
      <c r="J18" s="118">
        <v>633.58299999999997</v>
      </c>
      <c r="K18" s="118">
        <v>4088.444</v>
      </c>
      <c r="L18" s="120">
        <f t="shared" si="2"/>
        <v>13911.147999999999</v>
      </c>
      <c r="U18" s="41" t="s">
        <v>243</v>
      </c>
      <c r="V18" s="66" t="s">
        <v>244</v>
      </c>
      <c r="W18" s="168">
        <v>1</v>
      </c>
      <c r="X18" s="168">
        <v>1</v>
      </c>
      <c r="Y18" s="168">
        <v>1</v>
      </c>
      <c r="Z18" s="168">
        <v>1</v>
      </c>
      <c r="AA18" s="169">
        <v>1</v>
      </c>
      <c r="AB18" s="169">
        <v>1</v>
      </c>
      <c r="AC18" s="169">
        <v>1</v>
      </c>
      <c r="AD18" s="169">
        <v>1</v>
      </c>
    </row>
    <row r="19" spans="2:30">
      <c r="B19" s="41" t="s">
        <v>245</v>
      </c>
      <c r="C19" s="63" t="s">
        <v>246</v>
      </c>
      <c r="D19" s="118">
        <v>44.1</v>
      </c>
      <c r="E19" s="118">
        <v>201.20599999999999</v>
      </c>
      <c r="F19" s="118">
        <v>797.37199999999996</v>
      </c>
      <c r="G19" s="119">
        <v>0</v>
      </c>
      <c r="H19" s="118">
        <v>63.085999999999999</v>
      </c>
      <c r="I19" s="118">
        <v>1E-3</v>
      </c>
      <c r="J19" s="118">
        <v>15.574</v>
      </c>
      <c r="K19" s="118">
        <v>19.386000000000003</v>
      </c>
      <c r="L19" s="120">
        <f t="shared" si="2"/>
        <v>1140.7249999999999</v>
      </c>
      <c r="U19" s="41" t="s">
        <v>245</v>
      </c>
      <c r="V19" s="66" t="s">
        <v>246</v>
      </c>
      <c r="W19" s="168">
        <v>1</v>
      </c>
      <c r="X19" s="168">
        <v>1</v>
      </c>
      <c r="Y19" s="168">
        <v>1</v>
      </c>
      <c r="Z19" s="168">
        <v>1</v>
      </c>
      <c r="AA19" s="169">
        <v>1</v>
      </c>
      <c r="AB19" s="169">
        <v>1</v>
      </c>
      <c r="AC19" s="169">
        <v>1</v>
      </c>
      <c r="AD19" s="169">
        <v>1</v>
      </c>
    </row>
    <row r="20" spans="2:30" ht="15">
      <c r="B20" s="41" t="s">
        <v>247</v>
      </c>
      <c r="C20" s="63" t="s">
        <v>248</v>
      </c>
      <c r="D20" s="118">
        <v>0.55600000000000005</v>
      </c>
      <c r="E20" s="118">
        <v>21.248999999999999</v>
      </c>
      <c r="F20" s="47">
        <v>14851.249</v>
      </c>
      <c r="G20" s="119">
        <v>0</v>
      </c>
      <c r="H20" s="118">
        <v>130.685</v>
      </c>
      <c r="I20" s="118">
        <v>0</v>
      </c>
      <c r="J20" s="118">
        <v>0</v>
      </c>
      <c r="K20" s="118">
        <v>265.97199999999998</v>
      </c>
      <c r="L20" s="120">
        <f t="shared" si="2"/>
        <v>15269.710999999999</v>
      </c>
      <c r="U20" s="41" t="s">
        <v>247</v>
      </c>
      <c r="V20" s="66" t="s">
        <v>248</v>
      </c>
      <c r="W20" s="168">
        <v>1</v>
      </c>
      <c r="X20" s="168">
        <v>1</v>
      </c>
      <c r="Y20" s="168">
        <v>1</v>
      </c>
      <c r="Z20" s="168">
        <v>1</v>
      </c>
      <c r="AA20" s="169">
        <v>1</v>
      </c>
      <c r="AB20" s="169">
        <v>1</v>
      </c>
      <c r="AC20" s="169">
        <v>1</v>
      </c>
      <c r="AD20" s="169">
        <v>1</v>
      </c>
    </row>
    <row r="21" spans="2:30">
      <c r="B21" s="41" t="s">
        <v>249</v>
      </c>
      <c r="C21" s="64" t="s">
        <v>250</v>
      </c>
      <c r="D21" s="46">
        <f>IF((SUM(D16:D20,D22:D23)-SUM(D10:D12))&gt;D8,0,(D8-SUM(D16:D20,D22:D23)+SUM(D10:D12)))</f>
        <v>1189.2309999999979</v>
      </c>
      <c r="E21" s="46">
        <f>IF((SUM(E16:E20,E22:E23)-SUM(E10:E12))&gt;E8,0,(E8-SUM(E16:E20,E22:E23)+SUM(E10:E12)))</f>
        <v>0</v>
      </c>
      <c r="F21" s="46">
        <v>392.53200000000402</v>
      </c>
      <c r="G21" s="46">
        <f>IF((SUM(G16:G20,G22:G23)-SUM(G10:G12))&gt;G8,0,(G8-SUM(G16:G20,G22:G23)+SUM(G10:G12)))</f>
        <v>0</v>
      </c>
      <c r="H21" s="46">
        <f>IF((SUM(H16:H20,H22:H23)-SUM(H10:H12))&gt;H8,0,(H8-SUM(H16:H20,H22:H23)+SUM(H10:H12)))</f>
        <v>1390.2580000000007</v>
      </c>
      <c r="I21" s="46">
        <f>IF((SUM(I16:I20,I22:I23)-SUM(I10:I12))&gt;I8,0,(I8-SUM(I16:I20,I22:I23)+SUM(I10:I12)))</f>
        <v>0</v>
      </c>
      <c r="J21" s="46">
        <f>IF((SUM(J16:J20,J22:J23)-SUM(J10:J12))&gt;J8,0,(J8-SUM(J16:J20,J22:J23)+SUM(J10:J12)))</f>
        <v>627.03800000000001</v>
      </c>
      <c r="K21" s="46">
        <v>650</v>
      </c>
      <c r="L21" s="121">
        <f t="shared" si="2"/>
        <v>4249.0590000000029</v>
      </c>
      <c r="U21" s="41" t="s">
        <v>249</v>
      </c>
      <c r="V21" s="70" t="s">
        <v>250</v>
      </c>
      <c r="W21" s="170">
        <v>1</v>
      </c>
      <c r="X21" s="170">
        <v>1</v>
      </c>
      <c r="Y21" s="170">
        <v>1</v>
      </c>
      <c r="Z21" s="170">
        <v>1</v>
      </c>
      <c r="AA21" s="171">
        <v>1</v>
      </c>
      <c r="AB21" s="171">
        <v>1</v>
      </c>
      <c r="AC21" s="171">
        <v>1</v>
      </c>
      <c r="AD21" s="171">
        <v>1</v>
      </c>
    </row>
    <row r="22" spans="2:30">
      <c r="B22" s="41" t="s">
        <v>251</v>
      </c>
      <c r="C22" s="63" t="s">
        <v>252</v>
      </c>
      <c r="D22" s="118">
        <v>52.453000000000003</v>
      </c>
      <c r="E22" s="118">
        <v>633.82299999999998</v>
      </c>
      <c r="F22" s="118">
        <v>4072.5079999999998</v>
      </c>
      <c r="G22" s="119"/>
      <c r="H22" s="118">
        <v>0</v>
      </c>
      <c r="I22" s="118">
        <v>0</v>
      </c>
      <c r="J22" s="118">
        <v>0</v>
      </c>
      <c r="K22" s="118">
        <v>0</v>
      </c>
      <c r="L22" s="120">
        <f t="shared" si="2"/>
        <v>4758.7839999999997</v>
      </c>
      <c r="U22" s="41" t="s">
        <v>251</v>
      </c>
      <c r="V22" s="66" t="s">
        <v>252</v>
      </c>
      <c r="W22" s="168">
        <v>1</v>
      </c>
      <c r="X22" s="168">
        <v>1</v>
      </c>
      <c r="Y22" s="168">
        <v>1</v>
      </c>
      <c r="Z22" s="168">
        <v>1</v>
      </c>
      <c r="AA22" s="169">
        <v>1</v>
      </c>
      <c r="AB22" s="169">
        <v>1</v>
      </c>
      <c r="AC22" s="169">
        <v>1</v>
      </c>
      <c r="AD22" s="169">
        <v>1</v>
      </c>
    </row>
    <row r="23" spans="2:30">
      <c r="B23" s="41" t="s">
        <v>253</v>
      </c>
      <c r="C23" s="63" t="s">
        <v>254</v>
      </c>
      <c r="D23" s="118">
        <v>0</v>
      </c>
      <c r="E23" s="118">
        <v>0</v>
      </c>
      <c r="F23" s="118">
        <v>2111.0920000000001</v>
      </c>
      <c r="G23" s="119"/>
      <c r="H23" s="118">
        <v>0</v>
      </c>
      <c r="I23" s="118">
        <v>0</v>
      </c>
      <c r="J23" s="118">
        <v>0</v>
      </c>
      <c r="K23" s="118">
        <v>0</v>
      </c>
      <c r="L23" s="120">
        <f t="shared" si="2"/>
        <v>2111.0920000000001</v>
      </c>
      <c r="U23" s="41" t="s">
        <v>253</v>
      </c>
      <c r="V23" s="66" t="s">
        <v>254</v>
      </c>
      <c r="W23" s="168">
        <v>1</v>
      </c>
      <c r="X23" s="168">
        <v>1</v>
      </c>
      <c r="Y23" s="168">
        <v>1</v>
      </c>
      <c r="Z23" s="168">
        <v>1</v>
      </c>
      <c r="AA23" s="169">
        <v>1</v>
      </c>
      <c r="AB23" s="169">
        <v>1</v>
      </c>
      <c r="AC23" s="169">
        <v>1</v>
      </c>
      <c r="AD23" s="169">
        <v>1</v>
      </c>
    </row>
    <row r="24" spans="2:30" ht="15">
      <c r="B24" s="108" t="s">
        <v>255</v>
      </c>
      <c r="C24" s="55" t="s">
        <v>256</v>
      </c>
      <c r="D24" s="53">
        <f t="shared" ref="D24:L24" si="3">SUM(D16:D23)</f>
        <v>3596.8059999999982</v>
      </c>
      <c r="E24" s="52">
        <f t="shared" si="3"/>
        <v>12204.962</v>
      </c>
      <c r="F24" s="52">
        <f t="shared" si="3"/>
        <v>27384.967000000001</v>
      </c>
      <c r="G24" s="52">
        <f t="shared" si="3"/>
        <v>0</v>
      </c>
      <c r="H24" s="52">
        <f t="shared" si="3"/>
        <v>3667.0330000000004</v>
      </c>
      <c r="I24" s="52">
        <f t="shared" si="3"/>
        <v>118.41</v>
      </c>
      <c r="J24" s="52">
        <f t="shared" si="3"/>
        <v>2396.326</v>
      </c>
      <c r="K24" s="53">
        <f t="shared" si="3"/>
        <v>10422.934999999999</v>
      </c>
      <c r="L24" s="54">
        <f t="shared" si="3"/>
        <v>59791.438999999998</v>
      </c>
      <c r="U24" s="41" t="s">
        <v>255</v>
      </c>
      <c r="V24" s="81"/>
      <c r="W24" s="87">
        <v>1</v>
      </c>
      <c r="X24" s="82"/>
      <c r="Y24" s="82"/>
      <c r="Z24" s="82"/>
      <c r="AA24" s="82"/>
      <c r="AB24" s="82"/>
      <c r="AC24" s="82"/>
      <c r="AD24" s="85">
        <v>1</v>
      </c>
    </row>
    <row r="25" spans="2:30">
      <c r="D25" s="8"/>
      <c r="F25" s="8"/>
      <c r="G25" s="8"/>
      <c r="H25" s="8"/>
      <c r="I25" s="8"/>
      <c r="J25" s="8"/>
      <c r="K25" s="8"/>
      <c r="L25" s="8"/>
    </row>
    <row r="26" spans="2:30">
      <c r="D26" s="8"/>
      <c r="F26" s="8"/>
      <c r="G26" s="8"/>
      <c r="H26" s="8"/>
      <c r="I26" s="8"/>
      <c r="J26" s="8"/>
      <c r="K26" s="8"/>
      <c r="L26" s="8"/>
      <c r="M26" s="8"/>
    </row>
    <row r="27" spans="2:30" ht="15">
      <c r="C27" s="47" t="s">
        <v>257</v>
      </c>
      <c r="D27" s="47"/>
      <c r="E27" s="47"/>
      <c r="F27" s="8"/>
      <c r="G27" s="8"/>
      <c r="H27" s="8"/>
      <c r="I27" s="8"/>
      <c r="J27" s="8"/>
      <c r="K27" s="8"/>
      <c r="L27" s="8"/>
      <c r="M27" s="8"/>
    </row>
    <row r="28" spans="2:30">
      <c r="D28" s="8"/>
      <c r="F28" s="8"/>
      <c r="G28" s="8"/>
      <c r="H28" s="8"/>
      <c r="I28" s="8"/>
      <c r="J28" s="8"/>
      <c r="K28" s="8"/>
      <c r="L28" s="8"/>
      <c r="M28" s="8"/>
      <c r="V28" s="157" t="s">
        <v>38</v>
      </c>
    </row>
    <row r="29" spans="2:30">
      <c r="D29" s="8"/>
      <c r="F29" s="8"/>
      <c r="G29" s="8"/>
      <c r="H29" s="8"/>
      <c r="I29" s="8"/>
      <c r="J29" s="8"/>
      <c r="K29" s="8"/>
      <c r="L29" s="8"/>
      <c r="M29" s="8"/>
    </row>
    <row r="30" spans="2:30">
      <c r="D30" s="8"/>
      <c r="F30" s="8"/>
      <c r="G30" s="8"/>
      <c r="H30" s="8"/>
      <c r="I30" s="8"/>
      <c r="J30" s="8"/>
      <c r="K30" s="8"/>
      <c r="L30" s="8"/>
      <c r="M30" s="8"/>
    </row>
    <row r="31" spans="2:30">
      <c r="D31" s="8"/>
      <c r="F31" s="8"/>
      <c r="G31" s="8"/>
      <c r="H31" s="8"/>
      <c r="I31" s="8"/>
      <c r="J31" s="8"/>
      <c r="K31" s="8"/>
      <c r="L31" s="8"/>
      <c r="M31" s="8"/>
    </row>
    <row r="32" spans="2:30">
      <c r="D32" s="8"/>
      <c r="F32" s="8"/>
      <c r="G32" s="8"/>
      <c r="H32" s="8"/>
      <c r="I32" s="8"/>
      <c r="J32" s="8"/>
      <c r="K32" s="8"/>
      <c r="L32" s="8"/>
      <c r="M32" s="8"/>
    </row>
    <row r="33" spans="2:14">
      <c r="D33" s="8"/>
      <c r="F33" s="8"/>
      <c r="G33" s="8"/>
      <c r="H33" s="8"/>
      <c r="I33" s="8"/>
      <c r="J33" s="8"/>
      <c r="K33" s="8"/>
      <c r="L33" s="8"/>
      <c r="M33" s="8"/>
    </row>
    <row r="34" spans="2:14">
      <c r="D34" s="8"/>
      <c r="F34" s="8"/>
      <c r="G34" s="8"/>
      <c r="H34" s="8"/>
      <c r="I34" s="8"/>
      <c r="J34" s="8"/>
      <c r="K34" s="8"/>
      <c r="L34" s="8"/>
      <c r="M34" s="8"/>
    </row>
    <row r="35" spans="2:14">
      <c r="D35" s="8"/>
      <c r="F35" s="8"/>
      <c r="G35" s="8"/>
      <c r="H35" s="8"/>
      <c r="I35" s="8"/>
      <c r="J35" s="8"/>
      <c r="K35" s="8"/>
      <c r="L35" s="8"/>
      <c r="M35" s="8"/>
    </row>
    <row r="36" spans="2:14">
      <c r="D36" s="172" t="s">
        <v>196</v>
      </c>
      <c r="E36" s="172" t="s">
        <v>197</v>
      </c>
      <c r="F36" s="172" t="s">
        <v>198</v>
      </c>
      <c r="G36" s="157"/>
      <c r="H36" s="157"/>
      <c r="I36" s="157"/>
      <c r="J36" s="157"/>
      <c r="K36" s="157"/>
      <c r="L36" s="157"/>
      <c r="M36" s="157"/>
    </row>
    <row r="37" spans="2:14">
      <c r="C37" s="173" t="s">
        <v>258</v>
      </c>
      <c r="D37" s="22">
        <v>0.75</v>
      </c>
      <c r="E37" s="22">
        <v>0.5</v>
      </c>
      <c r="F37" s="22">
        <v>0.8</v>
      </c>
      <c r="G37" s="24"/>
      <c r="H37" s="24"/>
      <c r="I37" s="24"/>
      <c r="J37" s="24"/>
      <c r="K37" s="24"/>
      <c r="L37" s="24"/>
      <c r="M37" s="24"/>
    </row>
    <row r="38" spans="2:14">
      <c r="C38" s="174" t="s">
        <v>259</v>
      </c>
      <c r="D38" s="23">
        <v>0.25</v>
      </c>
      <c r="E38" s="23">
        <v>0.5</v>
      </c>
      <c r="F38" s="23">
        <v>0.2</v>
      </c>
      <c r="G38" s="24"/>
      <c r="H38" s="24"/>
      <c r="I38" s="24"/>
      <c r="J38" s="24"/>
      <c r="K38" s="24"/>
      <c r="L38" s="24"/>
      <c r="M38" s="24"/>
    </row>
    <row r="39" spans="2:14">
      <c r="C39" s="157"/>
      <c r="D39" s="24"/>
    </row>
    <row r="40" spans="2:14">
      <c r="C40" s="157"/>
      <c r="D40" s="24"/>
    </row>
    <row r="41" spans="2:14" ht="28">
      <c r="B41" s="26" t="s">
        <v>260</v>
      </c>
      <c r="C41" s="73" t="s">
        <v>261</v>
      </c>
      <c r="D41" s="40" t="s">
        <v>216</v>
      </c>
      <c r="E41" s="40" t="s">
        <v>206</v>
      </c>
      <c r="F41" s="40" t="s">
        <v>217</v>
      </c>
      <c r="G41" s="40" t="s">
        <v>218</v>
      </c>
      <c r="H41" s="40" t="s">
        <v>219</v>
      </c>
      <c r="I41" s="40" t="s">
        <v>210</v>
      </c>
      <c r="J41" s="40" t="s">
        <v>211</v>
      </c>
      <c r="K41" s="40" t="s">
        <v>212</v>
      </c>
      <c r="L41" s="27"/>
    </row>
    <row r="42" spans="2:14">
      <c r="B42" s="41" t="s">
        <v>239</v>
      </c>
      <c r="C42" s="62" t="s">
        <v>262</v>
      </c>
      <c r="D42" s="65"/>
      <c r="E42" s="67"/>
      <c r="F42" s="67"/>
      <c r="G42" s="67"/>
      <c r="H42" s="67"/>
      <c r="I42" s="67"/>
      <c r="J42" s="67"/>
      <c r="K42" s="68"/>
      <c r="N42" s="62" t="s">
        <v>263</v>
      </c>
    </row>
    <row r="43" spans="2:14">
      <c r="B43" s="41" t="s">
        <v>239</v>
      </c>
      <c r="C43" s="63" t="s">
        <v>264</v>
      </c>
      <c r="D43" s="66"/>
      <c r="E43" s="42"/>
      <c r="F43" s="42"/>
      <c r="G43" s="42"/>
      <c r="H43" s="42"/>
      <c r="I43" s="42"/>
      <c r="J43" s="42"/>
      <c r="K43" s="69"/>
      <c r="N43" s="63" t="s">
        <v>265</v>
      </c>
    </row>
    <row r="44" spans="2:14" ht="15">
      <c r="B44" s="41" t="s">
        <v>239</v>
      </c>
      <c r="C44" s="63" t="s">
        <v>266</v>
      </c>
      <c r="D44" s="66"/>
      <c r="E44" s="47">
        <v>1</v>
      </c>
      <c r="F44" s="42"/>
      <c r="G44" s="42"/>
      <c r="H44" s="42"/>
      <c r="I44" s="42"/>
      <c r="J44" s="42"/>
      <c r="K44" s="69"/>
      <c r="N44" s="63" t="s">
        <v>250</v>
      </c>
    </row>
    <row r="45" spans="2:14">
      <c r="B45" s="41"/>
      <c r="C45" s="63"/>
      <c r="D45" s="66"/>
      <c r="E45" s="42"/>
      <c r="F45" s="42"/>
      <c r="G45" s="42"/>
      <c r="H45" s="42"/>
      <c r="I45" s="42"/>
      <c r="J45" s="42"/>
      <c r="K45" s="69"/>
      <c r="N45" s="63"/>
    </row>
    <row r="46" spans="2:14">
      <c r="B46" s="41" t="s">
        <v>241</v>
      </c>
      <c r="C46" s="63" t="s">
        <v>267</v>
      </c>
      <c r="D46" s="66"/>
      <c r="E46" s="42"/>
      <c r="F46" s="42"/>
      <c r="G46" s="42"/>
      <c r="H46" s="42"/>
      <c r="I46" s="42"/>
      <c r="J46" s="42"/>
      <c r="K46" s="69"/>
      <c r="N46" s="63" t="s">
        <v>268</v>
      </c>
    </row>
    <row r="47" spans="2:14">
      <c r="B47" s="41" t="s">
        <v>241</v>
      </c>
      <c r="C47" s="63" t="s">
        <v>269</v>
      </c>
      <c r="D47" s="66"/>
      <c r="E47" s="42"/>
      <c r="F47" s="42"/>
      <c r="G47" s="42"/>
      <c r="H47" s="42"/>
      <c r="I47" s="42"/>
      <c r="J47" s="42"/>
      <c r="K47" s="69"/>
      <c r="N47" s="63" t="s">
        <v>270</v>
      </c>
    </row>
    <row r="48" spans="2:14">
      <c r="B48" s="41"/>
      <c r="C48" s="63"/>
      <c r="D48" s="66"/>
      <c r="E48" s="42"/>
      <c r="F48" s="42"/>
      <c r="G48" s="42"/>
      <c r="H48" s="42"/>
      <c r="I48" s="42"/>
      <c r="J48" s="42"/>
      <c r="K48" s="69"/>
      <c r="N48" s="63"/>
    </row>
    <row r="49" spans="2:14" ht="15">
      <c r="B49" s="41" t="s">
        <v>247</v>
      </c>
      <c r="C49" s="64" t="s">
        <v>267</v>
      </c>
      <c r="D49" s="70"/>
      <c r="E49" s="45"/>
      <c r="F49" s="48">
        <v>1</v>
      </c>
      <c r="G49" s="45"/>
      <c r="H49" s="45"/>
      <c r="I49" s="45"/>
      <c r="J49" s="45"/>
      <c r="K49" s="71"/>
      <c r="N49" s="64" t="s">
        <v>268</v>
      </c>
    </row>
    <row r="52" spans="2:14" ht="14">
      <c r="C52" s="77" t="s">
        <v>271</v>
      </c>
      <c r="D52" s="79" t="s">
        <v>272</v>
      </c>
      <c r="E52" s="78" t="s">
        <v>273</v>
      </c>
    </row>
    <row r="53" spans="2:14" ht="14">
      <c r="B53" s="21" t="s">
        <v>274</v>
      </c>
      <c r="C53" s="72" t="s">
        <v>275</v>
      </c>
      <c r="D53" s="72" t="s">
        <v>276</v>
      </c>
      <c r="E53" s="75" t="s">
        <v>273</v>
      </c>
    </row>
    <row r="54" spans="2:14">
      <c r="B54" s="41" t="s">
        <v>239</v>
      </c>
      <c r="C54" s="74">
        <v>1</v>
      </c>
      <c r="D54" s="74"/>
      <c r="E54" s="74"/>
    </row>
    <row r="55" spans="2:14">
      <c r="B55" s="41" t="s">
        <v>247</v>
      </c>
      <c r="C55" s="74">
        <v>1</v>
      </c>
      <c r="D55" s="74"/>
      <c r="E55" s="74"/>
    </row>
    <row r="56" spans="2:14">
      <c r="B56" s="41" t="s">
        <v>249</v>
      </c>
      <c r="C56" s="74">
        <v>1</v>
      </c>
      <c r="D56" s="74"/>
      <c r="E56" s="74"/>
    </row>
    <row r="57" spans="2:14">
      <c r="B57" s="41" t="s">
        <v>203</v>
      </c>
      <c r="C57" s="76">
        <v>1</v>
      </c>
      <c r="D57" s="76"/>
      <c r="E57" s="7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B1:T57"/>
  <sheetViews>
    <sheetView zoomScale="90" zoomScaleNormal="90" workbookViewId="0">
      <selection activeCell="D5" sqref="D5"/>
    </sheetView>
  </sheetViews>
  <sheetFormatPr baseColWidth="10" defaultColWidth="8.83203125" defaultRowHeight="13"/>
  <cols>
    <col min="1" max="1" width="3" bestFit="1" customWidth="1"/>
    <col min="2" max="2" width="18.33203125" bestFit="1" customWidth="1"/>
    <col min="3" max="3" width="41.1640625" bestFit="1" customWidth="1"/>
    <col min="4" max="11" width="12.83203125" customWidth="1"/>
    <col min="12" max="13" width="10.33203125" customWidth="1"/>
    <col min="14" max="14" width="12.33203125" bestFit="1" customWidth="1"/>
    <col min="15" max="15" width="6.6640625" bestFit="1" customWidth="1"/>
    <col min="16" max="16" width="2" bestFit="1" customWidth="1"/>
    <col min="17" max="17" width="12.33203125" bestFit="1" customWidth="1"/>
    <col min="19" max="19" width="6.6640625" bestFit="1" customWidth="1"/>
    <col min="20" max="20" width="9.33203125" bestFit="1" customWidth="1"/>
  </cols>
  <sheetData>
    <row r="1" spans="2:20">
      <c r="Q1" s="21" t="s">
        <v>192</v>
      </c>
      <c r="R1" s="157" t="s">
        <v>193</v>
      </c>
      <c r="S1" s="157" t="s">
        <v>194</v>
      </c>
      <c r="T1" s="157" t="s">
        <v>195</v>
      </c>
    </row>
    <row r="2" spans="2:20" ht="16">
      <c r="D2" s="39" t="str">
        <f>EnergyBalance!D2</f>
        <v>COA</v>
      </c>
      <c r="E2" s="39" t="str">
        <f>EnergyBalance!E2</f>
        <v>GAS</v>
      </c>
      <c r="F2" s="39" t="str">
        <f>EnergyBalance!F2</f>
        <v>OIL</v>
      </c>
      <c r="G2" s="39" t="str">
        <f>EnergyBalance!G2</f>
        <v>NUC</v>
      </c>
      <c r="H2" s="39" t="str">
        <f>EnergyBalance!H2</f>
        <v>RNW</v>
      </c>
      <c r="I2" s="39" t="str">
        <f>EnergyBalance!I2</f>
        <v>SLU</v>
      </c>
      <c r="J2" s="39" t="str">
        <f>EnergyBalance!J2</f>
        <v>HET</v>
      </c>
      <c r="K2" s="39" t="str">
        <f>EnergyBalance!K2</f>
        <v>ELC</v>
      </c>
      <c r="L2" s="26"/>
      <c r="R2" s="12" t="s">
        <v>277</v>
      </c>
      <c r="S2" s="12" t="s">
        <v>204</v>
      </c>
      <c r="T2" s="12" t="s">
        <v>205</v>
      </c>
    </row>
    <row r="3" spans="2:20" ht="28">
      <c r="C3" s="93" t="s">
        <v>278</v>
      </c>
      <c r="D3" s="40" t="str">
        <f>EnergyBalance!D3</f>
        <v>Coal</v>
      </c>
      <c r="E3" s="40" t="str">
        <f>EnergyBalance!E3</f>
        <v>Natural Gas</v>
      </c>
      <c r="F3" s="40" t="str">
        <f>EnergyBalance!F3</f>
        <v>Crude Oil</v>
      </c>
      <c r="G3" s="40" t="str">
        <f>EnergyBalance!G3</f>
        <v>Wind Energy</v>
      </c>
      <c r="H3" s="40" t="str">
        <f>EnergyBalance!H3</f>
        <v>Solar Energy</v>
      </c>
      <c r="I3" s="40" t="str">
        <f>EnergyBalance!I3</f>
        <v>Industrial Wastes</v>
      </c>
      <c r="J3" s="40" t="str">
        <f>EnergyBalance!J3</f>
        <v>Derived Heat</v>
      </c>
      <c r="K3" s="40" t="str">
        <f>EnergyBalance!K3</f>
        <v>Electricity</v>
      </c>
      <c r="L3" s="35" t="s">
        <v>213</v>
      </c>
    </row>
    <row r="4" spans="2:20">
      <c r="C4" s="109" t="s">
        <v>220</v>
      </c>
      <c r="D4" s="110"/>
      <c r="E4" s="110"/>
      <c r="F4" s="110"/>
      <c r="G4" s="111"/>
      <c r="H4" s="111"/>
      <c r="I4" s="111"/>
      <c r="J4" s="111"/>
      <c r="K4" s="111"/>
      <c r="L4" s="112"/>
    </row>
    <row r="5" spans="2:20" ht="15">
      <c r="B5" s="41" t="s">
        <v>221</v>
      </c>
      <c r="C5" s="113" t="s">
        <v>222</v>
      </c>
      <c r="D5" s="50">
        <f>EnergyBalance!D5*EnergyBalance!W5</f>
        <v>8098.3580000000002</v>
      </c>
      <c r="E5" s="49">
        <f>EnergyBalance!E5*EnergyBalance!X5</f>
        <v>7899.4970000000003</v>
      </c>
      <c r="F5" s="49">
        <f>EnergyBalance!F5*EnergyBalance!Y5</f>
        <v>5378.5119999999997</v>
      </c>
      <c r="G5" s="38">
        <f>EnergyBalance!G5*EnergyBalance!Z5</f>
        <v>10775.148999999999</v>
      </c>
      <c r="H5" s="38">
        <f>EnergyBalance!H5*EnergyBalance!AA5</f>
        <v>5026.6000000000004</v>
      </c>
      <c r="I5" s="38">
        <f>EnergyBalance!I5*EnergyBalance!AB5</f>
        <v>0</v>
      </c>
      <c r="J5" s="38">
        <f>EnergyBalance!J5*EnergyBalance!AC5</f>
        <v>0</v>
      </c>
      <c r="K5" s="38">
        <f>EnergyBalance!K5*EnergyBalance!AD5</f>
        <v>0</v>
      </c>
      <c r="L5" s="114">
        <f>SUM(D5:K5)</f>
        <v>37178.115999999995</v>
      </c>
      <c r="Q5" s="8"/>
    </row>
    <row r="6" spans="2:20" ht="15">
      <c r="B6" s="41" t="s">
        <v>223</v>
      </c>
      <c r="C6" s="113" t="s">
        <v>224</v>
      </c>
      <c r="D6" s="51">
        <f>EnergyBalance!D6*EnergyBalance!W6</f>
        <v>6462.6710000000003</v>
      </c>
      <c r="E6" s="47">
        <f>EnergyBalance!E6*EnergyBalance!X6</f>
        <v>13291.728999999999</v>
      </c>
      <c r="F6" s="47">
        <f>EnergyBalance!F6*EnergyBalance!Y6</f>
        <v>39959.980000000003</v>
      </c>
      <c r="G6" s="38">
        <f>EnergyBalance!G6*EnergyBalance!Z6</f>
        <v>0</v>
      </c>
      <c r="H6" s="38">
        <f>EnergyBalance!H6*EnergyBalance!AA6</f>
        <v>113.01900000000001</v>
      </c>
      <c r="I6" s="38">
        <f>EnergyBalance!I6*EnergyBalance!AB6</f>
        <v>7.0000000000000001E-3</v>
      </c>
      <c r="J6" s="38">
        <f>EnergyBalance!J6*EnergyBalance!AC6</f>
        <v>0.153</v>
      </c>
      <c r="K6" s="38">
        <f>EnergyBalance!K6*EnergyBalance!AD6</f>
        <v>1167.52</v>
      </c>
      <c r="L6" s="114">
        <f>SUM(D6:K6)</f>
        <v>60995.078999999998</v>
      </c>
    </row>
    <row r="7" spans="2:20" ht="15">
      <c r="B7" s="41" t="s">
        <v>225</v>
      </c>
      <c r="C7" s="113" t="s">
        <v>226</v>
      </c>
      <c r="D7" s="51">
        <f>EnergyBalance!D7*EnergyBalance!W7</f>
        <v>-1147.069</v>
      </c>
      <c r="E7" s="47">
        <f>EnergyBalance!E7*EnergyBalance!X7</f>
        <v>-2516.3310000000001</v>
      </c>
      <c r="F7" s="47">
        <f>EnergyBalance!F7*EnergyBalance!Y7</f>
        <v>-14830.662</v>
      </c>
      <c r="G7" s="38">
        <f>EnergyBalance!G7*EnergyBalance!Z7</f>
        <v>0</v>
      </c>
      <c r="H7" s="38">
        <f>EnergyBalance!H7*EnergyBalance!AA7</f>
        <v>-72.403999999999996</v>
      </c>
      <c r="I7" s="38">
        <f>EnergyBalance!I7*EnergyBalance!AB7</f>
        <v>0</v>
      </c>
      <c r="J7" s="38">
        <f>EnergyBalance!J7*EnergyBalance!AC7</f>
        <v>-0.129</v>
      </c>
      <c r="K7" s="38">
        <f>EnergyBalance!K7*EnergyBalance!AD7</f>
        <v>-1126.8040000000001</v>
      </c>
      <c r="L7" s="114">
        <f>SUM(D7:K7)</f>
        <v>-19693.399000000001</v>
      </c>
      <c r="Q7" s="8"/>
    </row>
    <row r="8" spans="2:20" ht="15">
      <c r="B8" s="108" t="s">
        <v>227</v>
      </c>
      <c r="C8" s="55" t="s">
        <v>228</v>
      </c>
      <c r="D8" s="56">
        <f t="shared" ref="D8:K8" si="0">SUM(D5:D7)</f>
        <v>13413.960000000001</v>
      </c>
      <c r="E8" s="57">
        <f t="shared" si="0"/>
        <v>18674.894999999997</v>
      </c>
      <c r="F8" s="57">
        <f t="shared" si="0"/>
        <v>30507.830000000005</v>
      </c>
      <c r="G8" s="57">
        <f t="shared" si="0"/>
        <v>10775.148999999999</v>
      </c>
      <c r="H8" s="57">
        <f t="shared" si="0"/>
        <v>5067.2150000000001</v>
      </c>
      <c r="I8" s="57">
        <f t="shared" si="0"/>
        <v>7.0000000000000001E-3</v>
      </c>
      <c r="J8" s="57">
        <f t="shared" si="0"/>
        <v>2.3999999999999994E-2</v>
      </c>
      <c r="K8" s="57">
        <f t="shared" si="0"/>
        <v>40.715999999999894</v>
      </c>
      <c r="L8" s="58">
        <f>SUM(D8:K8)</f>
        <v>78479.796000000002</v>
      </c>
    </row>
    <row r="9" spans="2:20">
      <c r="B9" s="36"/>
      <c r="C9" s="115" t="s">
        <v>229</v>
      </c>
      <c r="D9" s="7"/>
      <c r="E9" s="7"/>
      <c r="F9" s="7"/>
      <c r="G9" s="7"/>
      <c r="H9" s="7"/>
      <c r="I9" s="7"/>
      <c r="J9" s="7"/>
      <c r="K9" s="7"/>
      <c r="L9" s="116"/>
    </row>
    <row r="10" spans="2:20">
      <c r="B10" s="41" t="s">
        <v>230</v>
      </c>
      <c r="C10" s="60" t="s">
        <v>231</v>
      </c>
      <c r="D10" s="43">
        <f>EnergyBalance!D10*EnergyBalance!W10</f>
        <v>-57.637999999999998</v>
      </c>
      <c r="E10" s="43">
        <f>EnergyBalance!E10*EnergyBalance!X10</f>
        <v>-792.98</v>
      </c>
      <c r="F10" s="43">
        <f>EnergyBalance!F10*EnergyBalance!Y10</f>
        <v>-1848.605</v>
      </c>
      <c r="G10" s="43">
        <f>EnergyBalance!G10*EnergyBalance!Z10</f>
        <v>0</v>
      </c>
      <c r="H10" s="43">
        <f>EnergyBalance!H10*EnergyBalance!AA10</f>
        <v>-4.2830000000000004</v>
      </c>
      <c r="I10" s="43">
        <f>EnergyBalance!I10*EnergyBalance!AB10</f>
        <v>-1.52</v>
      </c>
      <c r="J10" s="44">
        <f>EnergyBalance!J10*EnergyBalance!AC10</f>
        <v>0</v>
      </c>
      <c r="K10" s="44">
        <f>EnergyBalance!K10*EnergyBalance!AD10</f>
        <v>0</v>
      </c>
      <c r="L10" s="117">
        <f>SUM(D10:K10)</f>
        <v>-2705.0259999999998</v>
      </c>
    </row>
    <row r="11" spans="2:20" ht="15">
      <c r="B11" s="41" t="s">
        <v>203</v>
      </c>
      <c r="C11" s="61" t="s">
        <v>232</v>
      </c>
      <c r="D11" s="47">
        <f>EnergyBalance!D11*EnergyBalance!W11</f>
        <v>-9598.1200000000008</v>
      </c>
      <c r="E11" s="47">
        <f>EnergyBalance!E11*EnergyBalance!X11</f>
        <v>-5635.5439999999999</v>
      </c>
      <c r="F11" s="47">
        <f>EnergyBalance!F11*EnergyBalance!Y11</f>
        <v>-1224.6089999999999</v>
      </c>
      <c r="G11" s="47">
        <f>EnergyBalance!G11*EnergyBalance!Z11</f>
        <v>-10775.148999999999</v>
      </c>
      <c r="H11" s="47">
        <f>EnergyBalance!H11*EnergyBalance!AA11</f>
        <v>-1255.692</v>
      </c>
      <c r="I11" s="43">
        <f>EnergyBalance!I11*EnergyBalance!AB11</f>
        <v>-32.948999999999998</v>
      </c>
      <c r="J11" s="43">
        <f>EnergyBalance!J11*EnergyBalance!AC11</f>
        <v>1737.559</v>
      </c>
      <c r="K11" s="47">
        <f>EnergyBalance!K11*EnergyBalance!AD11</f>
        <v>11581.04</v>
      </c>
      <c r="L11" s="117">
        <f>SUM(D11:K11)</f>
        <v>-15203.463999999996</v>
      </c>
    </row>
    <row r="12" spans="2:20">
      <c r="B12" s="41" t="s">
        <v>233</v>
      </c>
      <c r="C12" s="61" t="s">
        <v>234</v>
      </c>
      <c r="D12" s="43">
        <f>EnergyBalance!D12*EnergyBalance!W12</f>
        <v>-161.39599999999999</v>
      </c>
      <c r="E12" s="43">
        <f>EnergyBalance!E12*EnergyBalance!X12</f>
        <v>-301.30099999999999</v>
      </c>
      <c r="F12" s="43">
        <f>EnergyBalance!F12*EnergyBalance!Y12</f>
        <v>-49.649000000000001</v>
      </c>
      <c r="G12" s="43">
        <f>EnergyBalance!G12*EnergyBalance!Z12</f>
        <v>0</v>
      </c>
      <c r="H12" s="43">
        <f>EnergyBalance!H12*EnergyBalance!AA12</f>
        <v>-140.20699999999999</v>
      </c>
      <c r="I12" s="43">
        <f>EnergyBalance!I12*EnergyBalance!AB12</f>
        <v>-1.569</v>
      </c>
      <c r="J12" s="43">
        <f>EnergyBalance!J12*EnergyBalance!AC12</f>
        <v>658.74300000000005</v>
      </c>
      <c r="K12" s="43">
        <f>EnergyBalance!K12*EnergyBalance!AD12</f>
        <v>0</v>
      </c>
      <c r="L12" s="117">
        <f>SUM(D12:K12)</f>
        <v>4.6210000000000946</v>
      </c>
    </row>
    <row r="13" spans="2:20">
      <c r="B13" s="41" t="s">
        <v>235</v>
      </c>
      <c r="C13" s="61" t="s">
        <v>236</v>
      </c>
      <c r="D13" s="44">
        <f>EnergyBalance!D13*EnergyBalance!W13</f>
        <v>0</v>
      </c>
      <c r="E13" s="44">
        <f>EnergyBalance!E13*EnergyBalance!X13</f>
        <v>0</v>
      </c>
      <c r="F13" s="43">
        <f>EnergyBalance!F13*EnergyBalance!Y13</f>
        <v>-31736.460999999999</v>
      </c>
      <c r="G13" s="44">
        <f>EnergyBalance!G13*EnergyBalance!Z13</f>
        <v>0</v>
      </c>
      <c r="H13" s="44">
        <f>EnergyBalance!H13*EnergyBalance!AA13</f>
        <v>0</v>
      </c>
      <c r="I13" s="44">
        <f>EnergyBalance!I13*EnergyBalance!AB13</f>
        <v>0</v>
      </c>
      <c r="J13" s="44">
        <f>EnergyBalance!J13*EnergyBalance!AC13</f>
        <v>0</v>
      </c>
      <c r="K13" s="44">
        <f>EnergyBalance!K13*EnergyBalance!AD13</f>
        <v>0</v>
      </c>
      <c r="L13" s="117">
        <f>SUM(D13:K13)</f>
        <v>-31736.460999999999</v>
      </c>
    </row>
    <row r="14" spans="2:20" ht="15">
      <c r="B14" s="36"/>
      <c r="C14" s="55" t="s">
        <v>237</v>
      </c>
      <c r="D14" s="59">
        <f t="shared" ref="D14:K14" si="1">SUM(D10:D13)</f>
        <v>-9817.1540000000023</v>
      </c>
      <c r="E14" s="57">
        <f t="shared" si="1"/>
        <v>-6729.8249999999998</v>
      </c>
      <c r="F14" s="57">
        <f t="shared" si="1"/>
        <v>-34859.324000000001</v>
      </c>
      <c r="G14" s="57">
        <f t="shared" si="1"/>
        <v>-10775.148999999999</v>
      </c>
      <c r="H14" s="57">
        <f t="shared" si="1"/>
        <v>-1400.1819999999998</v>
      </c>
      <c r="I14" s="57">
        <f t="shared" si="1"/>
        <v>-36.038000000000004</v>
      </c>
      <c r="J14" s="57">
        <f t="shared" si="1"/>
        <v>2396.3020000000001</v>
      </c>
      <c r="K14" s="57">
        <f t="shared" si="1"/>
        <v>11581.04</v>
      </c>
      <c r="L14" s="58">
        <f>SUM(D14:K14)</f>
        <v>-49640.329999999994</v>
      </c>
    </row>
    <row r="15" spans="2:20">
      <c r="B15" s="36"/>
      <c r="C15" s="115" t="s">
        <v>238</v>
      </c>
      <c r="D15" s="7"/>
      <c r="E15" s="7"/>
      <c r="F15" s="7"/>
      <c r="G15" s="7"/>
      <c r="H15" s="7"/>
      <c r="I15" s="7"/>
      <c r="J15" s="7"/>
      <c r="K15" s="7"/>
      <c r="L15" s="116"/>
    </row>
    <row r="16" spans="2:20" ht="15">
      <c r="B16" s="41" t="s">
        <v>239</v>
      </c>
      <c r="C16" s="62" t="s">
        <v>240</v>
      </c>
      <c r="D16" s="118">
        <f>EnergyBalance!D16*EnergyBalance!W16</f>
        <v>356.55500000000001</v>
      </c>
      <c r="E16" s="47">
        <f>EnergyBalance!E16*EnergyBalance!X16</f>
        <v>5159.7929999999997</v>
      </c>
      <c r="F16" s="118">
        <f>EnergyBalance!F16*EnergyBalance!Y16</f>
        <v>2289.2930000000001</v>
      </c>
      <c r="G16" s="119">
        <f>EnergyBalance!G16*EnergyBalance!Z16</f>
        <v>0</v>
      </c>
      <c r="H16" s="118">
        <f>EnergyBalance!H16*EnergyBalance!AA16</f>
        <v>1293.9269999999999</v>
      </c>
      <c r="I16" s="118">
        <f>EnergyBalance!I16*EnergyBalance!AB16</f>
        <v>0</v>
      </c>
      <c r="J16" s="118">
        <f>EnergyBalance!J16*EnergyBalance!AC16</f>
        <v>865.48500000000001</v>
      </c>
      <c r="K16" s="118">
        <f>EnergyBalance!K16*EnergyBalance!AD16</f>
        <v>2871.7420000000002</v>
      </c>
      <c r="L16" s="120">
        <f t="shared" ref="L16:L24" si="2">SUM(D16:K16)</f>
        <v>12836.795</v>
      </c>
    </row>
    <row r="17" spans="2:13">
      <c r="B17" s="41" t="s">
        <v>241</v>
      </c>
      <c r="C17" s="63" t="s">
        <v>242</v>
      </c>
      <c r="D17" s="118">
        <f>EnergyBalance!D17*EnergyBalance!W17</f>
        <v>56.924999999999997</v>
      </c>
      <c r="E17" s="118">
        <f>EnergyBalance!E17*EnergyBalance!X17</f>
        <v>1751.73</v>
      </c>
      <c r="F17" s="118">
        <f>EnergyBalance!F17*EnergyBalance!Y17</f>
        <v>854.81</v>
      </c>
      <c r="G17" s="119">
        <f>EnergyBalance!G17*EnergyBalance!Z17</f>
        <v>0</v>
      </c>
      <c r="H17" s="118">
        <f>EnergyBalance!H17*EnergyBalance!AA17</f>
        <v>67.406000000000006</v>
      </c>
      <c r="I17" s="118">
        <f>EnergyBalance!I17*EnergyBalance!AB17</f>
        <v>1.2170000000000001</v>
      </c>
      <c r="J17" s="118">
        <f>EnergyBalance!J17*EnergyBalance!AC17</f>
        <v>254.64599999999999</v>
      </c>
      <c r="K17" s="118">
        <f>EnergyBalance!K17*EnergyBalance!AD17</f>
        <v>2527.3910000000001</v>
      </c>
      <c r="L17" s="120">
        <f t="shared" si="2"/>
        <v>5514.125</v>
      </c>
    </row>
    <row r="18" spans="2:13">
      <c r="B18" s="41" t="s">
        <v>243</v>
      </c>
      <c r="C18" s="63" t="s">
        <v>244</v>
      </c>
      <c r="D18" s="118">
        <f>EnergyBalance!D18*EnergyBalance!W18</f>
        <v>1896.9860000000001</v>
      </c>
      <c r="E18" s="118">
        <f>EnergyBalance!E18*EnergyBalance!X18</f>
        <v>4437.1610000000001</v>
      </c>
      <c r="F18" s="118">
        <f>EnergyBalance!F18*EnergyBalance!Y18</f>
        <v>2016.1110000000001</v>
      </c>
      <c r="G18" s="119">
        <f>EnergyBalance!G18*EnergyBalance!Z18</f>
        <v>0</v>
      </c>
      <c r="H18" s="118">
        <f>EnergyBalance!H18*EnergyBalance!AA18</f>
        <v>721.67100000000005</v>
      </c>
      <c r="I18" s="118">
        <f>EnergyBalance!I18*EnergyBalance!AB18</f>
        <v>117.19199999999999</v>
      </c>
      <c r="J18" s="118">
        <f>EnergyBalance!J18*EnergyBalance!AC18</f>
        <v>633.58299999999997</v>
      </c>
      <c r="K18" s="118">
        <f>EnergyBalance!K18*EnergyBalance!AD18</f>
        <v>4088.444</v>
      </c>
      <c r="L18" s="120">
        <f t="shared" si="2"/>
        <v>13911.147999999999</v>
      </c>
    </row>
    <row r="19" spans="2:13">
      <c r="B19" s="41" t="s">
        <v>245</v>
      </c>
      <c r="C19" s="63" t="s">
        <v>246</v>
      </c>
      <c r="D19" s="118">
        <f>EnergyBalance!D19*EnergyBalance!W19</f>
        <v>44.1</v>
      </c>
      <c r="E19" s="118">
        <f>EnergyBalance!E19*EnergyBalance!X19</f>
        <v>201.20599999999999</v>
      </c>
      <c r="F19" s="118">
        <f>EnergyBalance!F19*EnergyBalance!Y19</f>
        <v>797.37199999999996</v>
      </c>
      <c r="G19" s="119">
        <f>EnergyBalance!G19*EnergyBalance!Z19</f>
        <v>0</v>
      </c>
      <c r="H19" s="118">
        <f>EnergyBalance!H19*EnergyBalance!AA19</f>
        <v>63.085999999999999</v>
      </c>
      <c r="I19" s="118">
        <f>EnergyBalance!I19*EnergyBalance!AB19</f>
        <v>1E-3</v>
      </c>
      <c r="J19" s="118">
        <f>EnergyBalance!J19*EnergyBalance!AC19</f>
        <v>15.574</v>
      </c>
      <c r="K19" s="118">
        <f>EnergyBalance!K19*EnergyBalance!AD19</f>
        <v>19.386000000000003</v>
      </c>
      <c r="L19" s="120">
        <f t="shared" si="2"/>
        <v>1140.7249999999999</v>
      </c>
    </row>
    <row r="20" spans="2:13" ht="15">
      <c r="B20" s="41" t="s">
        <v>247</v>
      </c>
      <c r="C20" s="63" t="s">
        <v>248</v>
      </c>
      <c r="D20" s="118">
        <f>EnergyBalance!D20*EnergyBalance!W20</f>
        <v>0.55600000000000005</v>
      </c>
      <c r="E20" s="118">
        <f>EnergyBalance!E20*EnergyBalance!X20</f>
        <v>21.248999999999999</v>
      </c>
      <c r="F20" s="47">
        <f>EnergyBalance!F20*EnergyBalance!Y20</f>
        <v>14851.249</v>
      </c>
      <c r="G20" s="119">
        <f>EnergyBalance!G20*EnergyBalance!Z20</f>
        <v>0</v>
      </c>
      <c r="H20" s="118">
        <f>EnergyBalance!H20*EnergyBalance!AA20</f>
        <v>130.685</v>
      </c>
      <c r="I20" s="118">
        <f>EnergyBalance!I20*EnergyBalance!AB20</f>
        <v>0</v>
      </c>
      <c r="J20" s="118">
        <f>EnergyBalance!J20*EnergyBalance!AC20</f>
        <v>0</v>
      </c>
      <c r="K20" s="118">
        <f>EnergyBalance!K20*EnergyBalance!AD20</f>
        <v>265.97199999999998</v>
      </c>
      <c r="L20" s="120">
        <f t="shared" si="2"/>
        <v>15269.710999999999</v>
      </c>
    </row>
    <row r="21" spans="2:13">
      <c r="B21" s="41" t="s">
        <v>249</v>
      </c>
      <c r="C21" s="64" t="s">
        <v>250</v>
      </c>
      <c r="D21" s="46">
        <f>EnergyBalance!D21*EnergyBalance!W21</f>
        <v>1189.2309999999979</v>
      </c>
      <c r="E21" s="46">
        <f>EnergyBalance!E21*EnergyBalance!X21</f>
        <v>0</v>
      </c>
      <c r="F21" s="46">
        <f>EnergyBalance!F21*EnergyBalance!Y21</f>
        <v>392.53200000000402</v>
      </c>
      <c r="G21" s="46">
        <f>EnergyBalance!G21*EnergyBalance!Z21</f>
        <v>0</v>
      </c>
      <c r="H21" s="46">
        <f>EnergyBalance!H21*EnergyBalance!AA21</f>
        <v>1390.2580000000007</v>
      </c>
      <c r="I21" s="46">
        <f>EnergyBalance!I21*EnergyBalance!AB21</f>
        <v>0</v>
      </c>
      <c r="J21" s="46">
        <f>EnergyBalance!J21*EnergyBalance!AC21</f>
        <v>627.03800000000001</v>
      </c>
      <c r="K21" s="46">
        <f>EnergyBalance!K21*EnergyBalance!AD21</f>
        <v>650</v>
      </c>
      <c r="L21" s="121">
        <f t="shared" si="2"/>
        <v>4249.0590000000029</v>
      </c>
    </row>
    <row r="22" spans="2:13">
      <c r="B22" s="41" t="s">
        <v>251</v>
      </c>
      <c r="C22" s="63" t="s">
        <v>252</v>
      </c>
      <c r="D22" s="118">
        <f>EnergyBalance!D22*EnergyBalance!W22</f>
        <v>52.453000000000003</v>
      </c>
      <c r="E22" s="118">
        <f>EnergyBalance!E22*EnergyBalance!X22</f>
        <v>633.82299999999998</v>
      </c>
      <c r="F22" s="118">
        <f>EnergyBalance!F22*EnergyBalance!Y22</f>
        <v>4072.5079999999998</v>
      </c>
      <c r="G22" s="119">
        <f>EnergyBalance!G22*EnergyBalance!Z22</f>
        <v>0</v>
      </c>
      <c r="H22" s="118">
        <f>EnergyBalance!H22*EnergyBalance!AA22</f>
        <v>0</v>
      </c>
      <c r="I22" s="118">
        <f>EnergyBalance!I22*EnergyBalance!AB22</f>
        <v>0</v>
      </c>
      <c r="J22" s="118">
        <f>EnergyBalance!J22*EnergyBalance!AC22</f>
        <v>0</v>
      </c>
      <c r="K22" s="118">
        <f>EnergyBalance!K22*EnergyBalance!AD22</f>
        <v>0</v>
      </c>
      <c r="L22" s="120">
        <f t="shared" si="2"/>
        <v>4758.7839999999997</v>
      </c>
    </row>
    <row r="23" spans="2:13">
      <c r="B23" s="41" t="s">
        <v>253</v>
      </c>
      <c r="C23" s="63" t="s">
        <v>254</v>
      </c>
      <c r="D23" s="118">
        <f>EnergyBalance!D23*EnergyBalance!W23</f>
        <v>0</v>
      </c>
      <c r="E23" s="118">
        <f>EnergyBalance!E23*EnergyBalance!X23</f>
        <v>0</v>
      </c>
      <c r="F23" s="118">
        <f>EnergyBalance!F23*EnergyBalance!Y23</f>
        <v>2111.0920000000001</v>
      </c>
      <c r="G23" s="119">
        <f>EnergyBalance!G23*EnergyBalance!Z23</f>
        <v>0</v>
      </c>
      <c r="H23" s="118">
        <f>EnergyBalance!H23*EnergyBalance!AA23</f>
        <v>0</v>
      </c>
      <c r="I23" s="118">
        <f>EnergyBalance!I23*EnergyBalance!AB23</f>
        <v>0</v>
      </c>
      <c r="J23" s="118">
        <f>EnergyBalance!J23*EnergyBalance!AC23</f>
        <v>0</v>
      </c>
      <c r="K23" s="118">
        <f>EnergyBalance!K23*EnergyBalance!AD23</f>
        <v>0</v>
      </c>
      <c r="L23" s="120">
        <f t="shared" si="2"/>
        <v>2111.0920000000001</v>
      </c>
    </row>
    <row r="24" spans="2:13" ht="15">
      <c r="B24" s="108" t="s">
        <v>255</v>
      </c>
      <c r="C24" s="55" t="s">
        <v>256</v>
      </c>
      <c r="D24" s="53">
        <f>SUM(D16:D23)</f>
        <v>3596.8059999999982</v>
      </c>
      <c r="E24" s="52">
        <f t="shared" ref="E24:K24" si="3">SUM(E16:E23)</f>
        <v>12204.962</v>
      </c>
      <c r="F24" s="52">
        <f t="shared" si="3"/>
        <v>27384.967000000001</v>
      </c>
      <c r="G24" s="52">
        <f t="shared" si="3"/>
        <v>0</v>
      </c>
      <c r="H24" s="52">
        <f t="shared" si="3"/>
        <v>3667.0330000000004</v>
      </c>
      <c r="I24" s="52">
        <f t="shared" si="3"/>
        <v>118.41</v>
      </c>
      <c r="J24" s="52">
        <f t="shared" si="3"/>
        <v>2396.326</v>
      </c>
      <c r="K24" s="53">
        <f t="shared" si="3"/>
        <v>10422.934999999999</v>
      </c>
      <c r="L24" s="54">
        <f t="shared" si="2"/>
        <v>59791.439000000006</v>
      </c>
    </row>
    <row r="25" spans="2:13">
      <c r="D25" s="8"/>
      <c r="F25" s="8"/>
      <c r="G25" s="8"/>
      <c r="H25" s="8"/>
      <c r="I25" s="8"/>
      <c r="J25" s="8"/>
      <c r="K25" s="8"/>
      <c r="L25" s="8"/>
      <c r="M25" s="8"/>
    </row>
    <row r="26" spans="2:13">
      <c r="D26" s="8"/>
      <c r="F26" s="8"/>
      <c r="G26" s="8"/>
      <c r="H26" s="8"/>
      <c r="I26" s="8"/>
      <c r="J26" s="8"/>
      <c r="K26" s="8"/>
      <c r="L26" s="8"/>
      <c r="M26" s="8"/>
    </row>
    <row r="27" spans="2:13" ht="15">
      <c r="C27" s="47" t="s">
        <v>257</v>
      </c>
      <c r="D27" s="47"/>
      <c r="E27" s="47"/>
      <c r="F27" s="8"/>
      <c r="G27" s="8"/>
      <c r="H27" s="8"/>
      <c r="I27" s="8"/>
      <c r="J27" s="8"/>
      <c r="K27" s="8"/>
      <c r="L27" s="8"/>
      <c r="M27" s="8"/>
    </row>
    <row r="28" spans="2:13">
      <c r="D28" s="8"/>
      <c r="F28" s="8"/>
      <c r="G28" s="8"/>
      <c r="H28" s="8"/>
      <c r="I28" s="8"/>
      <c r="J28" s="8"/>
      <c r="K28" s="8"/>
      <c r="L28" s="8"/>
      <c r="M28" s="8"/>
    </row>
    <row r="29" spans="2:13">
      <c r="D29" s="8"/>
      <c r="F29" s="8"/>
      <c r="G29" s="8"/>
      <c r="H29" s="8"/>
      <c r="I29" s="8"/>
      <c r="J29" s="8"/>
      <c r="K29" s="8"/>
      <c r="L29" s="8"/>
      <c r="M29" s="8"/>
    </row>
    <row r="30" spans="2:13">
      <c r="D30" s="8"/>
      <c r="F30" s="8"/>
      <c r="G30" s="8"/>
      <c r="H30" s="8"/>
      <c r="I30" s="8"/>
      <c r="J30" s="8"/>
      <c r="K30" s="8"/>
      <c r="L30" s="8"/>
      <c r="M30" s="8"/>
    </row>
    <row r="31" spans="2:13">
      <c r="D31" s="8"/>
      <c r="F31" s="8"/>
      <c r="G31" s="8"/>
      <c r="H31" s="8"/>
      <c r="I31" s="8"/>
      <c r="J31" s="8"/>
      <c r="K31" s="8"/>
      <c r="L31" s="8"/>
      <c r="M31" s="8"/>
    </row>
    <row r="32" spans="2:13">
      <c r="D32" s="8"/>
      <c r="F32" s="8"/>
      <c r="G32" s="8"/>
      <c r="H32" s="8"/>
      <c r="I32" s="8"/>
      <c r="J32" s="8"/>
      <c r="K32" s="8"/>
      <c r="L32" s="8"/>
      <c r="M32" s="8"/>
    </row>
    <row r="33" spans="2:14">
      <c r="D33" s="8"/>
      <c r="F33" s="8"/>
      <c r="G33" s="8"/>
      <c r="H33" s="8"/>
      <c r="I33" s="8"/>
      <c r="J33" s="8"/>
      <c r="K33" s="8"/>
      <c r="L33" s="8"/>
      <c r="M33" s="8"/>
    </row>
    <row r="34" spans="2:14">
      <c r="D34" s="8"/>
      <c r="F34" s="8"/>
      <c r="G34" s="8"/>
      <c r="H34" s="8"/>
      <c r="I34" s="8"/>
      <c r="J34" s="8"/>
      <c r="K34" s="8"/>
      <c r="L34" s="8"/>
      <c r="M34" s="8"/>
    </row>
    <row r="35" spans="2:14">
      <c r="D35" s="8"/>
      <c r="F35" s="8"/>
      <c r="G35" s="8"/>
      <c r="H35" s="8"/>
      <c r="I35" s="8"/>
      <c r="J35" s="8"/>
      <c r="K35" s="8"/>
      <c r="L35" s="8"/>
      <c r="M35" s="8"/>
    </row>
    <row r="36" spans="2:14">
      <c r="D36" s="172" t="s">
        <v>196</v>
      </c>
      <c r="E36" s="172" t="s">
        <v>197</v>
      </c>
      <c r="F36" s="172" t="s">
        <v>198</v>
      </c>
      <c r="G36" s="157"/>
      <c r="H36" s="157"/>
      <c r="I36" s="157"/>
      <c r="J36" s="157"/>
      <c r="K36" s="157"/>
      <c r="L36" s="157"/>
      <c r="M36" s="157"/>
    </row>
    <row r="37" spans="2:14">
      <c r="C37" s="173" t="s">
        <v>258</v>
      </c>
      <c r="D37" s="22">
        <v>0.75</v>
      </c>
      <c r="E37" s="22">
        <v>0.5</v>
      </c>
      <c r="F37" s="22">
        <v>0.8</v>
      </c>
      <c r="G37" s="24"/>
      <c r="H37" s="24"/>
      <c r="I37" s="24"/>
      <c r="J37" s="24"/>
      <c r="K37" s="24"/>
      <c r="L37" s="24"/>
      <c r="M37" s="24"/>
    </row>
    <row r="38" spans="2:14">
      <c r="C38" s="174" t="s">
        <v>259</v>
      </c>
      <c r="D38" s="23">
        <v>0.25</v>
      </c>
      <c r="E38" s="23">
        <v>0.5</v>
      </c>
      <c r="F38" s="23">
        <v>0.2</v>
      </c>
      <c r="G38" s="24"/>
      <c r="H38" s="24"/>
      <c r="I38" s="24"/>
      <c r="J38" s="24"/>
      <c r="K38" s="24"/>
      <c r="L38" s="24"/>
      <c r="M38" s="24"/>
    </row>
    <row r="39" spans="2:14">
      <c r="C39" s="157"/>
      <c r="D39" s="24"/>
    </row>
    <row r="40" spans="2:14">
      <c r="C40" s="157"/>
      <c r="D40" s="24"/>
    </row>
    <row r="41" spans="2:14" ht="28">
      <c r="B41" s="26" t="s">
        <v>260</v>
      </c>
      <c r="C41" s="73" t="s">
        <v>261</v>
      </c>
      <c r="D41" s="40" t="s">
        <v>216</v>
      </c>
      <c r="E41" s="40" t="s">
        <v>206</v>
      </c>
      <c r="F41" s="40" t="s">
        <v>217</v>
      </c>
      <c r="G41" s="40" t="s">
        <v>218</v>
      </c>
      <c r="H41" s="40" t="s">
        <v>219</v>
      </c>
      <c r="I41" s="40" t="s">
        <v>210</v>
      </c>
      <c r="J41" s="40" t="s">
        <v>211</v>
      </c>
      <c r="K41" s="40" t="s">
        <v>212</v>
      </c>
      <c r="L41" s="27"/>
    </row>
    <row r="42" spans="2:14">
      <c r="B42" s="41" t="s">
        <v>239</v>
      </c>
      <c r="C42" s="62" t="s">
        <v>262</v>
      </c>
      <c r="D42" s="65"/>
      <c r="E42" s="67"/>
      <c r="F42" s="67"/>
      <c r="G42" s="67"/>
      <c r="H42" s="67"/>
      <c r="I42" s="67"/>
      <c r="J42" s="67"/>
      <c r="K42" s="68"/>
      <c r="N42" s="62" t="s">
        <v>263</v>
      </c>
    </row>
    <row r="43" spans="2:14">
      <c r="B43" s="41" t="s">
        <v>239</v>
      </c>
      <c r="C43" s="63" t="s">
        <v>264</v>
      </c>
      <c r="D43" s="66"/>
      <c r="E43" s="42"/>
      <c r="F43" s="42"/>
      <c r="G43" s="42"/>
      <c r="H43" s="42"/>
      <c r="I43" s="42"/>
      <c r="J43" s="42"/>
      <c r="K43" s="69"/>
      <c r="N43" s="63" t="s">
        <v>265</v>
      </c>
    </row>
    <row r="44" spans="2:14" ht="15">
      <c r="B44" s="41" t="s">
        <v>239</v>
      </c>
      <c r="C44" s="63" t="s">
        <v>266</v>
      </c>
      <c r="D44" s="66"/>
      <c r="E44" s="47">
        <v>1</v>
      </c>
      <c r="F44" s="42"/>
      <c r="G44" s="42"/>
      <c r="H44" s="42"/>
      <c r="I44" s="42"/>
      <c r="J44" s="42"/>
      <c r="K44" s="69"/>
      <c r="N44" s="63" t="s">
        <v>250</v>
      </c>
    </row>
    <row r="45" spans="2:14">
      <c r="B45" s="41"/>
      <c r="C45" s="63"/>
      <c r="D45" s="66"/>
      <c r="E45" s="42"/>
      <c r="F45" s="42"/>
      <c r="G45" s="42"/>
      <c r="H45" s="42"/>
      <c r="I45" s="42"/>
      <c r="J45" s="42"/>
      <c r="K45" s="69"/>
      <c r="N45" s="63"/>
    </row>
    <row r="46" spans="2:14">
      <c r="B46" s="41" t="s">
        <v>241</v>
      </c>
      <c r="C46" s="63" t="s">
        <v>267</v>
      </c>
      <c r="D46" s="66"/>
      <c r="E46" s="42"/>
      <c r="F46" s="42"/>
      <c r="G46" s="42"/>
      <c r="H46" s="42"/>
      <c r="I46" s="42"/>
      <c r="J46" s="42"/>
      <c r="K46" s="69"/>
      <c r="N46" s="63" t="s">
        <v>268</v>
      </c>
    </row>
    <row r="47" spans="2:14">
      <c r="B47" s="41" t="s">
        <v>241</v>
      </c>
      <c r="C47" s="63" t="s">
        <v>269</v>
      </c>
      <c r="D47" s="66"/>
      <c r="E47" s="42"/>
      <c r="F47" s="42"/>
      <c r="G47" s="42"/>
      <c r="H47" s="42"/>
      <c r="I47" s="42"/>
      <c r="J47" s="42"/>
      <c r="K47" s="69"/>
      <c r="N47" s="63" t="s">
        <v>270</v>
      </c>
    </row>
    <row r="48" spans="2:14">
      <c r="B48" s="41"/>
      <c r="C48" s="63"/>
      <c r="D48" s="66"/>
      <c r="E48" s="42"/>
      <c r="F48" s="42"/>
      <c r="G48" s="42"/>
      <c r="H48" s="42"/>
      <c r="I48" s="42"/>
      <c r="J48" s="42"/>
      <c r="K48" s="69"/>
      <c r="N48" s="63"/>
    </row>
    <row r="49" spans="2:14" ht="15">
      <c r="B49" s="41" t="s">
        <v>247</v>
      </c>
      <c r="C49" s="64" t="s">
        <v>267</v>
      </c>
      <c r="D49" s="70"/>
      <c r="E49" s="45"/>
      <c r="F49" s="48">
        <v>1</v>
      </c>
      <c r="G49" s="45"/>
      <c r="H49" s="45"/>
      <c r="I49" s="45"/>
      <c r="J49" s="45"/>
      <c r="K49" s="71"/>
      <c r="N49" s="64" t="s">
        <v>268</v>
      </c>
    </row>
    <row r="52" spans="2:14" ht="14">
      <c r="C52" s="77" t="s">
        <v>271</v>
      </c>
      <c r="D52" s="79" t="s">
        <v>272</v>
      </c>
      <c r="E52" s="78" t="s">
        <v>273</v>
      </c>
    </row>
    <row r="53" spans="2:14" ht="14">
      <c r="B53" s="21" t="s">
        <v>274</v>
      </c>
      <c r="C53" s="72" t="s">
        <v>275</v>
      </c>
      <c r="D53" s="72" t="s">
        <v>276</v>
      </c>
      <c r="E53" s="75" t="s">
        <v>273</v>
      </c>
    </row>
    <row r="54" spans="2:14">
      <c r="B54" s="41" t="s">
        <v>239</v>
      </c>
      <c r="C54" s="74">
        <v>1</v>
      </c>
      <c r="D54" s="74"/>
      <c r="E54" s="74"/>
    </row>
    <row r="55" spans="2:14">
      <c r="B55" s="41" t="s">
        <v>247</v>
      </c>
      <c r="C55" s="74">
        <v>1</v>
      </c>
      <c r="D55" s="74"/>
      <c r="E55" s="74"/>
    </row>
    <row r="56" spans="2:14">
      <c r="B56" s="41" t="s">
        <v>249</v>
      </c>
      <c r="C56" s="74">
        <v>1</v>
      </c>
      <c r="D56" s="74"/>
      <c r="E56" s="74"/>
    </row>
    <row r="57" spans="2:14">
      <c r="B57" s="41" t="s">
        <v>203</v>
      </c>
      <c r="C57" s="76">
        <v>1</v>
      </c>
      <c r="D57" s="76"/>
      <c r="E57" s="76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B1:T57"/>
  <sheetViews>
    <sheetView topLeftCell="A20" zoomScale="90" zoomScaleNormal="90" workbookViewId="0">
      <selection activeCell="G14" sqref="G14"/>
    </sheetView>
  </sheetViews>
  <sheetFormatPr baseColWidth="10" defaultColWidth="8.83203125" defaultRowHeight="13"/>
  <cols>
    <col min="1" max="1" width="3" bestFit="1" customWidth="1"/>
    <col min="2" max="2" width="17.83203125" bestFit="1" customWidth="1"/>
    <col min="3" max="3" width="41.1640625" bestFit="1" customWidth="1"/>
    <col min="4" max="11" width="13.6640625" customWidth="1"/>
    <col min="12" max="13" width="10.33203125" customWidth="1"/>
    <col min="14" max="14" width="12.33203125" bestFit="1" customWidth="1"/>
    <col min="15" max="15" width="7.33203125" bestFit="1" customWidth="1"/>
    <col min="16" max="16" width="2" bestFit="1" customWidth="1"/>
    <col min="17" max="17" width="12.33203125" bestFit="1" customWidth="1"/>
    <col min="19" max="19" width="6.6640625" bestFit="1" customWidth="1"/>
    <col min="20" max="20" width="9.33203125" bestFit="1" customWidth="1"/>
  </cols>
  <sheetData>
    <row r="1" spans="2:20">
      <c r="Q1" s="21" t="s">
        <v>192</v>
      </c>
      <c r="R1" s="157" t="s">
        <v>193</v>
      </c>
      <c r="S1" s="157" t="s">
        <v>194</v>
      </c>
      <c r="T1" s="157" t="s">
        <v>195</v>
      </c>
    </row>
    <row r="2" spans="2:20" ht="16">
      <c r="D2" s="39" t="str">
        <f>EnergyBalance!D2</f>
        <v>COA</v>
      </c>
      <c r="E2" s="39" t="str">
        <f>EnergyBalance!E2</f>
        <v>GAS</v>
      </c>
      <c r="F2" s="39" t="str">
        <f>EnergyBalance!F2</f>
        <v>OIL</v>
      </c>
      <c r="G2" s="39" t="str">
        <f>EnergyBalance!G2</f>
        <v>NUC</v>
      </c>
      <c r="H2" s="39" t="str">
        <f>EnergyBalance!H2</f>
        <v>RNW</v>
      </c>
      <c r="I2" s="39" t="str">
        <f>EnergyBalance!I2</f>
        <v>SLU</v>
      </c>
      <c r="J2" s="39" t="str">
        <f>EnergyBalance!J2</f>
        <v>HET</v>
      </c>
      <c r="K2" s="39" t="str">
        <f>EnergyBalance!K2</f>
        <v>ELC</v>
      </c>
      <c r="L2" s="26"/>
      <c r="R2" s="12" t="s">
        <v>277</v>
      </c>
      <c r="S2" s="12" t="s">
        <v>204</v>
      </c>
      <c r="T2" s="12" t="s">
        <v>205</v>
      </c>
    </row>
    <row r="3" spans="2:20" ht="28">
      <c r="C3" s="94" t="s">
        <v>279</v>
      </c>
      <c r="D3" s="40" t="str">
        <f>EnergyBalance!D3</f>
        <v>Coal</v>
      </c>
      <c r="E3" s="40" t="str">
        <f>EnergyBalance!E3</f>
        <v>Natural Gas</v>
      </c>
      <c r="F3" s="40" t="str">
        <f>EnergyBalance!F3</f>
        <v>Crude Oil</v>
      </c>
      <c r="G3" s="40" t="str">
        <f>EnergyBalance!G3</f>
        <v>Wind Energy</v>
      </c>
      <c r="H3" s="40" t="str">
        <f>EnergyBalance!H3</f>
        <v>Solar Energy</v>
      </c>
      <c r="I3" s="40" t="str">
        <f>EnergyBalance!I3</f>
        <v>Industrial Wastes</v>
      </c>
      <c r="J3" s="40" t="str">
        <f>EnergyBalance!J3</f>
        <v>Derived Heat</v>
      </c>
      <c r="K3" s="40" t="str">
        <f>EnergyBalance!K3</f>
        <v>Electricity</v>
      </c>
      <c r="L3" s="35" t="s">
        <v>213</v>
      </c>
    </row>
    <row r="4" spans="2:20">
      <c r="C4" s="109" t="s">
        <v>220</v>
      </c>
      <c r="D4" s="110"/>
      <c r="E4" s="110"/>
      <c r="F4" s="110"/>
      <c r="G4" s="111"/>
      <c r="H4" s="111"/>
      <c r="I4" s="111"/>
      <c r="J4" s="111"/>
      <c r="K4" s="111"/>
      <c r="L4" s="112"/>
    </row>
    <row r="5" spans="2:20" ht="15">
      <c r="B5" s="41" t="s">
        <v>221</v>
      </c>
      <c r="C5" s="113" t="s">
        <v>222</v>
      </c>
      <c r="D5" s="50">
        <f>EnergyBalance!D5-'EB1'!D5</f>
        <v>0</v>
      </c>
      <c r="E5" s="49">
        <f>EnergyBalance!E5-'EB1'!E5</f>
        <v>0</v>
      </c>
      <c r="F5" s="49">
        <f>EnergyBalance!F5-'EB1'!F5</f>
        <v>0</v>
      </c>
      <c r="G5" s="38">
        <f>EnergyBalance!G5-'EB1'!G5</f>
        <v>0</v>
      </c>
      <c r="H5" s="38">
        <f>EnergyBalance!H5-'EB1'!H5</f>
        <v>0</v>
      </c>
      <c r="I5" s="38">
        <f>EnergyBalance!I5-'EB1'!I5</f>
        <v>0</v>
      </c>
      <c r="J5" s="38">
        <f>EnergyBalance!J5-'EB1'!J5</f>
        <v>0</v>
      </c>
      <c r="K5" s="38">
        <f>EnergyBalance!K5-'EB1'!K5</f>
        <v>0</v>
      </c>
      <c r="L5" s="114">
        <f>SUM(D5:K5)</f>
        <v>0</v>
      </c>
      <c r="Q5" s="8"/>
    </row>
    <row r="6" spans="2:20" ht="15">
      <c r="B6" s="41" t="s">
        <v>223</v>
      </c>
      <c r="C6" s="113" t="s">
        <v>224</v>
      </c>
      <c r="D6" s="51">
        <f>EnergyBalance!D6-'EB1'!D6</f>
        <v>0</v>
      </c>
      <c r="E6" s="47">
        <f>EnergyBalance!E6-'EB1'!E6</f>
        <v>0</v>
      </c>
      <c r="F6" s="47">
        <f>EnergyBalance!F6-'EB1'!F6</f>
        <v>0</v>
      </c>
      <c r="G6" s="38">
        <f>EnergyBalance!G6-'EB1'!G6</f>
        <v>0</v>
      </c>
      <c r="H6" s="38">
        <f>EnergyBalance!H6-'EB1'!H6</f>
        <v>0</v>
      </c>
      <c r="I6" s="38">
        <f>EnergyBalance!I6-'EB1'!I6</f>
        <v>0</v>
      </c>
      <c r="J6" s="38">
        <f>EnergyBalance!J6-'EB1'!J6</f>
        <v>0</v>
      </c>
      <c r="K6" s="38">
        <f>EnergyBalance!K6-'EB1'!K6</f>
        <v>0</v>
      </c>
      <c r="L6" s="114">
        <f>SUM(D6:K6)</f>
        <v>0</v>
      </c>
    </row>
    <row r="7" spans="2:20" ht="15">
      <c r="B7" s="41" t="s">
        <v>225</v>
      </c>
      <c r="C7" s="113" t="s">
        <v>226</v>
      </c>
      <c r="D7" s="51">
        <f>EnergyBalance!D7-'EB1'!D7</f>
        <v>0</v>
      </c>
      <c r="E7" s="47">
        <f>EnergyBalance!E7-'EB1'!E7</f>
        <v>0</v>
      </c>
      <c r="F7" s="47">
        <f>EnergyBalance!F7-'EB1'!F7</f>
        <v>0</v>
      </c>
      <c r="G7" s="38">
        <f>EnergyBalance!G7-'EB1'!G7</f>
        <v>0</v>
      </c>
      <c r="H7" s="38">
        <f>EnergyBalance!H7-'EB1'!H7</f>
        <v>0</v>
      </c>
      <c r="I7" s="38">
        <f>EnergyBalance!I7-'EB1'!I7</f>
        <v>0</v>
      </c>
      <c r="J7" s="38">
        <f>EnergyBalance!J7-'EB1'!J7</f>
        <v>0</v>
      </c>
      <c r="K7" s="38">
        <f>EnergyBalance!K7-'EB1'!K7</f>
        <v>0</v>
      </c>
      <c r="L7" s="114">
        <f>SUM(D7:K7)</f>
        <v>0</v>
      </c>
      <c r="Q7" s="8"/>
    </row>
    <row r="8" spans="2:20" ht="15">
      <c r="B8" s="108" t="s">
        <v>227</v>
      </c>
      <c r="C8" s="55" t="s">
        <v>228</v>
      </c>
      <c r="D8" s="56">
        <f t="shared" ref="D8:L8" si="0">SUM(D5:D7)</f>
        <v>0</v>
      </c>
      <c r="E8" s="57">
        <f t="shared" si="0"/>
        <v>0</v>
      </c>
      <c r="F8" s="57">
        <f t="shared" si="0"/>
        <v>0</v>
      </c>
      <c r="G8" s="57">
        <f t="shared" si="0"/>
        <v>0</v>
      </c>
      <c r="H8" s="57">
        <f t="shared" si="0"/>
        <v>0</v>
      </c>
      <c r="I8" s="57">
        <f t="shared" si="0"/>
        <v>0</v>
      </c>
      <c r="J8" s="57">
        <f t="shared" si="0"/>
        <v>0</v>
      </c>
      <c r="K8" s="57">
        <f t="shared" si="0"/>
        <v>0</v>
      </c>
      <c r="L8" s="58">
        <f t="shared" si="0"/>
        <v>0</v>
      </c>
    </row>
    <row r="9" spans="2:20">
      <c r="B9" s="36"/>
      <c r="C9" s="115" t="s">
        <v>229</v>
      </c>
      <c r="D9" s="7"/>
      <c r="E9" s="7"/>
      <c r="F9" s="7"/>
      <c r="G9" s="7"/>
      <c r="H9" s="7"/>
      <c r="I9" s="7"/>
      <c r="J9" s="7"/>
      <c r="K9" s="7"/>
      <c r="L9" s="116"/>
    </row>
    <row r="10" spans="2:20">
      <c r="B10" s="41" t="s">
        <v>230</v>
      </c>
      <c r="C10" s="60" t="s">
        <v>231</v>
      </c>
      <c r="D10" s="43">
        <f>EnergyBalance!D10-'EB1'!D10</f>
        <v>0</v>
      </c>
      <c r="E10" s="43">
        <f>EnergyBalance!E10-'EB1'!E10</f>
        <v>0</v>
      </c>
      <c r="F10" s="43">
        <f>EnergyBalance!F10-'EB1'!F10</f>
        <v>0</v>
      </c>
      <c r="G10" s="43">
        <f>EnergyBalance!G10-'EB1'!G10</f>
        <v>0</v>
      </c>
      <c r="H10" s="43">
        <f>EnergyBalance!H10-'EB1'!H10</f>
        <v>0</v>
      </c>
      <c r="I10" s="43">
        <f>EnergyBalance!I10-'EB1'!I10</f>
        <v>0</v>
      </c>
      <c r="J10" s="44">
        <f>EnergyBalance!J10-'EB1'!J10</f>
        <v>0</v>
      </c>
      <c r="K10" s="44">
        <f>EnergyBalance!K10-'EB1'!K10</f>
        <v>0</v>
      </c>
      <c r="L10" s="117">
        <f>SUM(D10:K10)</f>
        <v>0</v>
      </c>
    </row>
    <row r="11" spans="2:20" ht="15">
      <c r="B11" s="41" t="s">
        <v>203</v>
      </c>
      <c r="C11" s="61" t="s">
        <v>232</v>
      </c>
      <c r="D11" s="47">
        <f>EnergyBalance!D11-'EB1'!D11</f>
        <v>0</v>
      </c>
      <c r="E11" s="47">
        <f>EnergyBalance!E11-'EB1'!E11</f>
        <v>0</v>
      </c>
      <c r="F11" s="47">
        <f>EnergyBalance!F11-'EB1'!F11</f>
        <v>0</v>
      </c>
      <c r="G11" s="47">
        <f>EnergyBalance!G11-'EB1'!G11</f>
        <v>0</v>
      </c>
      <c r="H11" s="47">
        <f>EnergyBalance!H11-'EB1'!H11</f>
        <v>0</v>
      </c>
      <c r="I11" s="43">
        <f>EnergyBalance!I11-'EB1'!I11</f>
        <v>0</v>
      </c>
      <c r="J11" s="43">
        <f>EnergyBalance!J11-'EB1'!J11</f>
        <v>0</v>
      </c>
      <c r="K11" s="47">
        <f>EnergyBalance!K11-'EB1'!K11</f>
        <v>0</v>
      </c>
      <c r="L11" s="117">
        <f>SUM(D11:K11)</f>
        <v>0</v>
      </c>
    </row>
    <row r="12" spans="2:20">
      <c r="B12" s="41" t="s">
        <v>233</v>
      </c>
      <c r="C12" s="61" t="s">
        <v>234</v>
      </c>
      <c r="D12" s="43">
        <f>EnergyBalance!D12-'EB1'!D12</f>
        <v>0</v>
      </c>
      <c r="E12" s="43">
        <f>EnergyBalance!E12-'EB1'!E12</f>
        <v>0</v>
      </c>
      <c r="F12" s="43">
        <f>EnergyBalance!F12-'EB1'!F12</f>
        <v>0</v>
      </c>
      <c r="G12" s="43">
        <f>EnergyBalance!G12-'EB1'!G12</f>
        <v>0</v>
      </c>
      <c r="H12" s="43">
        <f>EnergyBalance!H12-'EB1'!H12</f>
        <v>0</v>
      </c>
      <c r="I12" s="43">
        <f>EnergyBalance!I12-'EB1'!I12</f>
        <v>0</v>
      </c>
      <c r="J12" s="43">
        <f>EnergyBalance!J12-'EB1'!J12</f>
        <v>0</v>
      </c>
      <c r="K12" s="43">
        <f>EnergyBalance!K12-'EB1'!K12</f>
        <v>0</v>
      </c>
      <c r="L12" s="117">
        <f>SUM(D12:K12)</f>
        <v>0</v>
      </c>
    </row>
    <row r="13" spans="2:20">
      <c r="B13" s="41" t="s">
        <v>235</v>
      </c>
      <c r="C13" s="61" t="s">
        <v>236</v>
      </c>
      <c r="D13" s="44">
        <f>EnergyBalance!D13-'EB1'!D13</f>
        <v>0</v>
      </c>
      <c r="E13" s="44">
        <f>EnergyBalance!E13-'EB1'!E13</f>
        <v>0</v>
      </c>
      <c r="F13" s="43">
        <f>EnergyBalance!F13-'EB1'!F13</f>
        <v>0</v>
      </c>
      <c r="G13" s="44">
        <f>EnergyBalance!G13-'EB1'!G13</f>
        <v>0</v>
      </c>
      <c r="H13" s="44">
        <f>EnergyBalance!H13-'EB1'!H13</f>
        <v>0</v>
      </c>
      <c r="I13" s="44">
        <f>EnergyBalance!I13-'EB1'!I13</f>
        <v>0</v>
      </c>
      <c r="J13" s="44">
        <f>EnergyBalance!J13-'EB1'!J13</f>
        <v>0</v>
      </c>
      <c r="K13" s="44">
        <f>EnergyBalance!K13-'EB1'!K13</f>
        <v>0</v>
      </c>
      <c r="L13" s="117">
        <f>SUM(D13:K13)</f>
        <v>0</v>
      </c>
    </row>
    <row r="14" spans="2:20" ht="15">
      <c r="B14" s="36"/>
      <c r="C14" s="55" t="s">
        <v>237</v>
      </c>
      <c r="D14" s="59">
        <f t="shared" ref="D14:L14" si="1">SUM(D10:D13)</f>
        <v>0</v>
      </c>
      <c r="E14" s="57">
        <f t="shared" si="1"/>
        <v>0</v>
      </c>
      <c r="F14" s="57">
        <f t="shared" si="1"/>
        <v>0</v>
      </c>
      <c r="G14" s="57">
        <f t="shared" si="1"/>
        <v>0</v>
      </c>
      <c r="H14" s="57">
        <f t="shared" si="1"/>
        <v>0</v>
      </c>
      <c r="I14" s="57">
        <f t="shared" si="1"/>
        <v>0</v>
      </c>
      <c r="J14" s="57">
        <f t="shared" si="1"/>
        <v>0</v>
      </c>
      <c r="K14" s="57">
        <f t="shared" si="1"/>
        <v>0</v>
      </c>
      <c r="L14" s="58">
        <f t="shared" si="1"/>
        <v>0</v>
      </c>
    </row>
    <row r="15" spans="2:20">
      <c r="B15" s="36"/>
      <c r="C15" s="115" t="s">
        <v>238</v>
      </c>
      <c r="D15" s="7"/>
      <c r="E15" s="7"/>
      <c r="F15" s="7"/>
      <c r="G15" s="7"/>
      <c r="H15" s="7"/>
      <c r="I15" s="7"/>
      <c r="J15" s="7"/>
      <c r="K15" s="7"/>
      <c r="L15" s="116"/>
    </row>
    <row r="16" spans="2:20" ht="15">
      <c r="B16" s="41" t="s">
        <v>239</v>
      </c>
      <c r="C16" s="62" t="s">
        <v>240</v>
      </c>
      <c r="D16" s="118">
        <f>EnergyBalance!D16-'EB1'!D16</f>
        <v>0</v>
      </c>
      <c r="E16" s="47">
        <f>EnergyBalance!E16-'EB1'!E16</f>
        <v>0</v>
      </c>
      <c r="F16" s="118">
        <f>EnergyBalance!F16-'EB1'!F16</f>
        <v>0</v>
      </c>
      <c r="G16" s="119">
        <f>EnergyBalance!G16-'EB1'!G16</f>
        <v>0</v>
      </c>
      <c r="H16" s="118">
        <f>EnergyBalance!H16-'EB1'!H16</f>
        <v>0</v>
      </c>
      <c r="I16" s="118">
        <f>EnergyBalance!I16-'EB1'!I16</f>
        <v>0</v>
      </c>
      <c r="J16" s="118">
        <f>EnergyBalance!J16-'EB1'!J16</f>
        <v>0</v>
      </c>
      <c r="K16" s="118">
        <f>EnergyBalance!K16-'EB1'!K16</f>
        <v>0</v>
      </c>
      <c r="L16" s="120">
        <f t="shared" ref="L16:L23" si="2">SUM(D16:K16)</f>
        <v>0</v>
      </c>
    </row>
    <row r="17" spans="2:13">
      <c r="B17" s="41" t="s">
        <v>241</v>
      </c>
      <c r="C17" s="63" t="s">
        <v>242</v>
      </c>
      <c r="D17" s="118">
        <f>EnergyBalance!D17-'EB1'!D17</f>
        <v>0</v>
      </c>
      <c r="E17" s="118">
        <f>EnergyBalance!E17-'EB1'!E17</f>
        <v>0</v>
      </c>
      <c r="F17" s="118">
        <f>EnergyBalance!F17-'EB1'!F17</f>
        <v>0</v>
      </c>
      <c r="G17" s="119">
        <f>EnergyBalance!G17-'EB1'!G17</f>
        <v>0</v>
      </c>
      <c r="H17" s="118">
        <f>EnergyBalance!H17-'EB1'!H17</f>
        <v>0</v>
      </c>
      <c r="I17" s="118">
        <f>EnergyBalance!I17-'EB1'!I17</f>
        <v>0</v>
      </c>
      <c r="J17" s="118">
        <f>EnergyBalance!J17-'EB1'!J17</f>
        <v>0</v>
      </c>
      <c r="K17" s="118">
        <f>EnergyBalance!K17-'EB1'!K17</f>
        <v>0</v>
      </c>
      <c r="L17" s="120">
        <f t="shared" si="2"/>
        <v>0</v>
      </c>
    </row>
    <row r="18" spans="2:13">
      <c r="B18" s="41" t="s">
        <v>243</v>
      </c>
      <c r="C18" s="63" t="s">
        <v>244</v>
      </c>
      <c r="D18" s="118">
        <f>EnergyBalance!D18-'EB1'!D18</f>
        <v>0</v>
      </c>
      <c r="E18" s="118">
        <f>EnergyBalance!E18-'EB1'!E18</f>
        <v>0</v>
      </c>
      <c r="F18" s="118">
        <f>EnergyBalance!F18-'EB1'!F18</f>
        <v>0</v>
      </c>
      <c r="G18" s="119">
        <f>EnergyBalance!G18-'EB1'!G18</f>
        <v>0</v>
      </c>
      <c r="H18" s="118">
        <f>EnergyBalance!H18-'EB1'!H18</f>
        <v>0</v>
      </c>
      <c r="I18" s="118">
        <f>EnergyBalance!I18-'EB1'!I18</f>
        <v>0</v>
      </c>
      <c r="J18" s="118">
        <f>EnergyBalance!J18-'EB1'!J18</f>
        <v>0</v>
      </c>
      <c r="K18" s="118">
        <f>EnergyBalance!K18-'EB1'!K18</f>
        <v>0</v>
      </c>
      <c r="L18" s="120">
        <f t="shared" si="2"/>
        <v>0</v>
      </c>
    </row>
    <row r="19" spans="2:13">
      <c r="B19" s="41" t="s">
        <v>245</v>
      </c>
      <c r="C19" s="63" t="s">
        <v>246</v>
      </c>
      <c r="D19" s="118">
        <f>EnergyBalance!D19-'EB1'!D19</f>
        <v>0</v>
      </c>
      <c r="E19" s="118">
        <f>EnergyBalance!E19-'EB1'!E19</f>
        <v>0</v>
      </c>
      <c r="F19" s="118">
        <f>EnergyBalance!F19-'EB1'!F19</f>
        <v>0</v>
      </c>
      <c r="G19" s="119">
        <f>EnergyBalance!G19-'EB1'!G19</f>
        <v>0</v>
      </c>
      <c r="H19" s="118">
        <f>EnergyBalance!H19-'EB1'!H19</f>
        <v>0</v>
      </c>
      <c r="I19" s="118">
        <f>EnergyBalance!I19-'EB1'!I19</f>
        <v>0</v>
      </c>
      <c r="J19" s="118">
        <f>EnergyBalance!J19-'EB1'!J19</f>
        <v>0</v>
      </c>
      <c r="K19" s="118">
        <f>EnergyBalance!K19-'EB1'!K19</f>
        <v>0</v>
      </c>
      <c r="L19" s="120">
        <f t="shared" si="2"/>
        <v>0</v>
      </c>
    </row>
    <row r="20" spans="2:13" ht="15">
      <c r="B20" s="41" t="s">
        <v>247</v>
      </c>
      <c r="C20" s="63" t="s">
        <v>248</v>
      </c>
      <c r="D20" s="118">
        <f>EnergyBalance!D20-'EB1'!D20</f>
        <v>0</v>
      </c>
      <c r="E20" s="118">
        <f>EnergyBalance!E20-'EB1'!E20</f>
        <v>0</v>
      </c>
      <c r="F20" s="47">
        <f>EnergyBalance!F20-'EB1'!F20</f>
        <v>0</v>
      </c>
      <c r="G20" s="119">
        <f>EnergyBalance!G20-'EB1'!G20</f>
        <v>0</v>
      </c>
      <c r="H20" s="118">
        <f>EnergyBalance!H20-'EB1'!H20</f>
        <v>0</v>
      </c>
      <c r="I20" s="118">
        <f>EnergyBalance!I20-'EB1'!I20</f>
        <v>0</v>
      </c>
      <c r="J20" s="118">
        <f>EnergyBalance!J20-'EB1'!J20</f>
        <v>0</v>
      </c>
      <c r="K20" s="118">
        <f>EnergyBalance!K20-'EB1'!K20</f>
        <v>0</v>
      </c>
      <c r="L20" s="120">
        <f t="shared" si="2"/>
        <v>0</v>
      </c>
    </row>
    <row r="21" spans="2:13">
      <c r="B21" s="41" t="s">
        <v>249</v>
      </c>
      <c r="C21" s="64" t="s">
        <v>250</v>
      </c>
      <c r="D21" s="46">
        <f>EnergyBalance!D21-'EB1'!D21</f>
        <v>0</v>
      </c>
      <c r="E21" s="46">
        <f>EnergyBalance!E21-'EB1'!E21</f>
        <v>0</v>
      </c>
      <c r="F21" s="46">
        <f>EnergyBalance!F21-'EB1'!F21</f>
        <v>0</v>
      </c>
      <c r="G21" s="46">
        <f>EnergyBalance!G21-'EB1'!G21</f>
        <v>0</v>
      </c>
      <c r="H21" s="46">
        <f>EnergyBalance!H21-'EB1'!H21</f>
        <v>0</v>
      </c>
      <c r="I21" s="46">
        <f>EnergyBalance!I21-'EB1'!I21</f>
        <v>0</v>
      </c>
      <c r="J21" s="46">
        <f>EnergyBalance!J21-'EB1'!J21</f>
        <v>0</v>
      </c>
      <c r="K21" s="46">
        <f>EnergyBalance!K21-'EB1'!K21</f>
        <v>0</v>
      </c>
      <c r="L21" s="121">
        <f t="shared" si="2"/>
        <v>0</v>
      </c>
    </row>
    <row r="22" spans="2:13">
      <c r="B22" s="41" t="s">
        <v>251</v>
      </c>
      <c r="C22" s="63" t="s">
        <v>252</v>
      </c>
      <c r="D22" s="118">
        <f>EnergyBalance!D22-'EB1'!D22</f>
        <v>0</v>
      </c>
      <c r="E22" s="118">
        <f>EnergyBalance!E22-'EB1'!E22</f>
        <v>0</v>
      </c>
      <c r="F22" s="118">
        <f>EnergyBalance!F22-'EB1'!F22</f>
        <v>0</v>
      </c>
      <c r="G22" s="119">
        <f>EnergyBalance!G22-'EB1'!G22</f>
        <v>0</v>
      </c>
      <c r="H22" s="118">
        <f>EnergyBalance!H22-'EB1'!H22</f>
        <v>0</v>
      </c>
      <c r="I22" s="118">
        <f>EnergyBalance!I22-'EB1'!I22</f>
        <v>0</v>
      </c>
      <c r="J22" s="118">
        <f>EnergyBalance!J22-'EB1'!J22</f>
        <v>0</v>
      </c>
      <c r="K22" s="118">
        <f>EnergyBalance!K22-'EB1'!K22</f>
        <v>0</v>
      </c>
      <c r="L22" s="120">
        <f t="shared" si="2"/>
        <v>0</v>
      </c>
    </row>
    <row r="23" spans="2:13">
      <c r="B23" s="41" t="s">
        <v>253</v>
      </c>
      <c r="C23" s="63" t="s">
        <v>254</v>
      </c>
      <c r="D23" s="118">
        <f>EnergyBalance!D23-'EB1'!D23</f>
        <v>0</v>
      </c>
      <c r="E23" s="118">
        <f>EnergyBalance!E23-'EB1'!E23</f>
        <v>0</v>
      </c>
      <c r="F23" s="118">
        <f>EnergyBalance!F23-'EB1'!F23</f>
        <v>0</v>
      </c>
      <c r="G23" s="119">
        <f>EnergyBalance!G23-'EB1'!G23</f>
        <v>0</v>
      </c>
      <c r="H23" s="118">
        <f>EnergyBalance!H23-'EB1'!H23</f>
        <v>0</v>
      </c>
      <c r="I23" s="118">
        <f>EnergyBalance!I23-'EB1'!I23</f>
        <v>0</v>
      </c>
      <c r="J23" s="118">
        <f>EnergyBalance!J23-'EB1'!J23</f>
        <v>0</v>
      </c>
      <c r="K23" s="118">
        <f>EnergyBalance!K23-'EB1'!K23</f>
        <v>0</v>
      </c>
      <c r="L23" s="120">
        <f t="shared" si="2"/>
        <v>0</v>
      </c>
    </row>
    <row r="24" spans="2:13" ht="15">
      <c r="B24" s="108" t="s">
        <v>255</v>
      </c>
      <c r="C24" s="55" t="s">
        <v>256</v>
      </c>
      <c r="D24" s="53">
        <f t="shared" ref="D24:L24" si="3">SUM(D16:D23)</f>
        <v>0</v>
      </c>
      <c r="E24" s="52">
        <f t="shared" si="3"/>
        <v>0</v>
      </c>
      <c r="F24" s="52">
        <f t="shared" si="3"/>
        <v>0</v>
      </c>
      <c r="G24" s="52">
        <f t="shared" si="3"/>
        <v>0</v>
      </c>
      <c r="H24" s="52">
        <f t="shared" si="3"/>
        <v>0</v>
      </c>
      <c r="I24" s="52">
        <f t="shared" si="3"/>
        <v>0</v>
      </c>
      <c r="J24" s="52">
        <f t="shared" si="3"/>
        <v>0</v>
      </c>
      <c r="K24" s="53">
        <f t="shared" si="3"/>
        <v>0</v>
      </c>
      <c r="L24" s="54">
        <f t="shared" si="3"/>
        <v>0</v>
      </c>
    </row>
    <row r="25" spans="2:13">
      <c r="D25" s="8"/>
      <c r="F25" s="8"/>
      <c r="G25" s="8"/>
      <c r="H25" s="8"/>
      <c r="I25" s="8"/>
      <c r="J25" s="8"/>
      <c r="K25" s="8"/>
      <c r="L25" s="8"/>
      <c r="M25" s="8"/>
    </row>
    <row r="26" spans="2:13">
      <c r="D26" s="8"/>
      <c r="F26" s="8"/>
      <c r="G26" s="8"/>
      <c r="H26" s="8"/>
      <c r="I26" s="8"/>
      <c r="J26" s="8"/>
      <c r="K26" s="8"/>
      <c r="L26" s="8"/>
      <c r="M26" s="8"/>
    </row>
    <row r="27" spans="2:13" ht="15">
      <c r="C27" s="47" t="s">
        <v>257</v>
      </c>
      <c r="D27" s="47"/>
      <c r="E27" s="47"/>
      <c r="F27" s="8"/>
      <c r="G27" s="8"/>
      <c r="H27" s="8"/>
      <c r="I27" s="8"/>
      <c r="J27" s="8"/>
      <c r="K27" s="8"/>
      <c r="L27" s="8"/>
      <c r="M27" s="8"/>
    </row>
    <row r="28" spans="2:13">
      <c r="D28" s="8"/>
      <c r="F28" s="8"/>
      <c r="G28" s="8"/>
      <c r="H28" s="8"/>
      <c r="I28" s="8"/>
      <c r="J28" s="8"/>
      <c r="K28" s="8"/>
      <c r="L28" s="8"/>
      <c r="M28" s="8"/>
    </row>
    <row r="29" spans="2:13">
      <c r="D29" s="8"/>
      <c r="F29" s="8"/>
      <c r="G29" s="8"/>
      <c r="H29" s="8"/>
      <c r="I29" s="8"/>
      <c r="J29" s="8"/>
      <c r="K29" s="8"/>
      <c r="L29" s="8"/>
      <c r="M29" s="8"/>
    </row>
    <row r="30" spans="2:13">
      <c r="D30" s="8"/>
      <c r="F30" s="8"/>
      <c r="G30" s="8"/>
      <c r="H30" s="8"/>
      <c r="I30" s="8"/>
      <c r="J30" s="8"/>
      <c r="K30" s="8"/>
      <c r="L30" s="8"/>
      <c r="M30" s="8"/>
    </row>
    <row r="31" spans="2:13">
      <c r="D31" s="8"/>
      <c r="F31" s="8"/>
      <c r="G31" s="8"/>
      <c r="H31" s="8"/>
      <c r="I31" s="8"/>
      <c r="J31" s="8"/>
      <c r="K31" s="8"/>
      <c r="L31" s="8"/>
      <c r="M31" s="8"/>
    </row>
    <row r="32" spans="2:13">
      <c r="D32" s="8"/>
      <c r="F32" s="8"/>
      <c r="G32" s="8"/>
      <c r="H32" s="8"/>
      <c r="I32" s="8"/>
      <c r="J32" s="8"/>
      <c r="K32" s="8"/>
      <c r="L32" s="8"/>
      <c r="M32" s="8"/>
    </row>
    <row r="33" spans="2:14">
      <c r="D33" s="8"/>
      <c r="F33" s="8"/>
      <c r="G33" s="8"/>
      <c r="H33" s="8"/>
      <c r="I33" s="8"/>
      <c r="J33" s="8"/>
      <c r="K33" s="8"/>
      <c r="L33" s="8"/>
      <c r="M33" s="8"/>
    </row>
    <row r="34" spans="2:14">
      <c r="D34" s="8"/>
      <c r="F34" s="8"/>
      <c r="G34" s="8"/>
      <c r="H34" s="8"/>
      <c r="I34" s="8"/>
      <c r="J34" s="8"/>
      <c r="K34" s="8"/>
      <c r="L34" s="8"/>
      <c r="M34" s="8"/>
    </row>
    <row r="35" spans="2:14">
      <c r="D35" s="8"/>
      <c r="F35" s="8"/>
      <c r="G35" s="8"/>
      <c r="H35" s="8"/>
      <c r="I35" s="8"/>
      <c r="J35" s="8"/>
      <c r="K35" s="8"/>
      <c r="L35" s="8"/>
      <c r="M35" s="8"/>
    </row>
    <row r="36" spans="2:14">
      <c r="D36" s="172" t="s">
        <v>196</v>
      </c>
      <c r="E36" s="172" t="s">
        <v>197</v>
      </c>
      <c r="F36" s="172" t="s">
        <v>198</v>
      </c>
      <c r="G36" s="157"/>
      <c r="H36" s="157"/>
      <c r="I36" s="157"/>
      <c r="J36" s="157"/>
      <c r="K36" s="157"/>
      <c r="L36" s="157"/>
      <c r="M36" s="157"/>
    </row>
    <row r="37" spans="2:14">
      <c r="C37" s="173" t="s">
        <v>258</v>
      </c>
      <c r="D37" s="22">
        <v>0.75</v>
      </c>
      <c r="E37" s="22">
        <v>0.5</v>
      </c>
      <c r="F37" s="22">
        <v>0.8</v>
      </c>
      <c r="G37" s="24"/>
      <c r="H37" s="24"/>
      <c r="I37" s="24"/>
      <c r="J37" s="24"/>
      <c r="K37" s="24"/>
      <c r="L37" s="24"/>
      <c r="M37" s="24"/>
    </row>
    <row r="38" spans="2:14">
      <c r="C38" s="174" t="s">
        <v>259</v>
      </c>
      <c r="D38" s="23">
        <v>0.25</v>
      </c>
      <c r="E38" s="23">
        <v>0.5</v>
      </c>
      <c r="F38" s="23">
        <v>0.2</v>
      </c>
      <c r="G38" s="24"/>
      <c r="H38" s="24"/>
      <c r="I38" s="24"/>
      <c r="J38" s="24"/>
      <c r="K38" s="24"/>
      <c r="L38" s="24"/>
      <c r="M38" s="24"/>
    </row>
    <row r="39" spans="2:14">
      <c r="C39" s="157"/>
      <c r="D39" s="24"/>
    </row>
    <row r="40" spans="2:14">
      <c r="C40" s="157"/>
      <c r="D40" s="24"/>
    </row>
    <row r="41" spans="2:14" ht="28">
      <c r="B41" s="26" t="s">
        <v>260</v>
      </c>
      <c r="C41" s="73" t="s">
        <v>261</v>
      </c>
      <c r="D41" s="40" t="s">
        <v>216</v>
      </c>
      <c r="E41" s="40" t="s">
        <v>206</v>
      </c>
      <c r="F41" s="40" t="s">
        <v>217</v>
      </c>
      <c r="G41" s="40" t="s">
        <v>218</v>
      </c>
      <c r="H41" s="40" t="s">
        <v>219</v>
      </c>
      <c r="I41" s="40" t="s">
        <v>210</v>
      </c>
      <c r="J41" s="40" t="s">
        <v>211</v>
      </c>
      <c r="K41" s="40" t="s">
        <v>212</v>
      </c>
      <c r="L41" s="27"/>
    </row>
    <row r="42" spans="2:14">
      <c r="B42" s="41" t="s">
        <v>239</v>
      </c>
      <c r="C42" s="62" t="s">
        <v>262</v>
      </c>
      <c r="D42" s="65"/>
      <c r="E42" s="67"/>
      <c r="F42" s="67"/>
      <c r="G42" s="67"/>
      <c r="H42" s="67"/>
      <c r="I42" s="67"/>
      <c r="J42" s="67"/>
      <c r="K42" s="68"/>
      <c r="N42" s="62" t="s">
        <v>263</v>
      </c>
    </row>
    <row r="43" spans="2:14">
      <c r="B43" s="41" t="s">
        <v>239</v>
      </c>
      <c r="C43" s="63" t="s">
        <v>264</v>
      </c>
      <c r="D43" s="66"/>
      <c r="E43" s="42"/>
      <c r="F43" s="42"/>
      <c r="G43" s="42"/>
      <c r="H43" s="42"/>
      <c r="I43" s="42"/>
      <c r="J43" s="42"/>
      <c r="K43" s="69"/>
      <c r="N43" s="63" t="s">
        <v>265</v>
      </c>
    </row>
    <row r="44" spans="2:14" ht="15">
      <c r="B44" s="41" t="s">
        <v>239</v>
      </c>
      <c r="C44" s="63" t="s">
        <v>266</v>
      </c>
      <c r="D44" s="66"/>
      <c r="E44" s="47">
        <v>1</v>
      </c>
      <c r="F44" s="42"/>
      <c r="G44" s="42"/>
      <c r="H44" s="42"/>
      <c r="I44" s="42"/>
      <c r="J44" s="42"/>
      <c r="K44" s="69"/>
      <c r="N44" s="63" t="s">
        <v>250</v>
      </c>
    </row>
    <row r="45" spans="2:14">
      <c r="B45" s="41"/>
      <c r="C45" s="63"/>
      <c r="D45" s="66"/>
      <c r="E45" s="42"/>
      <c r="F45" s="42"/>
      <c r="G45" s="42"/>
      <c r="H45" s="42"/>
      <c r="I45" s="42"/>
      <c r="J45" s="42"/>
      <c r="K45" s="69"/>
      <c r="N45" s="63"/>
    </row>
    <row r="46" spans="2:14">
      <c r="B46" s="41" t="s">
        <v>241</v>
      </c>
      <c r="C46" s="63" t="s">
        <v>267</v>
      </c>
      <c r="D46" s="66"/>
      <c r="E46" s="42"/>
      <c r="F46" s="42"/>
      <c r="G46" s="42"/>
      <c r="H46" s="42"/>
      <c r="I46" s="42"/>
      <c r="J46" s="42"/>
      <c r="K46" s="69"/>
      <c r="N46" s="63" t="s">
        <v>268</v>
      </c>
    </row>
    <row r="47" spans="2:14">
      <c r="B47" s="41" t="s">
        <v>241</v>
      </c>
      <c r="C47" s="63" t="s">
        <v>269</v>
      </c>
      <c r="D47" s="66"/>
      <c r="E47" s="42"/>
      <c r="F47" s="42"/>
      <c r="G47" s="42"/>
      <c r="H47" s="42"/>
      <c r="I47" s="42"/>
      <c r="J47" s="42"/>
      <c r="K47" s="69"/>
      <c r="N47" s="63" t="s">
        <v>270</v>
      </c>
    </row>
    <row r="48" spans="2:14">
      <c r="B48" s="41"/>
      <c r="C48" s="63"/>
      <c r="D48" s="66"/>
      <c r="E48" s="42"/>
      <c r="F48" s="42"/>
      <c r="G48" s="42"/>
      <c r="H48" s="42"/>
      <c r="I48" s="42"/>
      <c r="J48" s="42"/>
      <c r="K48" s="69"/>
      <c r="N48" s="63"/>
    </row>
    <row r="49" spans="2:14" ht="15">
      <c r="B49" s="41" t="s">
        <v>247</v>
      </c>
      <c r="C49" s="64" t="s">
        <v>267</v>
      </c>
      <c r="D49" s="70"/>
      <c r="E49" s="45"/>
      <c r="F49" s="48">
        <v>1</v>
      </c>
      <c r="G49" s="45"/>
      <c r="H49" s="45"/>
      <c r="I49" s="45"/>
      <c r="J49" s="45"/>
      <c r="K49" s="71"/>
      <c r="N49" s="64" t="s">
        <v>268</v>
      </c>
    </row>
    <row r="52" spans="2:14" ht="14">
      <c r="C52" s="77" t="s">
        <v>271</v>
      </c>
      <c r="D52" s="79" t="s">
        <v>272</v>
      </c>
      <c r="E52" s="78" t="s">
        <v>273</v>
      </c>
    </row>
    <row r="53" spans="2:14" ht="14">
      <c r="B53" s="21" t="s">
        <v>274</v>
      </c>
      <c r="C53" s="72" t="s">
        <v>275</v>
      </c>
      <c r="D53" s="72" t="s">
        <v>276</v>
      </c>
      <c r="E53" s="75" t="s">
        <v>273</v>
      </c>
    </row>
    <row r="54" spans="2:14">
      <c r="B54" s="41" t="s">
        <v>239</v>
      </c>
      <c r="C54" s="74">
        <v>1</v>
      </c>
      <c r="D54" s="74"/>
      <c r="E54" s="74"/>
    </row>
    <row r="55" spans="2:14">
      <c r="B55" s="41" t="s">
        <v>247</v>
      </c>
      <c r="C55" s="74">
        <v>1</v>
      </c>
      <c r="D55" s="74"/>
      <c r="E55" s="74"/>
    </row>
    <row r="56" spans="2:14">
      <c r="B56" s="41" t="s">
        <v>249</v>
      </c>
      <c r="C56" s="74">
        <v>1</v>
      </c>
      <c r="D56" s="74"/>
      <c r="E56" s="74"/>
    </row>
    <row r="57" spans="2:14">
      <c r="B57" s="41" t="s">
        <v>203</v>
      </c>
      <c r="C57" s="76">
        <v>1</v>
      </c>
      <c r="D57" s="76"/>
      <c r="E57" s="76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Y20"/>
  <sheetViews>
    <sheetView zoomScale="60" zoomScaleNormal="60" workbookViewId="0">
      <selection activeCell="AH46" sqref="AH46"/>
    </sheetView>
  </sheetViews>
  <sheetFormatPr baseColWidth="10" defaultColWidth="8.83203125" defaultRowHeight="13"/>
  <cols>
    <col min="1" max="1" width="1.83203125" customWidth="1"/>
    <col min="2" max="2" width="7.6640625" customWidth="1"/>
    <col min="3" max="3" width="6.83203125" customWidth="1"/>
    <col min="11" max="11" width="6.6640625" customWidth="1"/>
    <col min="12" max="12" width="7.1640625" customWidth="1"/>
  </cols>
  <sheetData>
    <row r="2" spans="2:13" ht="18">
      <c r="B2" s="101" t="s">
        <v>280</v>
      </c>
      <c r="L2" s="101"/>
    </row>
    <row r="4" spans="2:13" ht="18">
      <c r="B4" s="101" t="s">
        <v>281</v>
      </c>
    </row>
    <row r="6" spans="2:13">
      <c r="B6" s="26" t="s">
        <v>282</v>
      </c>
    </row>
    <row r="7" spans="2:13">
      <c r="B7" s="26" t="s">
        <v>283</v>
      </c>
    </row>
    <row r="8" spans="2:13">
      <c r="B8" s="26" t="s">
        <v>284</v>
      </c>
    </row>
    <row r="11" spans="2:13">
      <c r="L11" s="26"/>
      <c r="M11" s="26"/>
    </row>
    <row r="12" spans="2:13">
      <c r="M12" s="157"/>
    </row>
    <row r="13" spans="2:13">
      <c r="M13" s="157"/>
    </row>
    <row r="14" spans="2:13">
      <c r="M14" s="157"/>
    </row>
    <row r="15" spans="2:13">
      <c r="M15" s="157"/>
    </row>
    <row r="16" spans="2:13">
      <c r="M16" s="157"/>
    </row>
    <row r="17" spans="2:25">
      <c r="M17" s="157"/>
    </row>
    <row r="18" spans="2:25" ht="18">
      <c r="B18" s="101" t="s">
        <v>285</v>
      </c>
    </row>
    <row r="20" spans="2:25">
      <c r="D20" s="102" t="s">
        <v>286</v>
      </c>
      <c r="E20" s="102"/>
      <c r="F20" s="102"/>
      <c r="G20" s="102"/>
      <c r="H20" s="102"/>
      <c r="I20" s="102"/>
      <c r="L20" s="102" t="s">
        <v>287</v>
      </c>
      <c r="M20" s="102"/>
      <c r="N20" s="102"/>
      <c r="O20" s="102"/>
      <c r="V20" s="102" t="s">
        <v>288</v>
      </c>
      <c r="W20" s="102"/>
      <c r="X20" s="102"/>
      <c r="Y20" s="102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4C20-73B9-4939-A565-379B25787A27}">
  <sheetPr>
    <tabColor rgb="FFFF0000"/>
  </sheetPr>
  <dimension ref="B2:T16"/>
  <sheetViews>
    <sheetView topLeftCell="I1" workbookViewId="0">
      <selection activeCell="T3" sqref="T3"/>
    </sheetView>
  </sheetViews>
  <sheetFormatPr baseColWidth="10" defaultColWidth="8.83203125" defaultRowHeight="13"/>
  <cols>
    <col min="12" max="12" width="18.6640625" bestFit="1" customWidth="1"/>
    <col min="13" max="13" width="16" bestFit="1" customWidth="1"/>
    <col min="14" max="14" width="16" customWidth="1"/>
    <col min="15" max="15" width="13.1640625" bestFit="1" customWidth="1"/>
    <col min="16" max="17" width="13.1640625" customWidth="1"/>
    <col min="20" max="20" width="24" bestFit="1" customWidth="1"/>
  </cols>
  <sheetData>
    <row r="2" spans="2:20">
      <c r="C2" t="s">
        <v>289</v>
      </c>
      <c r="D2">
        <v>2030</v>
      </c>
      <c r="E2">
        <v>2050</v>
      </c>
      <c r="F2" t="s">
        <v>290</v>
      </c>
      <c r="G2" t="s">
        <v>291</v>
      </c>
      <c r="H2" t="s">
        <v>292</v>
      </c>
      <c r="I2" t="s">
        <v>293</v>
      </c>
      <c r="J2" t="s">
        <v>11</v>
      </c>
      <c r="K2" t="s">
        <v>21</v>
      </c>
      <c r="L2" t="s">
        <v>294</v>
      </c>
      <c r="M2" t="s">
        <v>295</v>
      </c>
      <c r="N2" t="s">
        <v>296</v>
      </c>
      <c r="O2" t="s">
        <v>297</v>
      </c>
      <c r="P2" t="s">
        <v>298</v>
      </c>
      <c r="Q2" t="s">
        <v>299</v>
      </c>
      <c r="R2" t="s">
        <v>300</v>
      </c>
      <c r="S2" t="s">
        <v>301</v>
      </c>
      <c r="T2" t="s">
        <v>302</v>
      </c>
    </row>
    <row r="3" spans="2:20">
      <c r="B3" t="s">
        <v>198</v>
      </c>
      <c r="C3">
        <v>6.4</v>
      </c>
      <c r="D3">
        <v>7.36</v>
      </c>
      <c r="E3">
        <v>9.6</v>
      </c>
      <c r="F3">
        <v>40</v>
      </c>
      <c r="G3">
        <v>5</v>
      </c>
      <c r="I3">
        <v>0.31338197955563962</v>
      </c>
      <c r="J3">
        <v>0.85000000000000098</v>
      </c>
      <c r="L3" s="186">
        <f>Con_ELC!U19</f>
        <v>0</v>
      </c>
      <c r="M3" s="186">
        <f>L3*8760*J3</f>
        <v>0</v>
      </c>
      <c r="N3" s="186">
        <f>M3*$K$16*1000</f>
        <v>0</v>
      </c>
      <c r="O3" s="186">
        <f>N3/I3</f>
        <v>0</v>
      </c>
      <c r="P3" s="186">
        <f>O3*C3</f>
        <v>0</v>
      </c>
      <c r="Q3" s="186">
        <f>P3+G3*N3+F3*L3</f>
        <v>0</v>
      </c>
      <c r="R3" s="186">
        <v>0</v>
      </c>
      <c r="S3" s="186">
        <f>Q3+R3</f>
        <v>0</v>
      </c>
      <c r="T3" s="186" t="e">
        <f>S3/M3*100</f>
        <v>#DIV/0!</v>
      </c>
    </row>
    <row r="4" spans="2:20">
      <c r="B4" t="s">
        <v>197</v>
      </c>
      <c r="C4" s="98">
        <v>3.6</v>
      </c>
      <c r="D4" s="98">
        <v>4.1399999999999997</v>
      </c>
      <c r="E4" s="98">
        <v>5.4</v>
      </c>
      <c r="F4">
        <v>20.9</v>
      </c>
      <c r="G4">
        <v>1.5916666666666668</v>
      </c>
      <c r="I4">
        <v>0.30248345618649353</v>
      </c>
      <c r="J4">
        <v>0.85000000000000009</v>
      </c>
      <c r="L4" s="186">
        <f>Con_ELC!U22</f>
        <v>0</v>
      </c>
      <c r="M4" s="186">
        <f t="shared" ref="M4:M10" si="0">L4*8760*J4</f>
        <v>0</v>
      </c>
      <c r="N4" s="186">
        <f t="shared" ref="N4:N10" si="1">M4*$K$16*1000</f>
        <v>0</v>
      </c>
      <c r="O4" s="186">
        <f t="shared" ref="O4:O10" si="2">N4/I4</f>
        <v>0</v>
      </c>
      <c r="P4" s="186">
        <f t="shared" ref="P4:P10" si="3">O4*C4</f>
        <v>0</v>
      </c>
      <c r="Q4" s="186">
        <f t="shared" ref="Q4:Q10" si="4">P4+G4*N4+F4*L4</f>
        <v>0</v>
      </c>
      <c r="R4" s="186">
        <v>0</v>
      </c>
      <c r="S4" s="186">
        <f t="shared" ref="S4:S10" si="5">Q4+R4</f>
        <v>0</v>
      </c>
      <c r="T4" s="186" t="e">
        <f t="shared" ref="T4:T10" si="6">S4/M4*100</f>
        <v>#DIV/0!</v>
      </c>
    </row>
    <row r="5" spans="2:20">
      <c r="B5" t="s">
        <v>196</v>
      </c>
      <c r="C5" s="176">
        <v>2</v>
      </c>
      <c r="D5" s="176">
        <v>2.5</v>
      </c>
      <c r="E5" s="176">
        <v>3</v>
      </c>
      <c r="F5">
        <v>96.2</v>
      </c>
      <c r="G5">
        <v>3.9611111111111108</v>
      </c>
      <c r="I5">
        <v>0.32942718242790708</v>
      </c>
      <c r="J5">
        <v>0.84999999999999976</v>
      </c>
      <c r="L5" s="186">
        <f>Con_ELC!U23</f>
        <v>0</v>
      </c>
      <c r="M5" s="186">
        <f t="shared" si="0"/>
        <v>0</v>
      </c>
      <c r="N5" s="186">
        <f t="shared" si="1"/>
        <v>0</v>
      </c>
      <c r="O5" s="186">
        <f t="shared" si="2"/>
        <v>0</v>
      </c>
      <c r="P5" s="186">
        <f t="shared" si="3"/>
        <v>0</v>
      </c>
      <c r="Q5" s="186">
        <f t="shared" si="4"/>
        <v>0</v>
      </c>
      <c r="R5" s="186">
        <v>0</v>
      </c>
      <c r="S5" s="186">
        <f t="shared" si="5"/>
        <v>0</v>
      </c>
      <c r="T5" s="186" t="e">
        <f t="shared" si="6"/>
        <v>#DIV/0!</v>
      </c>
    </row>
    <row r="6" spans="2:20">
      <c r="B6" t="s">
        <v>303</v>
      </c>
      <c r="F6">
        <v>23.4</v>
      </c>
      <c r="G6">
        <v>0</v>
      </c>
      <c r="H6">
        <v>1376</v>
      </c>
      <c r="I6">
        <v>1</v>
      </c>
      <c r="J6">
        <v>0.19</v>
      </c>
      <c r="K6">
        <v>30</v>
      </c>
      <c r="L6" s="186">
        <v>1</v>
      </c>
      <c r="M6" s="186">
        <f t="shared" si="0"/>
        <v>1664.4</v>
      </c>
      <c r="N6" s="186">
        <f t="shared" si="1"/>
        <v>5.9918399999999998</v>
      </c>
      <c r="O6" s="186">
        <f t="shared" si="2"/>
        <v>5.9918399999999998</v>
      </c>
      <c r="P6" s="186">
        <f t="shared" si="3"/>
        <v>0</v>
      </c>
      <c r="Q6" s="186">
        <f t="shared" si="4"/>
        <v>23.4</v>
      </c>
      <c r="R6" s="186">
        <f>H6/K6</f>
        <v>45.866666666666667</v>
      </c>
      <c r="S6" s="186">
        <f t="shared" si="5"/>
        <v>69.266666666666666</v>
      </c>
      <c r="T6" s="186">
        <f t="shared" si="6"/>
        <v>4.1616598574060717</v>
      </c>
    </row>
    <row r="7" spans="2:20">
      <c r="B7" t="s">
        <v>304</v>
      </c>
      <c r="F7">
        <v>42.63</v>
      </c>
      <c r="G7">
        <v>0</v>
      </c>
      <c r="H7">
        <v>1392</v>
      </c>
      <c r="I7">
        <v>1</v>
      </c>
      <c r="J7">
        <v>0.17</v>
      </c>
      <c r="K7">
        <v>30</v>
      </c>
      <c r="L7" s="186">
        <v>1</v>
      </c>
      <c r="M7" s="186">
        <f t="shared" si="0"/>
        <v>1489.2</v>
      </c>
      <c r="N7" s="186">
        <f t="shared" si="1"/>
        <v>5.3611199999999997</v>
      </c>
      <c r="O7" s="186">
        <f t="shared" si="2"/>
        <v>5.3611199999999997</v>
      </c>
      <c r="P7" s="186">
        <f t="shared" si="3"/>
        <v>0</v>
      </c>
      <c r="Q7" s="186">
        <f t="shared" si="4"/>
        <v>42.63</v>
      </c>
      <c r="R7" s="186">
        <f t="shared" ref="R7:R10" si="7">H7/K7</f>
        <v>46.4</v>
      </c>
      <c r="S7" s="186">
        <f t="shared" si="5"/>
        <v>89.03</v>
      </c>
      <c r="T7" s="186">
        <f t="shared" si="6"/>
        <v>5.9783776524308347</v>
      </c>
    </row>
    <row r="8" spans="2:20">
      <c r="B8" t="s">
        <v>305</v>
      </c>
      <c r="F8">
        <v>149</v>
      </c>
      <c r="G8">
        <v>1.33</v>
      </c>
      <c r="H8">
        <v>4333</v>
      </c>
      <c r="I8">
        <v>0.25</v>
      </c>
      <c r="J8">
        <v>0.63</v>
      </c>
      <c r="K8">
        <v>45</v>
      </c>
      <c r="L8" s="186">
        <v>1</v>
      </c>
      <c r="M8" s="186">
        <f t="shared" si="0"/>
        <v>5518.8</v>
      </c>
      <c r="N8" s="186">
        <f t="shared" si="1"/>
        <v>19.86768</v>
      </c>
      <c r="O8" s="186">
        <f t="shared" si="2"/>
        <v>79.47072</v>
      </c>
      <c r="P8" s="186">
        <f t="shared" si="3"/>
        <v>0</v>
      </c>
      <c r="Q8" s="186">
        <f>P8+G8*N8+F8*L8</f>
        <v>175.4240144</v>
      </c>
      <c r="R8" s="186">
        <f t="shared" si="7"/>
        <v>96.288888888888891</v>
      </c>
      <c r="S8" s="186">
        <f t="shared" si="5"/>
        <v>271.71290328888892</v>
      </c>
      <c r="T8" s="186">
        <f t="shared" si="6"/>
        <v>4.9234055100545211</v>
      </c>
    </row>
    <row r="9" spans="2:20">
      <c r="B9" t="s">
        <v>306</v>
      </c>
      <c r="F9">
        <v>116</v>
      </c>
      <c r="G9">
        <v>0</v>
      </c>
      <c r="H9">
        <v>15993</v>
      </c>
      <c r="I9">
        <v>1</v>
      </c>
      <c r="J9">
        <v>0.31</v>
      </c>
      <c r="K9">
        <v>100</v>
      </c>
      <c r="L9" s="186">
        <v>1</v>
      </c>
      <c r="M9" s="186">
        <f t="shared" si="0"/>
        <v>2715.6</v>
      </c>
      <c r="N9" s="186">
        <f t="shared" si="1"/>
        <v>9.7761599999999991</v>
      </c>
      <c r="O9" s="186">
        <f t="shared" si="2"/>
        <v>9.7761599999999991</v>
      </c>
      <c r="P9" s="186">
        <f t="shared" si="3"/>
        <v>0</v>
      </c>
      <c r="Q9" s="186">
        <f t="shared" si="4"/>
        <v>116</v>
      </c>
      <c r="R9" s="186">
        <f t="shared" si="7"/>
        <v>159.93</v>
      </c>
      <c r="S9" s="186">
        <f t="shared" si="5"/>
        <v>275.93</v>
      </c>
      <c r="T9" s="186">
        <f t="shared" si="6"/>
        <v>10.160922079835027</v>
      </c>
    </row>
    <row r="10" spans="2:20">
      <c r="B10" t="s">
        <v>307</v>
      </c>
      <c r="F10">
        <v>31</v>
      </c>
      <c r="G10">
        <v>0</v>
      </c>
      <c r="H10">
        <v>6158</v>
      </c>
      <c r="I10">
        <v>1</v>
      </c>
      <c r="J10">
        <v>0.66</v>
      </c>
      <c r="K10">
        <v>100</v>
      </c>
      <c r="L10" s="186">
        <v>1</v>
      </c>
      <c r="M10" s="186">
        <f t="shared" si="0"/>
        <v>5781.6</v>
      </c>
      <c r="N10" s="186">
        <f t="shared" si="1"/>
        <v>20.813760000000002</v>
      </c>
      <c r="O10" s="186">
        <f t="shared" si="2"/>
        <v>20.813760000000002</v>
      </c>
      <c r="P10" s="186">
        <f t="shared" si="3"/>
        <v>0</v>
      </c>
      <c r="Q10" s="186">
        <f t="shared" si="4"/>
        <v>31</v>
      </c>
      <c r="R10" s="186">
        <f t="shared" si="7"/>
        <v>61.58</v>
      </c>
      <c r="S10" s="186">
        <f t="shared" si="5"/>
        <v>92.58</v>
      </c>
      <c r="T10" s="186">
        <f t="shared" si="6"/>
        <v>1.6012868410128684</v>
      </c>
    </row>
    <row r="16" spans="2:20">
      <c r="J16" t="s">
        <v>308</v>
      </c>
      <c r="K16">
        <v>3.5999999999999998E-6</v>
      </c>
      <c r="L16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FFCA-A921-4BC0-AD44-FEDDA5038808}">
  <sheetPr>
    <tabColor rgb="FF92D050"/>
  </sheetPr>
  <dimension ref="B1:P35"/>
  <sheetViews>
    <sheetView topLeftCell="A4" zoomScaleNormal="100" workbookViewId="0">
      <selection activeCell="F23" sqref="F23:F31"/>
    </sheetView>
  </sheetViews>
  <sheetFormatPr baseColWidth="10" defaultColWidth="8.83203125" defaultRowHeight="13"/>
  <cols>
    <col min="1" max="1" width="2" style="28" bestFit="1" customWidth="1"/>
    <col min="2" max="2" width="13.83203125" customWidth="1"/>
    <col min="3" max="3" width="11.83203125" bestFit="1" customWidth="1"/>
    <col min="4" max="4" width="11" customWidth="1"/>
    <col min="5" max="5" width="13.1640625" bestFit="1" customWidth="1"/>
    <col min="6" max="6" width="8.33203125" bestFit="1" customWidth="1"/>
    <col min="7" max="7" width="2" style="28" bestFit="1" customWidth="1"/>
    <col min="8" max="8" width="11.83203125" bestFit="1" customWidth="1"/>
    <col min="9" max="9" width="7.33203125" bestFit="1" customWidth="1"/>
    <col min="10" max="10" width="12.1640625" bestFit="1" customWidth="1"/>
    <col min="11" max="11" width="37.33203125" bestFit="1" customWidth="1"/>
    <col min="12" max="12" width="6.1640625" bestFit="1" customWidth="1"/>
    <col min="13" max="13" width="10.33203125" bestFit="1" customWidth="1"/>
    <col min="14" max="14" width="12.83203125" bestFit="1" customWidth="1"/>
    <col min="15" max="15" width="14.1640625" bestFit="1" customWidth="1"/>
    <col min="16" max="16" width="8" bestFit="1" customWidth="1"/>
    <col min="17" max="16384" width="8.83203125" style="28"/>
  </cols>
  <sheetData>
    <row r="1" spans="2:16" ht="32">
      <c r="B1" s="25" t="s">
        <v>309</v>
      </c>
      <c r="C1" s="25" t="s">
        <v>310</v>
      </c>
      <c r="D1" s="25" t="s">
        <v>311</v>
      </c>
      <c r="E1" s="25" t="s">
        <v>312</v>
      </c>
      <c r="F1" s="25" t="s">
        <v>313</v>
      </c>
    </row>
    <row r="2" spans="2:16" ht="16">
      <c r="B2" s="12"/>
      <c r="C2" s="12" t="s">
        <v>306</v>
      </c>
      <c r="D2" s="12" t="s">
        <v>314</v>
      </c>
      <c r="E2" s="12" t="str">
        <f>EnergyBalance!R2</f>
        <v>PJ</v>
      </c>
      <c r="F2" s="12" t="str">
        <f>EnergyBalance!Q2</f>
        <v>M€2020</v>
      </c>
      <c r="H2" s="125" t="s">
        <v>315</v>
      </c>
      <c r="I2" s="125"/>
      <c r="J2" s="156"/>
      <c r="K2" s="156"/>
      <c r="L2" s="156"/>
      <c r="M2" s="156"/>
      <c r="N2" s="156"/>
      <c r="O2" s="156"/>
      <c r="P2" s="156"/>
    </row>
    <row r="3" spans="2:16">
      <c r="F3" s="11"/>
      <c r="H3" s="126" t="s">
        <v>316</v>
      </c>
      <c r="I3" s="127" t="s">
        <v>317</v>
      </c>
      <c r="J3" s="126" t="s">
        <v>318</v>
      </c>
      <c r="K3" s="126" t="s">
        <v>319</v>
      </c>
      <c r="L3" s="126" t="s">
        <v>320</v>
      </c>
      <c r="M3" s="126" t="s">
        <v>321</v>
      </c>
      <c r="N3" s="126" t="s">
        <v>322</v>
      </c>
      <c r="O3" s="126" t="s">
        <v>323</v>
      </c>
      <c r="P3" s="126" t="s">
        <v>324</v>
      </c>
    </row>
    <row r="4" spans="2:16" ht="25" thickBot="1">
      <c r="B4" s="157"/>
      <c r="H4" s="128" t="s">
        <v>325</v>
      </c>
      <c r="I4" s="128" t="s">
        <v>326</v>
      </c>
      <c r="J4" s="128" t="s">
        <v>327</v>
      </c>
      <c r="K4" s="128" t="s">
        <v>328</v>
      </c>
      <c r="L4" s="128" t="s">
        <v>320</v>
      </c>
      <c r="M4" s="128" t="s">
        <v>329</v>
      </c>
      <c r="N4" s="128" t="s">
        <v>330</v>
      </c>
      <c r="O4" s="128" t="s">
        <v>331</v>
      </c>
      <c r="P4" s="128" t="s">
        <v>332</v>
      </c>
    </row>
    <row r="5" spans="2:16">
      <c r="H5" s="156" t="s">
        <v>333</v>
      </c>
      <c r="I5" s="129"/>
      <c r="J5" s="156" t="str">
        <f>C2</f>
        <v>HYD</v>
      </c>
      <c r="K5" s="156" t="str">
        <f>D2</f>
        <v>Hydro Power</v>
      </c>
      <c r="L5" s="156" t="str">
        <f>$E$2</f>
        <v>PJ</v>
      </c>
      <c r="M5" s="156"/>
      <c r="N5" s="156"/>
      <c r="O5" s="156"/>
      <c r="P5" s="156"/>
    </row>
    <row r="7" spans="2:16">
      <c r="D7" s="5" t="s">
        <v>334</v>
      </c>
      <c r="F7" s="5"/>
      <c r="H7" s="125" t="s">
        <v>335</v>
      </c>
      <c r="I7" s="125"/>
      <c r="J7" s="129"/>
      <c r="K7" s="129"/>
      <c r="L7" s="129"/>
      <c r="M7" s="129"/>
      <c r="N7" s="129"/>
      <c r="O7" s="129"/>
      <c r="P7" s="129"/>
    </row>
    <row r="8" spans="2:16" ht="14">
      <c r="B8" s="3" t="s">
        <v>336</v>
      </c>
      <c r="C8" s="18" t="s">
        <v>337</v>
      </c>
      <c r="D8" s="3" t="s">
        <v>338</v>
      </c>
      <c r="E8" s="106" t="s">
        <v>339</v>
      </c>
      <c r="F8" s="106" t="s">
        <v>340</v>
      </c>
      <c r="H8" s="126" t="s">
        <v>341</v>
      </c>
      <c r="I8" s="127" t="s">
        <v>317</v>
      </c>
      <c r="J8" s="126" t="s">
        <v>336</v>
      </c>
      <c r="K8" s="126" t="s">
        <v>342</v>
      </c>
      <c r="L8" s="126" t="s">
        <v>343</v>
      </c>
      <c r="M8" s="126" t="s">
        <v>344</v>
      </c>
      <c r="N8" s="126" t="s">
        <v>345</v>
      </c>
      <c r="O8" s="126" t="s">
        <v>346</v>
      </c>
      <c r="P8" s="126" t="s">
        <v>347</v>
      </c>
    </row>
    <row r="9" spans="2:16" ht="25" thickBot="1">
      <c r="B9" s="14" t="s">
        <v>348</v>
      </c>
      <c r="C9" s="14" t="s">
        <v>349</v>
      </c>
      <c r="D9" s="14" t="s">
        <v>350</v>
      </c>
      <c r="E9" s="14"/>
      <c r="F9" s="14" t="s">
        <v>351</v>
      </c>
      <c r="H9" s="128" t="s">
        <v>352</v>
      </c>
      <c r="I9" s="128" t="s">
        <v>326</v>
      </c>
      <c r="J9" s="128" t="s">
        <v>353</v>
      </c>
      <c r="K9" s="128" t="s">
        <v>354</v>
      </c>
      <c r="L9" s="128" t="s">
        <v>355</v>
      </c>
      <c r="M9" s="128" t="s">
        <v>356</v>
      </c>
      <c r="N9" s="128" t="s">
        <v>357</v>
      </c>
      <c r="O9" s="128" t="s">
        <v>358</v>
      </c>
      <c r="P9" s="128" t="s">
        <v>359</v>
      </c>
    </row>
    <row r="10" spans="2:16" ht="14" thickBot="1">
      <c r="B10" s="14" t="s">
        <v>360</v>
      </c>
      <c r="C10" s="13"/>
      <c r="D10" s="13"/>
      <c r="E10" s="13"/>
      <c r="F10" s="13" t="str">
        <f>$F$2&amp;"/"&amp;$E$2</f>
        <v>M€2020/PJ</v>
      </c>
      <c r="H10" s="128" t="s">
        <v>361</v>
      </c>
      <c r="I10" s="130"/>
      <c r="J10" s="130"/>
      <c r="K10" s="130"/>
      <c r="L10" s="130"/>
      <c r="M10" s="130"/>
      <c r="N10" s="130"/>
      <c r="O10" s="130"/>
      <c r="P10" s="130"/>
    </row>
    <row r="11" spans="2:16" ht="14">
      <c r="B11" s="157" t="str">
        <f>J11</f>
        <v>MINHYD1</v>
      </c>
      <c r="C11" s="157"/>
      <c r="D11" s="157" t="str">
        <f>$J$5</f>
        <v>HYD</v>
      </c>
      <c r="E11" s="158"/>
      <c r="F11" s="159"/>
      <c r="H11" s="156" t="str">
        <f>EnergyBalance!$B$5</f>
        <v>MIN</v>
      </c>
      <c r="I11" s="129"/>
      <c r="J11" s="129" t="str">
        <f>$H$11&amp;$C$2&amp;1</f>
        <v>MINHYD1</v>
      </c>
      <c r="K11" s="131" t="str">
        <f>"Domestic Supply of "&amp;$D$2&amp; " Step "&amp;RIGHT(J11,1)</f>
        <v>Domestic Supply of Hydro Power Step 1</v>
      </c>
      <c r="L11" s="129" t="str">
        <f>$E$2</f>
        <v>PJ</v>
      </c>
      <c r="M11" s="129"/>
      <c r="N11" s="129"/>
      <c r="O11" s="129"/>
      <c r="P11" s="129"/>
    </row>
    <row r="12" spans="2:16">
      <c r="B12" s="157"/>
      <c r="C12" s="157"/>
      <c r="D12" s="157"/>
      <c r="E12" s="158"/>
      <c r="F12" s="159"/>
      <c r="K12" s="19"/>
    </row>
    <row r="13" spans="2:16">
      <c r="B13" s="157"/>
      <c r="C13" s="157"/>
      <c r="D13" s="157"/>
      <c r="E13" s="158"/>
      <c r="F13" s="159"/>
      <c r="K13" s="19"/>
    </row>
    <row r="14" spans="2:16">
      <c r="B14" s="157"/>
      <c r="C14" s="157"/>
      <c r="D14" s="157"/>
      <c r="E14" s="158"/>
      <c r="F14" s="159"/>
      <c r="K14" s="19"/>
    </row>
    <row r="15" spans="2:16">
      <c r="B15" s="157"/>
      <c r="C15" s="157"/>
      <c r="D15" s="157"/>
      <c r="E15" s="158"/>
      <c r="F15" s="159"/>
      <c r="K15" s="19"/>
    </row>
    <row r="16" spans="2:16">
      <c r="B16" s="157"/>
      <c r="C16" s="157"/>
      <c r="E16" s="158"/>
      <c r="F16" s="159"/>
    </row>
    <row r="20" spans="2:3" ht="19.5" customHeight="1"/>
    <row r="23" spans="2:3">
      <c r="B23" s="44"/>
      <c r="C23" s="157" t="s">
        <v>362</v>
      </c>
    </row>
    <row r="24" spans="2:3">
      <c r="B24" s="96"/>
      <c r="C24" s="157" t="s">
        <v>363</v>
      </c>
    </row>
    <row r="35" spans="5:5">
      <c r="E35" s="185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6906-A496-4E89-8B2C-61089807700E}">
  <sheetPr>
    <tabColor rgb="FF92D050"/>
  </sheetPr>
  <dimension ref="B1:S24"/>
  <sheetViews>
    <sheetView zoomScaleNormal="100" workbookViewId="0">
      <selection activeCell="D17" sqref="D17"/>
    </sheetView>
  </sheetViews>
  <sheetFormatPr baseColWidth="10" defaultColWidth="8.83203125" defaultRowHeight="13"/>
  <cols>
    <col min="1" max="1" width="2" style="28" bestFit="1" customWidth="1"/>
    <col min="2" max="2" width="13.83203125" customWidth="1"/>
    <col min="3" max="3" width="11.83203125" bestFit="1" customWidth="1"/>
    <col min="4" max="6" width="11" customWidth="1"/>
    <col min="7" max="7" width="13.1640625" bestFit="1" customWidth="1"/>
    <col min="8" max="8" width="8.33203125" bestFit="1" customWidth="1"/>
    <col min="9" max="9" width="13.33203125" customWidth="1"/>
    <col min="10" max="10" width="2" style="28" bestFit="1" customWidth="1"/>
    <col min="11" max="11" width="11.83203125" bestFit="1" customWidth="1"/>
    <col min="12" max="12" width="7.33203125" bestFit="1" customWidth="1"/>
    <col min="13" max="13" width="12.1640625" bestFit="1" customWidth="1"/>
    <col min="14" max="14" width="37.33203125" bestFit="1" customWidth="1"/>
    <col min="15" max="15" width="6.1640625" bestFit="1" customWidth="1"/>
    <col min="16" max="16" width="10.33203125" bestFit="1" customWidth="1"/>
    <col min="17" max="17" width="12.83203125" bestFit="1" customWidth="1"/>
    <col min="18" max="18" width="14.1640625" bestFit="1" customWidth="1"/>
    <col min="19" max="19" width="8" bestFit="1" customWidth="1"/>
    <col min="20" max="16384" width="8.83203125" style="28"/>
  </cols>
  <sheetData>
    <row r="1" spans="2:19" ht="32">
      <c r="B1" s="25" t="s">
        <v>309</v>
      </c>
      <c r="C1" s="25" t="s">
        <v>310</v>
      </c>
      <c r="D1" s="25" t="s">
        <v>311</v>
      </c>
      <c r="E1" s="25"/>
      <c r="F1" s="25"/>
      <c r="G1" s="25" t="s">
        <v>312</v>
      </c>
      <c r="H1" s="25" t="s">
        <v>313</v>
      </c>
    </row>
    <row r="2" spans="2:19" ht="16">
      <c r="B2" s="12"/>
      <c r="C2" s="12" t="s">
        <v>305</v>
      </c>
      <c r="D2" s="12" t="s">
        <v>364</v>
      </c>
      <c r="E2" s="12"/>
      <c r="F2" s="12"/>
      <c r="G2" s="12" t="str">
        <f>EnergyBalance!R2</f>
        <v>PJ</v>
      </c>
      <c r="H2" s="12" t="str">
        <f>EnergyBalance!Q2</f>
        <v>M€2020</v>
      </c>
      <c r="K2" s="125" t="s">
        <v>315</v>
      </c>
      <c r="L2" s="125"/>
      <c r="M2" s="156"/>
      <c r="N2" s="156"/>
      <c r="O2" s="156"/>
      <c r="P2" s="156"/>
      <c r="Q2" s="156"/>
      <c r="R2" s="156"/>
      <c r="S2" s="156"/>
    </row>
    <row r="3" spans="2:19">
      <c r="H3" s="11"/>
      <c r="K3" s="126" t="s">
        <v>316</v>
      </c>
      <c r="L3" s="127" t="s">
        <v>317</v>
      </c>
      <c r="M3" s="126" t="s">
        <v>318</v>
      </c>
      <c r="N3" s="126" t="s">
        <v>319</v>
      </c>
      <c r="O3" s="126" t="s">
        <v>320</v>
      </c>
      <c r="P3" s="126" t="s">
        <v>321</v>
      </c>
      <c r="Q3" s="126" t="s">
        <v>322</v>
      </c>
      <c r="R3" s="126" t="s">
        <v>323</v>
      </c>
      <c r="S3" s="126" t="s">
        <v>324</v>
      </c>
    </row>
    <row r="4" spans="2:19" ht="25" thickBot="1">
      <c r="B4" s="157"/>
      <c r="K4" s="128" t="s">
        <v>325</v>
      </c>
      <c r="L4" s="128" t="s">
        <v>326</v>
      </c>
      <c r="M4" s="128" t="s">
        <v>327</v>
      </c>
      <c r="N4" s="128" t="s">
        <v>328</v>
      </c>
      <c r="O4" s="128" t="s">
        <v>320</v>
      </c>
      <c r="P4" s="128" t="s">
        <v>329</v>
      </c>
      <c r="Q4" s="128" t="s">
        <v>330</v>
      </c>
      <c r="R4" s="128" t="s">
        <v>331</v>
      </c>
      <c r="S4" s="128" t="s">
        <v>332</v>
      </c>
    </row>
    <row r="5" spans="2:19">
      <c r="K5" s="156" t="s">
        <v>333</v>
      </c>
      <c r="L5" s="129"/>
      <c r="M5" s="156" t="str">
        <f>C2</f>
        <v>BIO</v>
      </c>
      <c r="N5" s="156" t="str">
        <f>D2</f>
        <v>Biomass Energy</v>
      </c>
      <c r="O5" s="156" t="str">
        <f>$G$2</f>
        <v>PJ</v>
      </c>
      <c r="P5" s="156"/>
      <c r="Q5" s="156"/>
      <c r="R5" s="156"/>
      <c r="S5" s="156"/>
    </row>
    <row r="7" spans="2:19">
      <c r="D7" s="5"/>
      <c r="F7" s="5" t="s">
        <v>334</v>
      </c>
      <c r="H7" s="5"/>
      <c r="K7" s="125" t="s">
        <v>335</v>
      </c>
      <c r="L7" s="125"/>
      <c r="M7" s="129"/>
      <c r="N7" s="129"/>
      <c r="O7" s="129"/>
      <c r="P7" s="129"/>
      <c r="Q7" s="129"/>
      <c r="R7" s="129"/>
      <c r="S7" s="129"/>
    </row>
    <row r="8" spans="2:19" ht="14">
      <c r="B8" s="3" t="s">
        <v>336</v>
      </c>
      <c r="C8" s="18" t="s">
        <v>337</v>
      </c>
      <c r="D8" s="3" t="s">
        <v>338</v>
      </c>
      <c r="E8" s="3" t="s">
        <v>368</v>
      </c>
      <c r="F8" s="3" t="s">
        <v>321</v>
      </c>
      <c r="G8" s="106" t="s">
        <v>339</v>
      </c>
      <c r="H8" s="106" t="s">
        <v>340</v>
      </c>
      <c r="I8" s="106" t="s">
        <v>365</v>
      </c>
      <c r="K8" s="126" t="s">
        <v>341</v>
      </c>
      <c r="L8" s="127" t="s">
        <v>317</v>
      </c>
      <c r="M8" s="126" t="s">
        <v>336</v>
      </c>
      <c r="N8" s="126" t="s">
        <v>342</v>
      </c>
      <c r="O8" s="126" t="s">
        <v>343</v>
      </c>
      <c r="P8" s="126" t="s">
        <v>344</v>
      </c>
      <c r="Q8" s="126" t="s">
        <v>345</v>
      </c>
      <c r="R8" s="126" t="s">
        <v>346</v>
      </c>
      <c r="S8" s="126" t="s">
        <v>347</v>
      </c>
    </row>
    <row r="9" spans="2:19" ht="25" thickBot="1">
      <c r="B9" s="14" t="s">
        <v>348</v>
      </c>
      <c r="C9" s="14" t="s">
        <v>349</v>
      </c>
      <c r="D9" s="14" t="s">
        <v>350</v>
      </c>
      <c r="E9" s="14"/>
      <c r="F9" s="14"/>
      <c r="G9" s="14" t="s">
        <v>366</v>
      </c>
      <c r="H9" s="14" t="s">
        <v>351</v>
      </c>
      <c r="I9" s="14" t="s">
        <v>367</v>
      </c>
      <c r="K9" s="128" t="s">
        <v>352</v>
      </c>
      <c r="L9" s="128" t="s">
        <v>326</v>
      </c>
      <c r="M9" s="128" t="s">
        <v>353</v>
      </c>
      <c r="N9" s="128" t="s">
        <v>354</v>
      </c>
      <c r="O9" s="128" t="s">
        <v>355</v>
      </c>
      <c r="P9" s="128" t="s">
        <v>356</v>
      </c>
      <c r="Q9" s="128" t="s">
        <v>357</v>
      </c>
      <c r="R9" s="128" t="s">
        <v>358</v>
      </c>
      <c r="S9" s="128" t="s">
        <v>359</v>
      </c>
    </row>
    <row r="10" spans="2:19" ht="14" thickBot="1">
      <c r="B10" s="14" t="s">
        <v>360</v>
      </c>
      <c r="C10" s="13"/>
      <c r="D10" s="13"/>
      <c r="E10" s="13"/>
      <c r="F10" s="13"/>
      <c r="G10" s="13" t="str">
        <f>$G$2</f>
        <v>PJ</v>
      </c>
      <c r="H10" s="13" t="str">
        <f>$H$2&amp;"/"&amp;$G$2</f>
        <v>M€2020/PJ</v>
      </c>
      <c r="I10" s="13" t="str">
        <f>$G$2</f>
        <v>PJ</v>
      </c>
      <c r="K10" s="128" t="s">
        <v>361</v>
      </c>
      <c r="L10" s="130"/>
      <c r="M10" s="130"/>
      <c r="N10" s="130"/>
      <c r="O10" s="130"/>
      <c r="P10" s="130"/>
      <c r="Q10" s="130"/>
      <c r="R10" s="130"/>
      <c r="S10" s="130"/>
    </row>
    <row r="11" spans="2:19" ht="14">
      <c r="B11" s="157" t="str">
        <f>M11</f>
        <v>MINBIO1</v>
      </c>
      <c r="C11" s="157"/>
      <c r="D11" s="157" t="str">
        <f>$M$5</f>
        <v>BIO</v>
      </c>
      <c r="E11" s="157">
        <v>2010</v>
      </c>
      <c r="F11" s="157"/>
      <c r="G11" s="194">
        <v>9999999999</v>
      </c>
      <c r="H11" s="176">
        <f>HLOOKUP(E11,Fuel!$A$3:$AG$11,2,FALSE)</f>
        <v>2.27</v>
      </c>
      <c r="K11" s="156" t="str">
        <f>EnergyBalance!$B$5</f>
        <v>MIN</v>
      </c>
      <c r="L11" s="129"/>
      <c r="M11" s="129" t="str">
        <f>$K$11&amp;$C$2&amp;1</f>
        <v>MINBIO1</v>
      </c>
      <c r="N11" s="131" t="str">
        <f>"Domestic Supply of "&amp;$D$2&amp; " Step "&amp;RIGHT(M11,1)</f>
        <v>Domestic Supply of Biomass Energy Step 1</v>
      </c>
      <c r="O11" s="129" t="str">
        <f>$G$2</f>
        <v>PJ</v>
      </c>
      <c r="P11" s="129"/>
      <c r="Q11" s="129"/>
      <c r="R11" s="129"/>
      <c r="S11" s="129"/>
    </row>
    <row r="12" spans="2:19">
      <c r="B12" s="157"/>
      <c r="C12" s="157"/>
      <c r="D12" s="157"/>
      <c r="E12" s="157">
        <v>2011</v>
      </c>
      <c r="F12" s="157"/>
      <c r="G12" s="194">
        <v>9999999999</v>
      </c>
      <c r="H12" s="176">
        <f>HLOOKUP(E12,Fuel!$A$3:$AG$11,2,FALSE)</f>
        <v>2.39</v>
      </c>
      <c r="N12" s="19"/>
    </row>
    <row r="13" spans="2:19">
      <c r="B13" s="157"/>
      <c r="C13" s="157"/>
      <c r="D13" s="157"/>
      <c r="E13" s="157">
        <v>2012</v>
      </c>
      <c r="F13" s="157"/>
      <c r="G13" s="194">
        <v>9999999999</v>
      </c>
      <c r="H13" s="176">
        <f>HLOOKUP(E13,Fuel!$A$3:$AG$11,2,FALSE)</f>
        <v>2.38</v>
      </c>
      <c r="N13" s="19"/>
    </row>
    <row r="14" spans="2:19">
      <c r="B14" s="157"/>
      <c r="C14" s="157"/>
      <c r="D14" s="157"/>
      <c r="E14" s="157">
        <v>2013</v>
      </c>
      <c r="F14" s="157"/>
      <c r="G14" s="194">
        <v>9999999999</v>
      </c>
      <c r="H14" s="176">
        <f>HLOOKUP(E14,Fuel!$A$3:$AG$11,2,FALSE)</f>
        <v>2.34</v>
      </c>
      <c r="N14" s="19"/>
    </row>
    <row r="15" spans="2:19">
      <c r="B15" s="157"/>
      <c r="C15" s="157"/>
      <c r="D15" s="157"/>
      <c r="E15" s="157">
        <v>2014</v>
      </c>
      <c r="F15" s="157"/>
      <c r="G15" s="194">
        <v>9999999999</v>
      </c>
      <c r="H15" s="176">
        <f>HLOOKUP(E15,Fuel!$A$3:$AG$11,2,FALSE)</f>
        <v>2.37</v>
      </c>
      <c r="I15" s="8"/>
      <c r="N15" s="19"/>
    </row>
    <row r="16" spans="2:19">
      <c r="B16" s="157"/>
      <c r="C16" s="157"/>
      <c r="E16" s="157">
        <v>2015</v>
      </c>
      <c r="F16" s="157"/>
      <c r="G16" s="194">
        <v>9999999999</v>
      </c>
      <c r="H16" s="176">
        <f>HLOOKUP(E16,Fuel!$A$3:$AG$11,2,FALSE)</f>
        <v>2.2200000000000002</v>
      </c>
      <c r="I16" s="8"/>
    </row>
    <row r="17" spans="2:8">
      <c r="E17" s="157">
        <v>2016</v>
      </c>
      <c r="F17" s="157"/>
      <c r="G17" s="194">
        <v>9999999999</v>
      </c>
      <c r="H17" s="176">
        <f>HLOOKUP(E17,Fuel!$A$3:$AG$11,2,FALSE)</f>
        <v>2.11</v>
      </c>
    </row>
    <row r="18" spans="2:8">
      <c r="E18" s="157">
        <v>2017</v>
      </c>
      <c r="F18" s="157"/>
      <c r="G18" s="194">
        <v>9999999999</v>
      </c>
      <c r="H18" s="176">
        <f>HLOOKUP(E18,Fuel!$A$3:$AG$11,2,FALSE)</f>
        <v>2.06</v>
      </c>
    </row>
    <row r="19" spans="2:8">
      <c r="E19" s="157">
        <v>2018</v>
      </c>
      <c r="F19" s="157"/>
      <c r="G19" s="194">
        <v>9999999999</v>
      </c>
      <c r="H19" s="176">
        <f>HLOOKUP(E19,Fuel!$A$3:$AG$11,2,FALSE)</f>
        <v>2.06</v>
      </c>
    </row>
    <row r="20" spans="2:8">
      <c r="E20" s="157">
        <v>2019</v>
      </c>
      <c r="F20" s="157"/>
      <c r="G20" s="194">
        <v>9999999999</v>
      </c>
      <c r="H20" s="176">
        <f>HLOOKUP(E20,Fuel!$A$3:$AG$11,2,FALSE)</f>
        <v>2.02</v>
      </c>
    </row>
    <row r="21" spans="2:8">
      <c r="E21" s="157">
        <v>2020</v>
      </c>
      <c r="F21" s="157"/>
      <c r="G21" s="194">
        <v>9999999999</v>
      </c>
      <c r="H21" s="176">
        <f>HLOOKUP(E21,Fuel!$A$3:$AG$11,2,FALSE)</f>
        <v>1.92</v>
      </c>
    </row>
    <row r="22" spans="2:8">
      <c r="E22" s="157">
        <v>2021</v>
      </c>
      <c r="F22" s="157"/>
      <c r="G22" s="194">
        <v>9999999999</v>
      </c>
      <c r="H22" s="176">
        <f>HLOOKUP(E22,Fuel!$A$3:$AG$11,2,FALSE)</f>
        <v>1.98</v>
      </c>
    </row>
    <row r="23" spans="2:8">
      <c r="B23" s="44"/>
      <c r="C23" s="157" t="s">
        <v>362</v>
      </c>
      <c r="E23" s="157">
        <v>0</v>
      </c>
      <c r="F23" s="157"/>
      <c r="G23" s="175"/>
      <c r="H23" s="176">
        <v>5</v>
      </c>
    </row>
    <row r="24" spans="2:8">
      <c r="B24" s="96"/>
      <c r="C24" s="157" t="s">
        <v>363</v>
      </c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1:T35"/>
  <sheetViews>
    <sheetView topLeftCell="A6" zoomScale="150" zoomScaleNormal="150" workbookViewId="0">
      <selection activeCell="E11" sqref="E11:H23"/>
    </sheetView>
  </sheetViews>
  <sheetFormatPr baseColWidth="10" defaultColWidth="8.83203125" defaultRowHeight="13"/>
  <cols>
    <col min="1" max="1" width="2" bestFit="1" customWidth="1"/>
    <col min="2" max="2" width="13.33203125" bestFit="1" customWidth="1"/>
    <col min="3" max="3" width="11.33203125" bestFit="1" customWidth="1"/>
    <col min="4" max="6" width="11.6640625" customWidth="1"/>
    <col min="7" max="7" width="14.33203125" customWidth="1"/>
    <col min="8" max="8" width="8.33203125" bestFit="1" customWidth="1"/>
    <col min="9" max="9" width="14" customWidth="1"/>
    <col min="10" max="10" width="2" bestFit="1" customWidth="1"/>
    <col min="11" max="11" width="13.6640625" customWidth="1"/>
    <col min="12" max="12" width="7.1640625" customWidth="1"/>
    <col min="13" max="13" width="11.33203125" bestFit="1" customWidth="1"/>
    <col min="14" max="14" width="35" bestFit="1" customWidth="1"/>
    <col min="15" max="15" width="6.33203125" customWidth="1"/>
    <col min="16" max="16" width="11.33203125" customWidth="1"/>
    <col min="17" max="17" width="13" customWidth="1"/>
    <col min="18" max="18" width="15.1640625" customWidth="1"/>
    <col min="19" max="19" width="7.33203125" bestFit="1" customWidth="1"/>
  </cols>
  <sheetData>
    <row r="1" spans="2:19" ht="32">
      <c r="B1" s="25" t="s">
        <v>309</v>
      </c>
      <c r="C1" s="25" t="s">
        <v>310</v>
      </c>
      <c r="D1" s="25" t="s">
        <v>311</v>
      </c>
      <c r="E1" s="25"/>
      <c r="F1" s="25"/>
      <c r="G1" s="25" t="s">
        <v>312</v>
      </c>
      <c r="H1" s="25" t="s">
        <v>313</v>
      </c>
    </row>
    <row r="2" spans="2:19" ht="16">
      <c r="B2" s="12"/>
      <c r="C2" s="12" t="str">
        <f>EnergyBalance!D2</f>
        <v>COA</v>
      </c>
      <c r="D2" s="12" t="str">
        <f>EnergyBalance!D3</f>
        <v>Coal</v>
      </c>
      <c r="E2" s="12"/>
      <c r="F2" s="12"/>
      <c r="G2" s="12" t="str">
        <f>EnergyBalance!R2</f>
        <v>PJ</v>
      </c>
      <c r="H2" s="12" t="str">
        <f>EnergyBalance!Q2</f>
        <v>M€2020</v>
      </c>
      <c r="K2" s="125" t="s">
        <v>315</v>
      </c>
      <c r="L2" s="125"/>
      <c r="M2" s="156"/>
      <c r="N2" s="156"/>
      <c r="O2" s="156"/>
      <c r="P2" s="156"/>
      <c r="Q2" s="156"/>
      <c r="R2" s="156"/>
      <c r="S2" s="156"/>
    </row>
    <row r="3" spans="2:19">
      <c r="K3" s="126" t="s">
        <v>316</v>
      </c>
      <c r="L3" s="127" t="s">
        <v>317</v>
      </c>
      <c r="M3" s="126" t="s">
        <v>318</v>
      </c>
      <c r="N3" s="126" t="s">
        <v>319</v>
      </c>
      <c r="O3" s="126" t="s">
        <v>320</v>
      </c>
      <c r="P3" s="126" t="s">
        <v>321</v>
      </c>
      <c r="Q3" s="126" t="s">
        <v>322</v>
      </c>
      <c r="R3" s="126" t="s">
        <v>323</v>
      </c>
      <c r="S3" s="126" t="s">
        <v>324</v>
      </c>
    </row>
    <row r="4" spans="2:19" ht="25" thickBot="1">
      <c r="C4" s="157"/>
      <c r="K4" s="128" t="s">
        <v>325</v>
      </c>
      <c r="L4" s="128" t="s">
        <v>326</v>
      </c>
      <c r="M4" s="128" t="s">
        <v>327</v>
      </c>
      <c r="N4" s="128" t="s">
        <v>328</v>
      </c>
      <c r="O4" s="128" t="s">
        <v>320</v>
      </c>
      <c r="P4" s="128" t="s">
        <v>329</v>
      </c>
      <c r="Q4" s="128" t="s">
        <v>330</v>
      </c>
      <c r="R4" s="128" t="s">
        <v>331</v>
      </c>
      <c r="S4" s="128" t="s">
        <v>332</v>
      </c>
    </row>
    <row r="5" spans="2:19">
      <c r="K5" s="156" t="s">
        <v>333</v>
      </c>
      <c r="L5" s="129"/>
      <c r="M5" s="156" t="str">
        <f>C2</f>
        <v>COA</v>
      </c>
      <c r="N5" s="156" t="str">
        <f>D2</f>
        <v>Coal</v>
      </c>
      <c r="O5" s="156" t="str">
        <f>$G$2</f>
        <v>PJ</v>
      </c>
      <c r="P5" s="156"/>
      <c r="Q5" s="156"/>
      <c r="R5" s="156"/>
      <c r="S5" s="156"/>
    </row>
    <row r="7" spans="2:19">
      <c r="F7" s="5" t="s">
        <v>334</v>
      </c>
      <c r="H7" s="5"/>
      <c r="K7" s="125" t="s">
        <v>335</v>
      </c>
      <c r="L7" s="125"/>
      <c r="M7" s="129"/>
      <c r="N7" s="129"/>
      <c r="O7" s="129"/>
      <c r="P7" s="129"/>
      <c r="Q7" s="129"/>
      <c r="R7" s="129"/>
      <c r="S7" s="129"/>
    </row>
    <row r="8" spans="2:19" ht="14">
      <c r="B8" s="3" t="s">
        <v>336</v>
      </c>
      <c r="C8" s="18" t="s">
        <v>337</v>
      </c>
      <c r="D8" s="3" t="s">
        <v>338</v>
      </c>
      <c r="E8" s="3" t="s">
        <v>368</v>
      </c>
      <c r="F8" s="3" t="s">
        <v>321</v>
      </c>
      <c r="G8" s="106" t="s">
        <v>339</v>
      </c>
      <c r="H8" s="106" t="s">
        <v>340</v>
      </c>
      <c r="I8" s="106" t="s">
        <v>365</v>
      </c>
      <c r="K8" s="126" t="s">
        <v>341</v>
      </c>
      <c r="L8" s="127" t="s">
        <v>317</v>
      </c>
      <c r="M8" s="126" t="s">
        <v>336</v>
      </c>
      <c r="N8" s="126" t="s">
        <v>342</v>
      </c>
      <c r="O8" s="126" t="s">
        <v>343</v>
      </c>
      <c r="P8" s="126" t="s">
        <v>344</v>
      </c>
      <c r="Q8" s="126" t="s">
        <v>345</v>
      </c>
      <c r="R8" s="126" t="s">
        <v>346</v>
      </c>
      <c r="S8" s="126" t="s">
        <v>347</v>
      </c>
    </row>
    <row r="9" spans="2:19" ht="25" thickBot="1">
      <c r="B9" s="14" t="s">
        <v>348</v>
      </c>
      <c r="C9" s="14" t="s">
        <v>349</v>
      </c>
      <c r="D9" s="14" t="s">
        <v>350</v>
      </c>
      <c r="E9" s="14"/>
      <c r="F9" s="14"/>
      <c r="G9" s="14" t="s">
        <v>366</v>
      </c>
      <c r="H9" s="14" t="s">
        <v>351</v>
      </c>
      <c r="I9" s="14" t="s">
        <v>367</v>
      </c>
      <c r="K9" s="128" t="s">
        <v>352</v>
      </c>
      <c r="L9" s="128" t="s">
        <v>326</v>
      </c>
      <c r="M9" s="128" t="s">
        <v>353</v>
      </c>
      <c r="N9" s="128" t="s">
        <v>354</v>
      </c>
      <c r="O9" s="128" t="s">
        <v>355</v>
      </c>
      <c r="P9" s="128" t="s">
        <v>356</v>
      </c>
      <c r="Q9" s="128" t="s">
        <v>357</v>
      </c>
      <c r="R9" s="128" t="s">
        <v>358</v>
      </c>
      <c r="S9" s="128" t="s">
        <v>359</v>
      </c>
    </row>
    <row r="10" spans="2:19" ht="14" thickBot="1">
      <c r="B10" s="14" t="s">
        <v>360</v>
      </c>
      <c r="C10" s="13"/>
      <c r="D10" s="13"/>
      <c r="E10" s="13"/>
      <c r="F10" s="13"/>
      <c r="G10" s="13" t="str">
        <f>$G$2</f>
        <v>PJ</v>
      </c>
      <c r="H10" s="13" t="str">
        <f>$H$2&amp;"/"&amp;$G$2</f>
        <v>M€2020/PJ</v>
      </c>
      <c r="I10" s="13" t="str">
        <f>$G$2</f>
        <v>PJ</v>
      </c>
      <c r="K10" s="128" t="s">
        <v>361</v>
      </c>
      <c r="L10" s="130"/>
      <c r="M10" s="130"/>
      <c r="N10" s="130"/>
      <c r="O10" s="130"/>
      <c r="P10" s="130"/>
      <c r="Q10" s="130"/>
      <c r="R10" s="130"/>
      <c r="S10" s="130"/>
    </row>
    <row r="11" spans="2:19" ht="14">
      <c r="B11" s="157" t="str">
        <f>M11</f>
        <v>MINCOA1</v>
      </c>
      <c r="C11" s="157"/>
      <c r="D11" s="157" t="str">
        <f>$M$5</f>
        <v>COA</v>
      </c>
      <c r="E11" s="157">
        <v>2010</v>
      </c>
      <c r="F11" s="157"/>
      <c r="G11" s="194">
        <v>9999999999</v>
      </c>
      <c r="H11" s="176">
        <f>HLOOKUP(E11,Fuel!$A$3:$AG$11,2,FALSE)</f>
        <v>2.27</v>
      </c>
      <c r="I11" s="177"/>
      <c r="K11" s="156" t="str">
        <f>EnergyBalance!$B$5</f>
        <v>MIN</v>
      </c>
      <c r="L11" s="129"/>
      <c r="M11" s="129" t="str">
        <f>$K$11&amp;$C$2&amp;1</f>
        <v>MINCOA1</v>
      </c>
      <c r="N11" s="131" t="str">
        <f>"Domestic Supply of "&amp;$D$2&amp; " Step "&amp;RIGHT(M11,1)</f>
        <v>Domestic Supply of Coal Step 1</v>
      </c>
      <c r="O11" s="129" t="str">
        <f>$G$2</f>
        <v>PJ</v>
      </c>
      <c r="P11" s="129"/>
      <c r="Q11" s="129"/>
      <c r="R11" s="129"/>
      <c r="S11" s="129"/>
    </row>
    <row r="12" spans="2:19">
      <c r="B12" s="157"/>
      <c r="C12" s="157"/>
      <c r="D12" s="157"/>
      <c r="E12" s="157">
        <v>2011</v>
      </c>
      <c r="F12" s="157"/>
      <c r="G12" s="194">
        <v>9999999999</v>
      </c>
      <c r="H12" s="176">
        <f>HLOOKUP(E12,Fuel!$A$3:$AG$11,2,FALSE)</f>
        <v>2.39</v>
      </c>
      <c r="I12" s="177"/>
      <c r="K12" s="156"/>
      <c r="L12" s="129"/>
      <c r="M12" s="129"/>
      <c r="N12" s="131"/>
      <c r="O12" s="129"/>
      <c r="P12" s="129"/>
      <c r="Q12" s="129"/>
      <c r="R12" s="129"/>
      <c r="S12" s="129"/>
    </row>
    <row r="13" spans="2:19">
      <c r="B13" s="157"/>
      <c r="C13" s="157"/>
      <c r="D13" s="157"/>
      <c r="E13" s="157">
        <v>2012</v>
      </c>
      <c r="F13" s="157"/>
      <c r="G13" s="194">
        <v>9999999999</v>
      </c>
      <c r="H13" s="176">
        <f>HLOOKUP(E13,Fuel!$A$3:$AG$11,2,FALSE)</f>
        <v>2.38</v>
      </c>
      <c r="I13" s="177"/>
      <c r="K13" s="156"/>
      <c r="L13" s="129"/>
      <c r="M13" s="129"/>
      <c r="N13" s="131"/>
      <c r="O13" s="129"/>
      <c r="P13" s="129"/>
      <c r="Q13" s="129"/>
      <c r="R13" s="129"/>
      <c r="S13" s="129"/>
    </row>
    <row r="14" spans="2:19">
      <c r="B14" s="157"/>
      <c r="C14" s="157"/>
      <c r="D14" s="157"/>
      <c r="E14" s="157">
        <v>2013</v>
      </c>
      <c r="F14" s="157"/>
      <c r="G14" s="194">
        <v>9999999999</v>
      </c>
      <c r="H14" s="176">
        <f>HLOOKUP(E14,Fuel!$A$3:$AG$11,2,FALSE)</f>
        <v>2.34</v>
      </c>
      <c r="I14" s="177"/>
      <c r="K14" s="156"/>
      <c r="L14" s="129"/>
      <c r="M14" s="129"/>
      <c r="N14" s="131"/>
      <c r="O14" s="129"/>
      <c r="P14" s="129"/>
      <c r="Q14" s="129"/>
      <c r="R14" s="129"/>
      <c r="S14" s="129"/>
    </row>
    <row r="15" spans="2:19">
      <c r="B15" s="157"/>
      <c r="C15" s="157"/>
      <c r="D15" s="157"/>
      <c r="E15" s="157">
        <v>2014</v>
      </c>
      <c r="F15" s="157"/>
      <c r="G15" s="194">
        <v>9999999999</v>
      </c>
      <c r="H15" s="176">
        <f>HLOOKUP(E15,Fuel!$A$3:$AG$11,2,FALSE)</f>
        <v>2.37</v>
      </c>
      <c r="I15" s="177"/>
      <c r="K15" s="156"/>
      <c r="L15" s="129"/>
      <c r="M15" s="129"/>
      <c r="N15" s="131"/>
      <c r="O15" s="129"/>
      <c r="P15" s="129"/>
      <c r="Q15" s="129"/>
      <c r="R15" s="129"/>
      <c r="S15" s="129"/>
    </row>
    <row r="16" spans="2:19">
      <c r="B16" s="157"/>
      <c r="C16" s="157"/>
      <c r="D16" s="157"/>
      <c r="E16" s="157">
        <v>2015</v>
      </c>
      <c r="F16" s="157"/>
      <c r="G16" s="194">
        <v>9999999999</v>
      </c>
      <c r="H16" s="176">
        <f>HLOOKUP(E16,Fuel!$A$3:$AG$11,2,FALSE)</f>
        <v>2.2200000000000002</v>
      </c>
      <c r="I16" s="177"/>
      <c r="K16" s="156"/>
      <c r="L16" s="129"/>
      <c r="M16" s="129"/>
      <c r="N16" s="131"/>
      <c r="O16" s="129"/>
      <c r="P16" s="129"/>
      <c r="Q16" s="129"/>
      <c r="R16" s="129"/>
      <c r="S16" s="129"/>
    </row>
    <row r="17" spans="2:20">
      <c r="B17" s="157"/>
      <c r="C17" s="157"/>
      <c r="D17" s="157"/>
      <c r="E17" s="157">
        <v>2016</v>
      </c>
      <c r="F17" s="157"/>
      <c r="G17" s="194">
        <v>9999999999</v>
      </c>
      <c r="H17" s="176">
        <f>HLOOKUP(E17,Fuel!$A$3:$AG$11,2,FALSE)</f>
        <v>2.11</v>
      </c>
      <c r="I17" s="177"/>
      <c r="K17" s="156"/>
      <c r="L17" s="129"/>
      <c r="M17" s="129"/>
      <c r="N17" s="131"/>
      <c r="O17" s="129"/>
      <c r="P17" s="129"/>
      <c r="Q17" s="129"/>
      <c r="R17" s="129"/>
      <c r="S17" s="129"/>
    </row>
    <row r="18" spans="2:20">
      <c r="B18" s="157"/>
      <c r="C18" s="157"/>
      <c r="D18" s="157"/>
      <c r="E18" s="157">
        <v>2017</v>
      </c>
      <c r="F18" s="157"/>
      <c r="G18" s="194">
        <v>9999999999</v>
      </c>
      <c r="H18" s="176">
        <f>HLOOKUP(E18,Fuel!$A$3:$AG$11,2,FALSE)</f>
        <v>2.06</v>
      </c>
      <c r="I18" s="177"/>
      <c r="K18" s="156"/>
      <c r="L18" s="129"/>
      <c r="M18" s="129"/>
      <c r="N18" s="131"/>
      <c r="O18" s="129"/>
      <c r="P18" s="129"/>
      <c r="Q18" s="129"/>
      <c r="R18" s="129"/>
      <c r="S18" s="129"/>
    </row>
    <row r="19" spans="2:20">
      <c r="B19" s="157"/>
      <c r="C19" s="157"/>
      <c r="D19" s="157"/>
      <c r="E19" s="157">
        <v>2018</v>
      </c>
      <c r="F19" s="157"/>
      <c r="G19" s="194">
        <v>9999999999</v>
      </c>
      <c r="H19" s="176">
        <f>HLOOKUP(E19,Fuel!$A$3:$AG$11,2,FALSE)</f>
        <v>2.06</v>
      </c>
      <c r="I19" s="177"/>
      <c r="K19" s="156"/>
      <c r="L19" s="129"/>
      <c r="M19" s="129"/>
      <c r="N19" s="131"/>
      <c r="O19" s="129"/>
      <c r="P19" s="129"/>
      <c r="Q19" s="129"/>
      <c r="R19" s="129"/>
      <c r="S19" s="129"/>
    </row>
    <row r="20" spans="2:20">
      <c r="B20" s="157"/>
      <c r="C20" s="157"/>
      <c r="D20" s="157"/>
      <c r="E20" s="157">
        <v>2019</v>
      </c>
      <c r="F20" s="157"/>
      <c r="G20" s="194">
        <v>9999999999</v>
      </c>
      <c r="H20" s="176">
        <f>HLOOKUP(E20,Fuel!$A$3:$AG$11,2,FALSE)</f>
        <v>2.02</v>
      </c>
      <c r="I20" s="177"/>
      <c r="K20" s="156"/>
      <c r="L20" s="129"/>
      <c r="M20" s="129"/>
      <c r="N20" s="131"/>
      <c r="O20" s="129"/>
      <c r="P20" s="129"/>
      <c r="Q20" s="129"/>
      <c r="R20" s="129"/>
      <c r="S20" s="129"/>
    </row>
    <row r="21" spans="2:20">
      <c r="B21" s="157"/>
      <c r="C21" s="157"/>
      <c r="D21" s="157"/>
      <c r="E21" s="157">
        <v>2020</v>
      </c>
      <c r="F21" s="157"/>
      <c r="G21" s="194">
        <v>9999999999</v>
      </c>
      <c r="H21" s="176">
        <f>HLOOKUP(E21,Fuel!$A$3:$AG$11,2,FALSE)</f>
        <v>1.92</v>
      </c>
      <c r="I21" s="177"/>
      <c r="K21" s="156"/>
      <c r="L21" s="129"/>
      <c r="M21" s="129"/>
      <c r="N21" s="131"/>
      <c r="O21" s="129"/>
      <c r="P21" s="129"/>
      <c r="Q21" s="129"/>
      <c r="R21" s="129"/>
      <c r="S21" s="129"/>
    </row>
    <row r="22" spans="2:20">
      <c r="B22" s="157"/>
      <c r="C22" s="157"/>
      <c r="D22" s="157"/>
      <c r="E22" s="157">
        <v>2021</v>
      </c>
      <c r="F22" s="157"/>
      <c r="G22" s="194">
        <v>9999999999</v>
      </c>
      <c r="H22" s="176">
        <f>HLOOKUP(E22,Fuel!$A$3:$AG$11,2,FALSE)</f>
        <v>1.98</v>
      </c>
      <c r="I22" s="177"/>
      <c r="K22" s="156"/>
      <c r="L22" s="129"/>
      <c r="M22" s="129"/>
      <c r="N22" s="131"/>
      <c r="O22" s="129"/>
      <c r="P22" s="129"/>
      <c r="Q22" s="129"/>
      <c r="R22" s="129"/>
      <c r="S22" s="129"/>
    </row>
    <row r="23" spans="2:20">
      <c r="B23" s="157"/>
      <c r="C23" s="157"/>
      <c r="D23" s="157"/>
      <c r="E23" s="157">
        <v>0</v>
      </c>
      <c r="F23" s="157"/>
      <c r="G23" s="175"/>
      <c r="H23" s="176">
        <v>5</v>
      </c>
      <c r="I23" s="95"/>
      <c r="K23" s="129"/>
      <c r="L23" s="129"/>
      <c r="M23" s="129"/>
      <c r="N23" s="131"/>
      <c r="O23" s="129"/>
      <c r="P23" s="129"/>
      <c r="Q23" s="129"/>
      <c r="R23" s="129"/>
      <c r="S23" s="129"/>
    </row>
    <row r="24" spans="2:20">
      <c r="B24" s="157"/>
      <c r="C24" s="157"/>
      <c r="D24" s="157"/>
      <c r="E24" s="157"/>
      <c r="F24" s="157"/>
      <c r="G24" s="157"/>
      <c r="H24" s="157"/>
      <c r="I24" s="8"/>
      <c r="K24" s="129"/>
      <c r="L24" s="129"/>
      <c r="M24" s="129"/>
      <c r="N24" s="131"/>
      <c r="O24" s="129"/>
      <c r="P24" s="129"/>
      <c r="Q24" s="129"/>
      <c r="R24" s="129"/>
      <c r="S24" s="129"/>
    </row>
    <row r="25" spans="2:20">
      <c r="B25" s="157"/>
      <c r="C25" s="157"/>
      <c r="D25" s="157"/>
      <c r="E25" s="157"/>
      <c r="F25" s="157"/>
      <c r="K25" s="129"/>
      <c r="L25" s="129"/>
      <c r="M25" s="129"/>
      <c r="N25" s="131"/>
      <c r="O25" s="129"/>
      <c r="P25" s="129"/>
      <c r="Q25" s="129"/>
      <c r="R25" s="129"/>
      <c r="S25" s="129"/>
    </row>
    <row r="26" spans="2:20">
      <c r="B26" s="157"/>
    </row>
    <row r="31" spans="2:20" s="1" customFormat="1">
      <c r="B31" s="157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2:20">
      <c r="T32" s="157"/>
    </row>
    <row r="34" spans="2:3">
      <c r="B34" s="175"/>
      <c r="C34" s="157" t="s">
        <v>362</v>
      </c>
    </row>
    <row r="35" spans="2:3">
      <c r="B35" s="96"/>
      <c r="C35" s="157" t="s">
        <v>363</v>
      </c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T33"/>
  <sheetViews>
    <sheetView zoomScale="130" zoomScaleNormal="100" workbookViewId="0">
      <selection activeCell="K17" sqref="K17"/>
    </sheetView>
  </sheetViews>
  <sheetFormatPr baseColWidth="10" defaultColWidth="8.83203125" defaultRowHeight="13"/>
  <cols>
    <col min="1" max="1" width="2" bestFit="1" customWidth="1"/>
    <col min="2" max="2" width="13.33203125" bestFit="1" customWidth="1"/>
    <col min="3" max="3" width="11.33203125" bestFit="1" customWidth="1"/>
    <col min="4" max="4" width="11.6640625" customWidth="1"/>
    <col min="5" max="5" width="11.33203125" bestFit="1" customWidth="1"/>
    <col min="6" max="6" width="8.33203125" bestFit="1" customWidth="1"/>
    <col min="7" max="7" width="14.33203125" bestFit="1" customWidth="1"/>
    <col min="8" max="8" width="8.6640625" customWidth="1"/>
    <col min="9" max="9" width="14.33203125" customWidth="1"/>
    <col min="10" max="10" width="2" bestFit="1" customWidth="1"/>
    <col min="11" max="11" width="13.6640625" customWidth="1"/>
    <col min="12" max="12" width="7.1640625" customWidth="1"/>
    <col min="13" max="13" width="11.33203125" bestFit="1" customWidth="1"/>
    <col min="14" max="14" width="35" bestFit="1" customWidth="1"/>
    <col min="15" max="15" width="6.6640625" customWidth="1"/>
    <col min="16" max="16" width="11.33203125" customWidth="1"/>
    <col min="17" max="17" width="13" customWidth="1"/>
    <col min="18" max="18" width="15.1640625" customWidth="1"/>
    <col min="19" max="19" width="7.33203125" bestFit="1" customWidth="1"/>
  </cols>
  <sheetData>
    <row r="1" spans="2:19" ht="16">
      <c r="B1" s="25" t="s">
        <v>309</v>
      </c>
      <c r="C1" s="25" t="s">
        <v>310</v>
      </c>
      <c r="D1" s="25" t="s">
        <v>311</v>
      </c>
      <c r="E1" s="25" t="s">
        <v>312</v>
      </c>
      <c r="F1" s="19"/>
      <c r="G1" s="25" t="s">
        <v>313</v>
      </c>
    </row>
    <row r="2" spans="2:19" ht="16">
      <c r="B2" s="12"/>
      <c r="C2" s="12" t="str">
        <f>EnergyBalance!E2</f>
        <v>GAS</v>
      </c>
      <c r="D2" s="12" t="str">
        <f>EnergyBalance!E3</f>
        <v>Natural Gas</v>
      </c>
      <c r="E2" s="12" t="str">
        <f>EnergyBalance!R2</f>
        <v>PJ</v>
      </c>
      <c r="G2" s="12" t="str">
        <f>EnergyBalance!Q2</f>
        <v>M€2020</v>
      </c>
      <c r="K2" s="125" t="s">
        <v>315</v>
      </c>
      <c r="L2" s="125"/>
      <c r="M2" s="156"/>
      <c r="N2" s="156"/>
      <c r="O2" s="156"/>
      <c r="P2" s="156"/>
      <c r="Q2" s="156"/>
      <c r="R2" s="156"/>
      <c r="S2" s="156"/>
    </row>
    <row r="3" spans="2:19">
      <c r="K3" s="126" t="s">
        <v>316</v>
      </c>
      <c r="L3" s="127" t="s">
        <v>317</v>
      </c>
      <c r="M3" s="126" t="s">
        <v>318</v>
      </c>
      <c r="N3" s="126" t="s">
        <v>319</v>
      </c>
      <c r="O3" s="126" t="s">
        <v>320</v>
      </c>
      <c r="P3" s="126" t="s">
        <v>321</v>
      </c>
      <c r="Q3" s="126" t="s">
        <v>322</v>
      </c>
      <c r="R3" s="126" t="s">
        <v>323</v>
      </c>
      <c r="S3" s="126" t="s">
        <v>324</v>
      </c>
    </row>
    <row r="4" spans="2:19" ht="25" thickBot="1">
      <c r="C4" s="157"/>
      <c r="K4" s="128" t="s">
        <v>325</v>
      </c>
      <c r="L4" s="128" t="s">
        <v>326</v>
      </c>
      <c r="M4" s="128" t="s">
        <v>327</v>
      </c>
      <c r="N4" s="128" t="s">
        <v>328</v>
      </c>
      <c r="O4" s="128" t="s">
        <v>320</v>
      </c>
      <c r="P4" s="128" t="s">
        <v>329</v>
      </c>
      <c r="Q4" s="128" t="s">
        <v>330</v>
      </c>
      <c r="R4" s="128" t="s">
        <v>331</v>
      </c>
      <c r="S4" s="128" t="s">
        <v>332</v>
      </c>
    </row>
    <row r="5" spans="2:19">
      <c r="K5" s="156" t="s">
        <v>333</v>
      </c>
      <c r="L5" s="129"/>
      <c r="M5" s="156" t="str">
        <f>C2</f>
        <v>GAS</v>
      </c>
      <c r="N5" s="156" t="str">
        <f>D2</f>
        <v>Natural Gas</v>
      </c>
      <c r="O5" s="156" t="str">
        <f>$E$2</f>
        <v>PJ</v>
      </c>
      <c r="P5" s="156"/>
      <c r="Q5" s="156"/>
      <c r="R5" s="156"/>
      <c r="S5" s="156"/>
    </row>
    <row r="7" spans="2:19">
      <c r="F7" s="5" t="s">
        <v>334</v>
      </c>
      <c r="H7" s="5"/>
      <c r="K7" s="125" t="s">
        <v>335</v>
      </c>
      <c r="L7" s="125"/>
      <c r="M7" s="129"/>
      <c r="N7" s="129"/>
      <c r="O7" s="129"/>
      <c r="P7" s="129"/>
      <c r="Q7" s="129"/>
      <c r="R7" s="129"/>
      <c r="S7" s="129"/>
    </row>
    <row r="8" spans="2:19" ht="14">
      <c r="B8" s="3" t="s">
        <v>336</v>
      </c>
      <c r="C8" s="18" t="s">
        <v>337</v>
      </c>
      <c r="D8" s="3" t="s">
        <v>338</v>
      </c>
      <c r="E8" s="3" t="s">
        <v>368</v>
      </c>
      <c r="F8" s="3" t="s">
        <v>321</v>
      </c>
      <c r="G8" s="106" t="s">
        <v>339</v>
      </c>
      <c r="H8" s="106" t="s">
        <v>340</v>
      </c>
      <c r="I8" s="106" t="s">
        <v>365</v>
      </c>
      <c r="K8" s="126" t="s">
        <v>341</v>
      </c>
      <c r="L8" s="127" t="s">
        <v>317</v>
      </c>
      <c r="M8" s="126" t="s">
        <v>336</v>
      </c>
      <c r="N8" s="126" t="s">
        <v>342</v>
      </c>
      <c r="O8" s="126" t="s">
        <v>343</v>
      </c>
      <c r="P8" s="126" t="s">
        <v>344</v>
      </c>
      <c r="Q8" s="126" t="s">
        <v>345</v>
      </c>
      <c r="R8" s="126" t="s">
        <v>346</v>
      </c>
      <c r="S8" s="126" t="s">
        <v>347</v>
      </c>
    </row>
    <row r="9" spans="2:19" ht="25" thickBot="1">
      <c r="B9" s="14" t="s">
        <v>348</v>
      </c>
      <c r="C9" s="14" t="s">
        <v>349</v>
      </c>
      <c r="D9" s="14" t="s">
        <v>350</v>
      </c>
      <c r="E9" s="14"/>
      <c r="F9" s="14"/>
      <c r="G9" s="14" t="s">
        <v>366</v>
      </c>
      <c r="H9" s="14" t="s">
        <v>351</v>
      </c>
      <c r="I9" s="14" t="s">
        <v>367</v>
      </c>
      <c r="K9" s="128" t="s">
        <v>352</v>
      </c>
      <c r="L9" s="128" t="s">
        <v>326</v>
      </c>
      <c r="M9" s="128" t="s">
        <v>353</v>
      </c>
      <c r="N9" s="128" t="s">
        <v>354</v>
      </c>
      <c r="O9" s="128" t="s">
        <v>355</v>
      </c>
      <c r="P9" s="128" t="s">
        <v>356</v>
      </c>
      <c r="Q9" s="128" t="s">
        <v>357</v>
      </c>
      <c r="R9" s="128" t="s">
        <v>358</v>
      </c>
      <c r="S9" s="128" t="s">
        <v>359</v>
      </c>
    </row>
    <row r="10" spans="2:19" ht="14" thickBot="1">
      <c r="B10" s="14" t="s">
        <v>360</v>
      </c>
      <c r="C10" s="13"/>
      <c r="D10" s="13"/>
      <c r="E10" s="13"/>
      <c r="F10" s="13"/>
      <c r="G10" s="13" t="str">
        <f>$E$2</f>
        <v>PJ</v>
      </c>
      <c r="H10" s="13" t="str">
        <f>$G$2&amp;"/"&amp;$E$2</f>
        <v>M€2020/PJ</v>
      </c>
      <c r="I10" s="13" t="str">
        <f>$E$2</f>
        <v>PJ</v>
      </c>
      <c r="K10" s="128" t="s">
        <v>361</v>
      </c>
      <c r="L10" s="130"/>
      <c r="M10" s="130"/>
      <c r="N10" s="130"/>
      <c r="O10" s="130"/>
      <c r="P10" s="130"/>
      <c r="Q10" s="130"/>
      <c r="R10" s="130"/>
      <c r="S10" s="130"/>
    </row>
    <row r="11" spans="2:19" ht="14">
      <c r="B11" s="157" t="str">
        <f>M11</f>
        <v>MINGAS1</v>
      </c>
      <c r="C11" s="157"/>
      <c r="D11" s="157" t="str">
        <f>$M$5</f>
        <v>GAS</v>
      </c>
      <c r="E11" s="157">
        <v>2010</v>
      </c>
      <c r="F11" s="157"/>
      <c r="G11" s="194">
        <v>9999999999</v>
      </c>
      <c r="H11" s="98">
        <f>HLOOKUP(E11,Fuel!$A$3:$AG$11,8,FALSE)</f>
        <v>5.09</v>
      </c>
      <c r="I11" s="97"/>
      <c r="K11" s="156" t="str">
        <f>EnergyBalance!$B$5</f>
        <v>MIN</v>
      </c>
      <c r="L11" s="129"/>
      <c r="M11" s="129" t="str">
        <f>$K$11&amp;$C$2&amp;1</f>
        <v>MINGAS1</v>
      </c>
      <c r="N11" s="131" t="str">
        <f>"Domestic Supply of "&amp;$D$2&amp; " Step "&amp;RIGHT(M11,1)</f>
        <v>Domestic Supply of Natural Gas Step 1</v>
      </c>
      <c r="O11" s="129" t="str">
        <f>$E$2</f>
        <v>PJ</v>
      </c>
      <c r="P11" s="129"/>
      <c r="Q11" s="129"/>
      <c r="R11" s="129"/>
      <c r="S11" s="129"/>
    </row>
    <row r="12" spans="2:19">
      <c r="B12" s="157"/>
      <c r="C12" s="157"/>
      <c r="D12" s="157"/>
      <c r="E12" s="157">
        <v>2011</v>
      </c>
      <c r="F12" s="157"/>
      <c r="G12" s="194">
        <v>9999999999</v>
      </c>
      <c r="H12" s="98">
        <f>HLOOKUP(E12,Fuel!$A$3:$AG$11,8,FALSE)</f>
        <v>4.72</v>
      </c>
      <c r="I12" s="97"/>
      <c r="K12" s="156"/>
      <c r="L12" s="129"/>
      <c r="M12" s="129"/>
      <c r="N12" s="131"/>
      <c r="O12" s="129"/>
      <c r="P12" s="129"/>
      <c r="Q12" s="129"/>
      <c r="R12" s="129"/>
      <c r="S12" s="129"/>
    </row>
    <row r="13" spans="2:19">
      <c r="B13" s="157"/>
      <c r="C13" s="157"/>
      <c r="D13" s="157"/>
      <c r="E13" s="157">
        <v>2012</v>
      </c>
      <c r="F13" s="157"/>
      <c r="G13" s="194">
        <v>9999999999</v>
      </c>
      <c r="H13" s="98">
        <f>HLOOKUP(E13,Fuel!$A$3:$AG$11,8,FALSE)</f>
        <v>3.42</v>
      </c>
      <c r="I13" s="97"/>
      <c r="K13" s="156"/>
      <c r="L13" s="129"/>
      <c r="M13" s="129"/>
      <c r="N13" s="131"/>
      <c r="O13" s="129"/>
      <c r="P13" s="129"/>
      <c r="Q13" s="129"/>
      <c r="R13" s="129"/>
      <c r="S13" s="129"/>
    </row>
    <row r="14" spans="2:19">
      <c r="B14" s="157"/>
      <c r="C14" s="157"/>
      <c r="D14" s="157"/>
      <c r="E14" s="157">
        <v>2013</v>
      </c>
      <c r="F14" s="157"/>
      <c r="G14" s="194">
        <v>9999999999</v>
      </c>
      <c r="H14" s="98">
        <f>HLOOKUP(E14,Fuel!$A$3:$AG$11,8,FALSE)</f>
        <v>4.33</v>
      </c>
      <c r="I14" s="97"/>
      <c r="K14" s="156"/>
      <c r="L14" s="129"/>
      <c r="M14" s="129"/>
      <c r="N14" s="131"/>
      <c r="O14" s="129"/>
      <c r="P14" s="129"/>
      <c r="Q14" s="129"/>
      <c r="R14" s="129"/>
      <c r="S14" s="129"/>
    </row>
    <row r="15" spans="2:19">
      <c r="B15" s="157"/>
      <c r="C15" s="157"/>
      <c r="D15" s="157"/>
      <c r="E15" s="157">
        <v>2014</v>
      </c>
      <c r="F15" s="157"/>
      <c r="G15" s="194">
        <v>9999999999</v>
      </c>
      <c r="H15" s="98">
        <f>HLOOKUP(E15,Fuel!$A$3:$AG$11,8,FALSE)</f>
        <v>5</v>
      </c>
      <c r="I15" s="97"/>
      <c r="K15" s="156"/>
      <c r="L15" s="129"/>
      <c r="M15" s="129"/>
      <c r="N15" s="131"/>
      <c r="O15" s="129"/>
      <c r="P15" s="129"/>
      <c r="Q15" s="129"/>
      <c r="R15" s="129"/>
      <c r="S15" s="129"/>
    </row>
    <row r="16" spans="2:19">
      <c r="B16" s="157"/>
      <c r="C16" s="157"/>
      <c r="D16" s="157"/>
      <c r="E16" s="157">
        <v>2015</v>
      </c>
      <c r="F16" s="157"/>
      <c r="G16" s="194">
        <v>9999999999</v>
      </c>
      <c r="H16" s="98">
        <f>HLOOKUP(E16,Fuel!$A$3:$AG$11,8,FALSE)</f>
        <v>3.23</v>
      </c>
      <c r="I16" s="97"/>
      <c r="K16" s="156"/>
      <c r="L16" s="129"/>
      <c r="M16" s="129"/>
      <c r="N16" s="131"/>
      <c r="O16" s="129"/>
      <c r="P16" s="129"/>
      <c r="Q16" s="129"/>
      <c r="R16" s="129"/>
      <c r="S16" s="129"/>
    </row>
    <row r="17" spans="2:20">
      <c r="B17" s="157"/>
      <c r="C17" s="157"/>
      <c r="D17" s="157"/>
      <c r="E17" s="157">
        <v>2016</v>
      </c>
      <c r="F17" s="157"/>
      <c r="G17" s="194">
        <v>9999999999</v>
      </c>
      <c r="H17" s="98">
        <f>HLOOKUP(E17,Fuel!$A$3:$AG$11,8,FALSE)</f>
        <v>2.87</v>
      </c>
      <c r="I17" s="97"/>
      <c r="K17" s="156"/>
      <c r="L17" s="129"/>
      <c r="M17" s="129"/>
      <c r="N17" s="131"/>
      <c r="O17" s="129"/>
      <c r="P17" s="129"/>
      <c r="Q17" s="129"/>
      <c r="R17" s="129"/>
      <c r="S17" s="129"/>
    </row>
    <row r="18" spans="2:20">
      <c r="B18" s="157"/>
      <c r="C18" s="157"/>
      <c r="D18" s="157"/>
      <c r="E18" s="157">
        <v>2017</v>
      </c>
      <c r="F18" s="157"/>
      <c r="G18" s="194">
        <v>9999999999</v>
      </c>
      <c r="H18" s="98">
        <f>HLOOKUP(E18,Fuel!$A$3:$AG$11,8,FALSE)</f>
        <v>3.37</v>
      </c>
      <c r="I18" s="97"/>
      <c r="K18" s="156"/>
      <c r="L18" s="129"/>
      <c r="M18" s="129"/>
      <c r="N18" s="131"/>
      <c r="O18" s="129"/>
      <c r="P18" s="129"/>
      <c r="Q18" s="129"/>
      <c r="R18" s="129"/>
      <c r="S18" s="129"/>
    </row>
    <row r="19" spans="2:20">
      <c r="B19" s="157"/>
      <c r="C19" s="157"/>
      <c r="D19" s="157"/>
      <c r="E19" s="157">
        <v>2018</v>
      </c>
      <c r="F19" s="157"/>
      <c r="G19" s="194">
        <v>9999999999</v>
      </c>
      <c r="H19" s="98">
        <f>HLOOKUP(E19,Fuel!$A$3:$AG$11,8,FALSE)</f>
        <v>3.55</v>
      </c>
      <c r="I19" s="97"/>
      <c r="K19" s="156"/>
      <c r="L19" s="129"/>
      <c r="M19" s="129"/>
      <c r="N19" s="131"/>
      <c r="O19" s="129"/>
      <c r="P19" s="129"/>
      <c r="Q19" s="129"/>
      <c r="R19" s="129"/>
      <c r="S19" s="129"/>
    </row>
    <row r="20" spans="2:20">
      <c r="B20" s="157"/>
      <c r="C20" s="157"/>
      <c r="D20" s="157"/>
      <c r="E20" s="157">
        <v>2019</v>
      </c>
      <c r="F20" s="157"/>
      <c r="G20" s="194">
        <v>9999999999</v>
      </c>
      <c r="H20" s="98">
        <f>HLOOKUP(E20,Fuel!$A$3:$AG$11,8,FALSE)</f>
        <v>2.89</v>
      </c>
      <c r="I20" s="97"/>
      <c r="K20" s="156"/>
      <c r="L20" s="129"/>
      <c r="M20" s="129"/>
      <c r="N20" s="131"/>
      <c r="O20" s="129"/>
      <c r="P20" s="129"/>
      <c r="Q20" s="129"/>
      <c r="R20" s="129"/>
      <c r="S20" s="129"/>
    </row>
    <row r="21" spans="2:20">
      <c r="B21" s="157"/>
      <c r="C21" s="157"/>
      <c r="D21" s="157"/>
      <c r="E21" s="157">
        <v>2020</v>
      </c>
      <c r="F21" s="157"/>
      <c r="G21" s="194">
        <v>9999999999</v>
      </c>
      <c r="H21" s="98">
        <f>HLOOKUP(E21,Fuel!$A$3:$AG$11,8,FALSE)</f>
        <v>2.4</v>
      </c>
      <c r="I21" s="97"/>
      <c r="K21" s="156"/>
      <c r="L21" s="129"/>
      <c r="M21" s="129"/>
      <c r="N21" s="131"/>
      <c r="O21" s="129"/>
      <c r="P21" s="129"/>
      <c r="Q21" s="129"/>
      <c r="R21" s="129"/>
      <c r="S21" s="129"/>
    </row>
    <row r="22" spans="2:20">
      <c r="B22" s="157"/>
      <c r="C22" s="157"/>
      <c r="D22" s="157"/>
      <c r="E22" s="157">
        <v>2021</v>
      </c>
      <c r="F22" s="157"/>
      <c r="G22" s="194">
        <v>9999999999</v>
      </c>
      <c r="H22" s="98">
        <f>HLOOKUP(E22,Fuel!$A$3:$AG$11,8,FALSE)</f>
        <v>5.2</v>
      </c>
      <c r="I22" s="97"/>
      <c r="K22" s="129"/>
      <c r="L22" s="129"/>
      <c r="M22" s="129"/>
      <c r="N22" s="131"/>
      <c r="O22" s="129"/>
      <c r="P22" s="129"/>
      <c r="Q22" s="129"/>
      <c r="R22" s="129"/>
      <c r="S22" s="129"/>
    </row>
    <row r="23" spans="2:20">
      <c r="B23" s="157"/>
      <c r="C23" s="157"/>
      <c r="D23" s="157"/>
      <c r="E23" s="157">
        <v>0</v>
      </c>
      <c r="F23" s="157"/>
      <c r="G23" s="43"/>
      <c r="H23" s="98">
        <v>5</v>
      </c>
      <c r="I23" s="98"/>
      <c r="K23" s="129"/>
      <c r="L23" s="129"/>
      <c r="M23" s="129"/>
      <c r="N23" s="131"/>
      <c r="O23" s="129"/>
      <c r="P23" s="129"/>
      <c r="Q23" s="129"/>
      <c r="R23" s="129"/>
      <c r="S23" s="129"/>
    </row>
    <row r="24" spans="2:20">
      <c r="B24" s="157"/>
      <c r="C24" s="157"/>
      <c r="D24" s="157"/>
      <c r="E24" s="157"/>
      <c r="F24" s="157"/>
      <c r="K24" s="129"/>
      <c r="L24" s="129"/>
      <c r="M24" s="129"/>
      <c r="N24" s="131"/>
      <c r="O24" s="129"/>
      <c r="P24" s="129"/>
      <c r="Q24" s="129"/>
      <c r="R24" s="129"/>
      <c r="S24" s="129"/>
    </row>
    <row r="25" spans="2:20">
      <c r="B25" s="157"/>
      <c r="C25" s="157"/>
      <c r="E25" s="157"/>
      <c r="F25" s="157"/>
      <c r="K25" s="129"/>
      <c r="L25" s="129"/>
      <c r="M25" s="129"/>
      <c r="N25" s="131"/>
      <c r="O25" s="129"/>
      <c r="P25" s="129"/>
      <c r="Q25" s="129"/>
      <c r="R25" s="129"/>
      <c r="S25" s="129"/>
    </row>
    <row r="32" spans="2:20" s="1" customFormat="1">
      <c r="B32" s="175"/>
      <c r="C32" s="157" t="s">
        <v>362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2:20">
      <c r="B33" s="96"/>
      <c r="C33" s="157" t="s">
        <v>363</v>
      </c>
      <c r="J33" s="157"/>
      <c r="T33" s="157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Y32"/>
  <sheetViews>
    <sheetView topLeftCell="A3" zoomScale="137" zoomScaleNormal="100" workbookViewId="0">
      <selection activeCell="I11" sqref="I11:I23"/>
    </sheetView>
  </sheetViews>
  <sheetFormatPr baseColWidth="10" defaultColWidth="8.83203125" defaultRowHeight="13"/>
  <cols>
    <col min="1" max="1" width="2" bestFit="1" customWidth="1"/>
    <col min="2" max="2" width="13.33203125" bestFit="1" customWidth="1"/>
    <col min="3" max="3" width="11.33203125" bestFit="1" customWidth="1"/>
    <col min="4" max="6" width="11.6640625" customWidth="1"/>
    <col min="7" max="7" width="14.33203125" bestFit="1" customWidth="1"/>
    <col min="8" max="8" width="8.1640625" customWidth="1"/>
    <col min="9" max="9" width="14.1640625" customWidth="1"/>
    <col min="10" max="10" width="2" bestFit="1" customWidth="1"/>
    <col min="11" max="11" width="13.6640625" customWidth="1"/>
    <col min="12" max="12" width="7.1640625" customWidth="1"/>
    <col min="13" max="13" width="11.33203125" bestFit="1" customWidth="1"/>
    <col min="14" max="14" width="51.83203125" bestFit="1" customWidth="1"/>
    <col min="15" max="15" width="6.33203125" customWidth="1"/>
    <col min="16" max="16" width="11.33203125" customWidth="1"/>
    <col min="17" max="17" width="13" customWidth="1"/>
    <col min="18" max="18" width="15.1640625" customWidth="1"/>
    <col min="19" max="19" width="7.33203125" bestFit="1" customWidth="1"/>
  </cols>
  <sheetData>
    <row r="1" spans="2:19" ht="32">
      <c r="B1" s="25" t="s">
        <v>309</v>
      </c>
      <c r="C1" s="25" t="s">
        <v>310</v>
      </c>
      <c r="D1" s="25" t="s">
        <v>311</v>
      </c>
      <c r="E1" s="25"/>
      <c r="F1" s="25"/>
      <c r="G1" s="25" t="s">
        <v>312</v>
      </c>
      <c r="H1" s="25" t="s">
        <v>313</v>
      </c>
    </row>
    <row r="2" spans="2:19" ht="16">
      <c r="B2" s="12"/>
      <c r="C2" s="12" t="str">
        <f>EnergyBalance!F2</f>
        <v>OIL</v>
      </c>
      <c r="D2" s="12" t="str">
        <f>EnergyBalance!F3</f>
        <v>Crude Oil</v>
      </c>
      <c r="E2" s="12"/>
      <c r="F2" s="12"/>
      <c r="G2" s="12" t="str">
        <f>EnergyBalance!R2</f>
        <v>PJ</v>
      </c>
      <c r="H2" s="12" t="str">
        <f>EnergyBalance!Q2</f>
        <v>M€2020</v>
      </c>
      <c r="K2" s="125" t="s">
        <v>315</v>
      </c>
      <c r="L2" s="125"/>
      <c r="M2" s="156"/>
      <c r="N2" s="156"/>
      <c r="O2" s="156"/>
      <c r="P2" s="156"/>
      <c r="Q2" s="156"/>
      <c r="R2" s="156"/>
      <c r="S2" s="156"/>
    </row>
    <row r="3" spans="2:19">
      <c r="K3" s="126" t="s">
        <v>316</v>
      </c>
      <c r="L3" s="127" t="s">
        <v>317</v>
      </c>
      <c r="M3" s="126" t="s">
        <v>318</v>
      </c>
      <c r="N3" s="126" t="s">
        <v>319</v>
      </c>
      <c r="O3" s="126" t="s">
        <v>320</v>
      </c>
      <c r="P3" s="126" t="s">
        <v>321</v>
      </c>
      <c r="Q3" s="126" t="s">
        <v>322</v>
      </c>
      <c r="R3" s="126" t="s">
        <v>323</v>
      </c>
      <c r="S3" s="126" t="s">
        <v>324</v>
      </c>
    </row>
    <row r="4" spans="2:19" ht="25" thickBot="1">
      <c r="C4" s="157"/>
      <c r="K4" s="128" t="s">
        <v>325</v>
      </c>
      <c r="L4" s="128" t="s">
        <v>326</v>
      </c>
      <c r="M4" s="128" t="s">
        <v>327</v>
      </c>
      <c r="N4" s="128" t="s">
        <v>328</v>
      </c>
      <c r="O4" s="128" t="s">
        <v>320</v>
      </c>
      <c r="P4" s="128" t="s">
        <v>329</v>
      </c>
      <c r="Q4" s="128" t="s">
        <v>330</v>
      </c>
      <c r="R4" s="128" t="s">
        <v>331</v>
      </c>
      <c r="S4" s="128" t="s">
        <v>332</v>
      </c>
    </row>
    <row r="5" spans="2:19">
      <c r="K5" s="156" t="s">
        <v>333</v>
      </c>
      <c r="L5" s="129"/>
      <c r="M5" s="156" t="str">
        <f>C2</f>
        <v>OIL</v>
      </c>
      <c r="N5" s="156" t="str">
        <f>D2</f>
        <v>Crude Oil</v>
      </c>
      <c r="O5" s="156" t="str">
        <f>$G$2</f>
        <v>PJ</v>
      </c>
      <c r="P5" s="156"/>
      <c r="Q5" s="156"/>
      <c r="R5" s="156"/>
      <c r="S5" s="156"/>
    </row>
    <row r="7" spans="2:19">
      <c r="E7" s="5"/>
      <c r="F7" s="5" t="s">
        <v>334</v>
      </c>
      <c r="G7" s="27"/>
      <c r="H7" s="107"/>
      <c r="I7" s="27"/>
      <c r="K7" s="125" t="s">
        <v>335</v>
      </c>
      <c r="L7" s="125"/>
      <c r="M7" s="129"/>
      <c r="N7" s="129"/>
      <c r="O7" s="129"/>
      <c r="P7" s="129"/>
      <c r="Q7" s="129"/>
      <c r="R7" s="129"/>
      <c r="S7" s="129"/>
    </row>
    <row r="8" spans="2:19" ht="14">
      <c r="B8" s="3" t="s">
        <v>336</v>
      </c>
      <c r="C8" s="18" t="s">
        <v>337</v>
      </c>
      <c r="D8" s="3" t="s">
        <v>338</v>
      </c>
      <c r="E8" s="3" t="s">
        <v>368</v>
      </c>
      <c r="F8" s="3" t="s">
        <v>321</v>
      </c>
      <c r="G8" s="106" t="s">
        <v>339</v>
      </c>
      <c r="H8" s="106" t="s">
        <v>340</v>
      </c>
      <c r="I8" s="106" t="s">
        <v>365</v>
      </c>
      <c r="K8" s="126" t="s">
        <v>341</v>
      </c>
      <c r="L8" s="127" t="s">
        <v>317</v>
      </c>
      <c r="M8" s="126" t="s">
        <v>336</v>
      </c>
      <c r="N8" s="126" t="s">
        <v>342</v>
      </c>
      <c r="O8" s="126" t="s">
        <v>343</v>
      </c>
      <c r="P8" s="126" t="s">
        <v>344</v>
      </c>
      <c r="Q8" s="126" t="s">
        <v>345</v>
      </c>
      <c r="R8" s="126" t="s">
        <v>346</v>
      </c>
      <c r="S8" s="126" t="s">
        <v>347</v>
      </c>
    </row>
    <row r="9" spans="2:19" ht="25" thickBot="1">
      <c r="B9" s="14" t="s">
        <v>348</v>
      </c>
      <c r="C9" s="14" t="s">
        <v>349</v>
      </c>
      <c r="D9" s="14" t="s">
        <v>350</v>
      </c>
      <c r="E9" s="14"/>
      <c r="F9" s="14"/>
      <c r="G9" s="14" t="s">
        <v>366</v>
      </c>
      <c r="H9" s="14" t="s">
        <v>351</v>
      </c>
      <c r="I9" s="14" t="s">
        <v>367</v>
      </c>
      <c r="K9" s="128" t="s">
        <v>352</v>
      </c>
      <c r="L9" s="128" t="s">
        <v>326</v>
      </c>
      <c r="M9" s="128" t="s">
        <v>353</v>
      </c>
      <c r="N9" s="128" t="s">
        <v>354</v>
      </c>
      <c r="O9" s="128" t="s">
        <v>355</v>
      </c>
      <c r="P9" s="128" t="s">
        <v>356</v>
      </c>
      <c r="Q9" s="128" t="s">
        <v>357</v>
      </c>
      <c r="R9" s="128" t="s">
        <v>358</v>
      </c>
      <c r="S9" s="128" t="s">
        <v>359</v>
      </c>
    </row>
    <row r="10" spans="2:19" ht="14" thickBot="1">
      <c r="B10" s="14" t="s">
        <v>360</v>
      </c>
      <c r="C10" s="13"/>
      <c r="D10" s="13"/>
      <c r="E10" s="13"/>
      <c r="F10" s="13"/>
      <c r="G10" s="13" t="str">
        <f>$G$2</f>
        <v>PJ</v>
      </c>
      <c r="H10" s="13" t="str">
        <f>$H$2&amp;"/"&amp;$G$2</f>
        <v>M€2020/PJ</v>
      </c>
      <c r="I10" s="13" t="str">
        <f>$G$2</f>
        <v>PJ</v>
      </c>
      <c r="K10" s="128" t="s">
        <v>361</v>
      </c>
      <c r="L10" s="130"/>
      <c r="M10" s="130"/>
      <c r="N10" s="130"/>
      <c r="O10" s="130"/>
      <c r="P10" s="130"/>
      <c r="Q10" s="130"/>
      <c r="R10" s="130"/>
      <c r="S10" s="130"/>
    </row>
    <row r="11" spans="2:19">
      <c r="B11" s="157" t="str">
        <f>M11</f>
        <v>MINOIL1</v>
      </c>
      <c r="C11" s="157"/>
      <c r="D11" s="157" t="str">
        <f>$M$5</f>
        <v>OIL</v>
      </c>
      <c r="E11" s="157">
        <v>2010</v>
      </c>
      <c r="F11" s="157"/>
      <c r="G11" s="194">
        <v>9999999999</v>
      </c>
      <c r="H11" s="98">
        <f>HLOOKUP(E11,Fuel!$A$3:$AG$11,5,FALSE)</f>
        <v>9.5399999999999991</v>
      </c>
      <c r="I11" s="95"/>
      <c r="K11" s="156" t="str">
        <f>EnergyBalance!$B$5</f>
        <v>MIN</v>
      </c>
      <c r="L11" s="129"/>
      <c r="M11" s="129" t="str">
        <f>$K$11&amp;$C$2&amp;1</f>
        <v>MINOIL1</v>
      </c>
      <c r="N11" s="129" t="str">
        <f>"Domestic Supply of "&amp;$D$2&amp; " Step "&amp;RIGHT(M11,1)</f>
        <v>Domestic Supply of Crude Oil Step 1</v>
      </c>
      <c r="O11" s="129" t="str">
        <f>$G$2</f>
        <v>PJ</v>
      </c>
      <c r="P11" s="129"/>
      <c r="Q11" s="129"/>
      <c r="R11" s="129"/>
      <c r="S11" s="129"/>
    </row>
    <row r="12" spans="2:19">
      <c r="B12" s="157"/>
      <c r="C12" s="157"/>
      <c r="D12" s="157"/>
      <c r="E12" s="157">
        <v>2011</v>
      </c>
      <c r="F12" s="157"/>
      <c r="G12" s="194">
        <v>9999999999</v>
      </c>
      <c r="H12" s="98">
        <f>HLOOKUP(E12,Fuel!$A$3:$AG$11,5,FALSE)</f>
        <v>12.48</v>
      </c>
      <c r="I12" s="95"/>
      <c r="K12" s="156"/>
      <c r="L12" s="129"/>
      <c r="M12" s="129"/>
      <c r="N12" s="129"/>
      <c r="O12" s="129"/>
      <c r="P12" s="129"/>
      <c r="Q12" s="129"/>
      <c r="R12" s="129"/>
      <c r="S12" s="129"/>
    </row>
    <row r="13" spans="2:19">
      <c r="B13" s="157"/>
      <c r="C13" s="157"/>
      <c r="D13" s="157"/>
      <c r="E13" s="157">
        <v>2012</v>
      </c>
      <c r="F13" s="157"/>
      <c r="G13" s="194">
        <v>9999999999</v>
      </c>
      <c r="H13" s="98">
        <f>HLOOKUP(E13,Fuel!$A$3:$AG$11,5,FALSE)</f>
        <v>12.48</v>
      </c>
      <c r="I13" s="95"/>
      <c r="K13" s="156"/>
      <c r="L13" s="129"/>
      <c r="M13" s="129"/>
      <c r="N13" s="129"/>
      <c r="O13" s="129"/>
      <c r="P13" s="129"/>
      <c r="Q13" s="129"/>
      <c r="R13" s="129"/>
      <c r="S13" s="129"/>
    </row>
    <row r="14" spans="2:19">
      <c r="B14" s="157"/>
      <c r="C14" s="157"/>
      <c r="D14" s="157"/>
      <c r="E14" s="157">
        <v>2013</v>
      </c>
      <c r="F14" s="157"/>
      <c r="G14" s="194">
        <v>9999999999</v>
      </c>
      <c r="H14" s="98">
        <f>HLOOKUP(E14,Fuel!$A$3:$AG$11,5,FALSE)</f>
        <v>11.57</v>
      </c>
      <c r="I14" s="95"/>
      <c r="K14" s="156"/>
      <c r="L14" s="129"/>
      <c r="M14" s="129"/>
      <c r="N14" s="129"/>
      <c r="O14" s="129"/>
      <c r="P14" s="129"/>
      <c r="Q14" s="129"/>
      <c r="R14" s="129"/>
      <c r="S14" s="129"/>
    </row>
    <row r="15" spans="2:19">
      <c r="B15" s="157"/>
      <c r="C15" s="157"/>
      <c r="D15" s="157"/>
      <c r="E15" s="157">
        <v>2014</v>
      </c>
      <c r="F15" s="157"/>
      <c r="G15" s="194">
        <v>9999999999</v>
      </c>
      <c r="H15" s="98">
        <f>HLOOKUP(E15,Fuel!$A$3:$AG$11,5,FALSE)</f>
        <v>11.6</v>
      </c>
      <c r="I15" s="95"/>
      <c r="K15" s="156"/>
      <c r="L15" s="129"/>
      <c r="M15" s="129"/>
      <c r="N15" s="129"/>
      <c r="O15" s="129"/>
      <c r="P15" s="129"/>
      <c r="Q15" s="129"/>
      <c r="R15" s="129"/>
      <c r="S15" s="129"/>
    </row>
    <row r="16" spans="2:19">
      <c r="B16" s="157"/>
      <c r="C16" s="157"/>
      <c r="D16" s="157"/>
      <c r="E16" s="157">
        <v>2015</v>
      </c>
      <c r="F16" s="157"/>
      <c r="G16" s="194">
        <v>9999999999</v>
      </c>
      <c r="H16" s="98">
        <f>HLOOKUP(E16,Fuel!$A$3:$AG$11,5,FALSE)</f>
        <v>6.74</v>
      </c>
      <c r="I16" s="95"/>
      <c r="K16" s="156"/>
      <c r="L16" s="129"/>
      <c r="M16" s="129"/>
      <c r="N16" s="129"/>
      <c r="O16" s="129"/>
      <c r="P16" s="129"/>
      <c r="Q16" s="129"/>
      <c r="R16" s="129"/>
      <c r="S16" s="129"/>
    </row>
    <row r="17" spans="2:25">
      <c r="B17" s="157"/>
      <c r="C17" s="157"/>
      <c r="D17" s="157"/>
      <c r="E17" s="157">
        <v>2016</v>
      </c>
      <c r="F17" s="157"/>
      <c r="G17" s="194">
        <v>9999999999</v>
      </c>
      <c r="H17" s="98">
        <f>HLOOKUP(E17,Fuel!$A$3:$AG$11,5,FALSE)</f>
        <v>5.24</v>
      </c>
      <c r="I17" s="95"/>
      <c r="K17" s="156"/>
      <c r="L17" s="129"/>
      <c r="M17" s="129"/>
      <c r="N17" s="129"/>
      <c r="O17" s="129"/>
      <c r="P17" s="129"/>
      <c r="Q17" s="129"/>
      <c r="R17" s="129"/>
      <c r="S17" s="129"/>
    </row>
    <row r="18" spans="2:25">
      <c r="B18" s="157"/>
      <c r="C18" s="157"/>
      <c r="D18" s="157"/>
      <c r="E18" s="157">
        <v>2017</v>
      </c>
      <c r="F18" s="157"/>
      <c r="G18" s="194">
        <v>9999999999</v>
      </c>
      <c r="H18" s="98">
        <f>HLOOKUP(E18,Fuel!$A$3:$AG$11,5,FALSE)</f>
        <v>7.1</v>
      </c>
      <c r="I18" s="95"/>
      <c r="K18" s="156"/>
      <c r="L18" s="129"/>
      <c r="M18" s="129"/>
      <c r="N18" s="129"/>
      <c r="O18" s="129"/>
      <c r="P18" s="129"/>
      <c r="Q18" s="129"/>
      <c r="R18" s="129"/>
      <c r="S18" s="129"/>
    </row>
    <row r="19" spans="2:25">
      <c r="B19" s="157"/>
      <c r="C19" s="157"/>
      <c r="D19" s="157"/>
      <c r="E19" s="157">
        <v>2018</v>
      </c>
      <c r="F19" s="157"/>
      <c r="G19" s="194">
        <v>9999999999</v>
      </c>
      <c r="H19" s="98">
        <f>HLOOKUP(E19,Fuel!$A$3:$AG$11,5,FALSE)</f>
        <v>9.68</v>
      </c>
      <c r="I19" s="95"/>
      <c r="K19" s="156"/>
      <c r="L19" s="129"/>
      <c r="M19" s="129"/>
      <c r="N19" s="129"/>
      <c r="O19" s="129"/>
      <c r="P19" s="129"/>
      <c r="Q19" s="129"/>
      <c r="R19" s="129"/>
      <c r="S19" s="129"/>
    </row>
    <row r="20" spans="2:25">
      <c r="B20" s="157"/>
      <c r="C20" s="157"/>
      <c r="D20" s="157"/>
      <c r="E20" s="157">
        <v>2019</v>
      </c>
      <c r="F20" s="157"/>
      <c r="G20" s="194">
        <v>9999999999</v>
      </c>
      <c r="H20" s="98">
        <f>HLOOKUP(E20,Fuel!$A$3:$AG$11,5,FALSE)</f>
        <v>9.07</v>
      </c>
      <c r="I20" s="95"/>
      <c r="K20" s="156"/>
      <c r="L20" s="129"/>
      <c r="M20" s="129"/>
      <c r="N20" s="129"/>
      <c r="O20" s="129"/>
      <c r="P20" s="129"/>
      <c r="Q20" s="129"/>
      <c r="R20" s="129"/>
      <c r="S20" s="129"/>
    </row>
    <row r="21" spans="2:25">
      <c r="B21" s="157"/>
      <c r="C21" s="157"/>
      <c r="D21" s="157"/>
      <c r="E21" s="157">
        <v>2020</v>
      </c>
      <c r="F21" s="157"/>
      <c r="G21" s="194">
        <v>9999999999</v>
      </c>
      <c r="H21" s="98">
        <f>HLOOKUP(E21,Fuel!$A$3:$AG$11,5,FALSE)</f>
        <v>5.98</v>
      </c>
      <c r="I21" s="95"/>
      <c r="K21" s="156"/>
      <c r="L21" s="129"/>
      <c r="M21" s="129"/>
      <c r="N21" s="129"/>
      <c r="O21" s="129"/>
      <c r="P21" s="129"/>
      <c r="Q21" s="129"/>
      <c r="R21" s="129"/>
      <c r="S21" s="129"/>
    </row>
    <row r="22" spans="2:25">
      <c r="B22" s="157"/>
      <c r="C22" s="157"/>
      <c r="D22" s="157"/>
      <c r="E22" s="157">
        <v>2021</v>
      </c>
      <c r="F22" s="157"/>
      <c r="G22" s="194">
        <v>9999999999</v>
      </c>
      <c r="H22" s="98">
        <f>HLOOKUP(E22,Fuel!$A$3:$AG$11,5,FALSE)</f>
        <v>10.08</v>
      </c>
      <c r="I22" s="95"/>
      <c r="K22" s="129"/>
      <c r="L22" s="129"/>
      <c r="M22" s="129"/>
      <c r="N22" s="129"/>
      <c r="O22" s="129"/>
      <c r="P22" s="129"/>
      <c r="Q22" s="129"/>
      <c r="R22" s="129"/>
      <c r="S22" s="129"/>
    </row>
    <row r="23" spans="2:25">
      <c r="B23" s="157"/>
      <c r="C23" s="157"/>
      <c r="D23" s="157"/>
      <c r="E23" s="157">
        <v>0</v>
      </c>
      <c r="F23" s="157"/>
      <c r="G23" s="44"/>
      <c r="H23" s="98">
        <v>5</v>
      </c>
      <c r="I23" s="178"/>
      <c r="K23" s="129"/>
      <c r="L23" s="129"/>
      <c r="M23" s="129"/>
      <c r="N23" s="129"/>
      <c r="O23" s="129"/>
      <c r="P23" s="129"/>
      <c r="Q23" s="129"/>
      <c r="R23" s="129"/>
      <c r="S23" s="129"/>
    </row>
    <row r="24" spans="2:25">
      <c r="B24" s="157"/>
      <c r="C24" s="157"/>
      <c r="D24" s="157"/>
      <c r="E24" s="157"/>
      <c r="F24" s="157"/>
      <c r="G24" s="157"/>
      <c r="H24" s="157"/>
      <c r="I24" s="157"/>
      <c r="K24" s="129"/>
      <c r="L24" s="129"/>
      <c r="M24" s="129"/>
      <c r="N24" s="129"/>
      <c r="O24" s="129"/>
      <c r="P24" s="129"/>
      <c r="Q24" s="129"/>
      <c r="R24" s="129"/>
      <c r="S24" s="129"/>
    </row>
    <row r="25" spans="2:25">
      <c r="B25" s="157"/>
      <c r="C25" s="157"/>
      <c r="D25" s="157"/>
      <c r="E25" s="157"/>
      <c r="F25" s="157"/>
      <c r="G25" s="157"/>
      <c r="H25" s="157"/>
      <c r="I25" s="157"/>
      <c r="K25" s="129"/>
      <c r="L25" s="129"/>
      <c r="M25" s="129"/>
      <c r="N25" s="129"/>
      <c r="O25" s="129"/>
      <c r="P25" s="129"/>
      <c r="Q25" s="129"/>
      <c r="R25" s="129"/>
      <c r="S25" s="129"/>
    </row>
    <row r="26" spans="2:25">
      <c r="V26" s="157"/>
      <c r="W26" s="157"/>
    </row>
    <row r="27" spans="2:25">
      <c r="U27" s="157"/>
      <c r="X27" s="157"/>
      <c r="Y27" s="157"/>
    </row>
    <row r="31" spans="2:25">
      <c r="B31" s="175"/>
      <c r="C31" s="157" t="s">
        <v>362</v>
      </c>
    </row>
    <row r="32" spans="2:25">
      <c r="B32" s="96"/>
      <c r="C32" s="157" t="s">
        <v>363</v>
      </c>
      <c r="J32" s="157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1:Q24"/>
  <sheetViews>
    <sheetView zoomScale="98" zoomScaleNormal="100" workbookViewId="0">
      <selection activeCell="B12" sqref="B12"/>
    </sheetView>
  </sheetViews>
  <sheetFormatPr baseColWidth="10" defaultColWidth="8.83203125" defaultRowHeight="13"/>
  <cols>
    <col min="1" max="1" width="2" style="28" bestFit="1" customWidth="1"/>
    <col min="2" max="2" width="13.83203125" customWidth="1"/>
    <col min="3" max="3" width="11.83203125" bestFit="1" customWidth="1"/>
    <col min="4" max="4" width="11" customWidth="1"/>
    <col min="5" max="5" width="13.1640625" bestFit="1" customWidth="1"/>
    <col min="6" max="6" width="8.33203125" bestFit="1" customWidth="1"/>
    <col min="7" max="7" width="13.33203125" customWidth="1"/>
    <col min="8" max="8" width="2" style="28" bestFit="1" customWidth="1"/>
    <col min="9" max="9" width="11.83203125" bestFit="1" customWidth="1"/>
    <col min="10" max="10" width="7.33203125" bestFit="1" customWidth="1"/>
    <col min="11" max="11" width="12.1640625" bestFit="1" customWidth="1"/>
    <col min="12" max="12" width="40.33203125" customWidth="1"/>
    <col min="13" max="13" width="6.1640625" bestFit="1" customWidth="1"/>
    <col min="14" max="14" width="10.33203125" bestFit="1" customWidth="1"/>
    <col min="15" max="15" width="12.83203125" bestFit="1" customWidth="1"/>
    <col min="16" max="16" width="14.1640625" bestFit="1" customWidth="1"/>
    <col min="17" max="17" width="8" bestFit="1" customWidth="1"/>
    <col min="18" max="16384" width="8.83203125" style="28"/>
  </cols>
  <sheetData>
    <row r="1" spans="2:17" ht="32">
      <c r="B1" s="25" t="s">
        <v>309</v>
      </c>
      <c r="C1" s="25" t="s">
        <v>310</v>
      </c>
      <c r="D1" s="25" t="s">
        <v>311</v>
      </c>
      <c r="E1" s="25" t="s">
        <v>312</v>
      </c>
      <c r="F1" s="25" t="s">
        <v>313</v>
      </c>
    </row>
    <row r="2" spans="2:17" ht="16">
      <c r="B2" s="12"/>
      <c r="C2" s="12" t="s">
        <v>303</v>
      </c>
      <c r="D2" s="12" t="str">
        <f>EnergyBalance!H3</f>
        <v>Solar Energy</v>
      </c>
      <c r="E2" s="12" t="str">
        <f>EnergyBalance!R2</f>
        <v>PJ</v>
      </c>
      <c r="F2" s="12" t="str">
        <f>EnergyBalance!Q2</f>
        <v>M€2020</v>
      </c>
      <c r="I2" s="125" t="s">
        <v>315</v>
      </c>
      <c r="J2" s="125"/>
      <c r="K2" s="156"/>
      <c r="L2" s="156"/>
      <c r="M2" s="156"/>
      <c r="N2" s="156"/>
      <c r="O2" s="156"/>
      <c r="P2" s="156"/>
      <c r="Q2" s="156"/>
    </row>
    <row r="3" spans="2:17">
      <c r="F3" s="11"/>
      <c r="I3" s="126" t="s">
        <v>316</v>
      </c>
      <c r="J3" s="127" t="s">
        <v>317</v>
      </c>
      <c r="K3" s="126" t="s">
        <v>318</v>
      </c>
      <c r="L3" s="126" t="s">
        <v>319</v>
      </c>
      <c r="M3" s="126" t="s">
        <v>320</v>
      </c>
      <c r="N3" s="126" t="s">
        <v>321</v>
      </c>
      <c r="O3" s="126" t="s">
        <v>322</v>
      </c>
      <c r="P3" s="126" t="s">
        <v>323</v>
      </c>
      <c r="Q3" s="126" t="s">
        <v>324</v>
      </c>
    </row>
    <row r="4" spans="2:17" ht="25" thickBot="1">
      <c r="B4" s="157"/>
      <c r="I4" s="128" t="s">
        <v>325</v>
      </c>
      <c r="J4" s="128" t="s">
        <v>326</v>
      </c>
      <c r="K4" s="128" t="s">
        <v>327</v>
      </c>
      <c r="L4" s="128" t="s">
        <v>328</v>
      </c>
      <c r="M4" s="128" t="s">
        <v>320</v>
      </c>
      <c r="N4" s="128" t="s">
        <v>329</v>
      </c>
      <c r="O4" s="128" t="s">
        <v>330</v>
      </c>
      <c r="P4" s="128" t="s">
        <v>331</v>
      </c>
      <c r="Q4" s="128" t="s">
        <v>332</v>
      </c>
    </row>
    <row r="5" spans="2:17">
      <c r="I5" s="156" t="s">
        <v>333</v>
      </c>
      <c r="J5" s="129"/>
      <c r="K5" s="156" t="str">
        <f>C2</f>
        <v>SOL</v>
      </c>
      <c r="L5" s="156" t="str">
        <f>D2</f>
        <v>Solar Energy</v>
      </c>
      <c r="M5" s="156" t="str">
        <f>$E$2</f>
        <v>PJ</v>
      </c>
      <c r="N5" s="156"/>
      <c r="O5" s="156"/>
      <c r="P5" s="156"/>
      <c r="Q5" s="156"/>
    </row>
    <row r="7" spans="2:17">
      <c r="D7" s="5" t="s">
        <v>334</v>
      </c>
      <c r="F7" s="5"/>
      <c r="I7" s="125" t="s">
        <v>335</v>
      </c>
      <c r="J7" s="125"/>
      <c r="K7" s="129"/>
      <c r="L7" s="129"/>
      <c r="M7" s="129"/>
      <c r="N7" s="129"/>
      <c r="O7" s="129"/>
      <c r="P7" s="129"/>
      <c r="Q7" s="129"/>
    </row>
    <row r="8" spans="2:17" ht="14">
      <c r="B8" s="3" t="s">
        <v>336</v>
      </c>
      <c r="C8" s="18" t="s">
        <v>337</v>
      </c>
      <c r="D8" s="3" t="s">
        <v>338</v>
      </c>
      <c r="E8" s="106" t="s">
        <v>339</v>
      </c>
      <c r="F8" s="106" t="s">
        <v>340</v>
      </c>
      <c r="G8" s="106" t="s">
        <v>365</v>
      </c>
      <c r="I8" s="126" t="s">
        <v>341</v>
      </c>
      <c r="J8" s="127" t="s">
        <v>317</v>
      </c>
      <c r="K8" s="126" t="s">
        <v>336</v>
      </c>
      <c r="L8" s="126" t="s">
        <v>342</v>
      </c>
      <c r="M8" s="126" t="s">
        <v>343</v>
      </c>
      <c r="N8" s="126" t="s">
        <v>344</v>
      </c>
      <c r="O8" s="126" t="s">
        <v>345</v>
      </c>
      <c r="P8" s="126" t="s">
        <v>346</v>
      </c>
      <c r="Q8" s="126" t="s">
        <v>347</v>
      </c>
    </row>
    <row r="9" spans="2:17" ht="25" thickBot="1">
      <c r="B9" s="14" t="s">
        <v>348</v>
      </c>
      <c r="C9" s="14" t="s">
        <v>349</v>
      </c>
      <c r="D9" s="14" t="s">
        <v>350</v>
      </c>
      <c r="E9" s="14" t="s">
        <v>366</v>
      </c>
      <c r="F9" s="14" t="s">
        <v>351</v>
      </c>
      <c r="G9" s="14" t="s">
        <v>367</v>
      </c>
      <c r="I9" s="128" t="s">
        <v>352</v>
      </c>
      <c r="J9" s="128" t="s">
        <v>326</v>
      </c>
      <c r="K9" s="128" t="s">
        <v>353</v>
      </c>
      <c r="L9" s="128" t="s">
        <v>354</v>
      </c>
      <c r="M9" s="128" t="s">
        <v>355</v>
      </c>
      <c r="N9" s="128" t="s">
        <v>356</v>
      </c>
      <c r="O9" s="128" t="s">
        <v>357</v>
      </c>
      <c r="P9" s="128" t="s">
        <v>358</v>
      </c>
      <c r="Q9" s="128" t="s">
        <v>359</v>
      </c>
    </row>
    <row r="10" spans="2:17" ht="14" thickBot="1">
      <c r="B10" s="14" t="s">
        <v>360</v>
      </c>
      <c r="C10" s="13"/>
      <c r="D10" s="13"/>
      <c r="E10" s="13" t="str">
        <f>$E$2</f>
        <v>PJ</v>
      </c>
      <c r="F10" s="13" t="str">
        <f>$F$2&amp;"/"&amp;$E$2</f>
        <v>M€2020/PJ</v>
      </c>
      <c r="G10" s="13" t="str">
        <f>$E$2</f>
        <v>PJ</v>
      </c>
      <c r="I10" s="128" t="s">
        <v>361</v>
      </c>
      <c r="J10" s="130"/>
      <c r="K10" s="130"/>
      <c r="L10" s="130"/>
      <c r="M10" s="130"/>
      <c r="N10" s="130"/>
      <c r="O10" s="130"/>
      <c r="P10" s="130"/>
      <c r="Q10" s="130"/>
    </row>
    <row r="11" spans="2:17" ht="14">
      <c r="B11" s="157" t="str">
        <f>K11</f>
        <v>MINSOL1</v>
      </c>
      <c r="C11" s="157"/>
      <c r="D11" s="157" t="str">
        <f>$K$5</f>
        <v>SOL</v>
      </c>
      <c r="E11" s="158"/>
      <c r="F11" s="159"/>
      <c r="I11" s="156" t="str">
        <f>EnergyBalance!$B$5</f>
        <v>MIN</v>
      </c>
      <c r="J11" s="129"/>
      <c r="K11" s="129" t="str">
        <f>$I$11&amp;$C$2&amp;1</f>
        <v>MINSOL1</v>
      </c>
      <c r="L11" s="131" t="str">
        <f>"Domestic Supply of "&amp;$D$2&amp; " Step "&amp;RIGHT(K11,1)</f>
        <v>Domestic Supply of Solar Energy Step 1</v>
      </c>
      <c r="M11" s="129" t="str">
        <f>$E$2</f>
        <v>PJ</v>
      </c>
      <c r="N11" s="129"/>
      <c r="O11" s="129"/>
      <c r="P11" s="129"/>
      <c r="Q11" s="129"/>
    </row>
    <row r="12" spans="2:17">
      <c r="B12" s="157"/>
      <c r="C12" s="157"/>
      <c r="D12" s="157"/>
      <c r="E12" s="158"/>
      <c r="F12" s="159"/>
      <c r="L12" s="19"/>
    </row>
    <row r="13" spans="2:17">
      <c r="B13" s="157"/>
      <c r="C13" s="157"/>
      <c r="D13" s="157"/>
      <c r="E13" s="158"/>
      <c r="F13" s="159"/>
      <c r="L13" s="19"/>
    </row>
    <row r="14" spans="2:17">
      <c r="B14" s="157"/>
      <c r="C14" s="157"/>
      <c r="D14" s="157"/>
      <c r="E14" s="157"/>
      <c r="F14" s="159"/>
      <c r="L14" s="19"/>
    </row>
    <row r="15" spans="2:17">
      <c r="B15" s="157"/>
      <c r="C15" s="157"/>
      <c r="D15" s="157"/>
      <c r="E15" s="157"/>
      <c r="F15" s="159"/>
      <c r="G15" s="8"/>
      <c r="L15" s="19"/>
    </row>
    <row r="16" spans="2:17">
      <c r="B16" s="157"/>
      <c r="C16" s="157"/>
      <c r="E16" s="157"/>
      <c r="F16" s="157"/>
      <c r="G16" s="8"/>
    </row>
    <row r="20" spans="2:3" ht="19.5" customHeight="1"/>
    <row r="23" spans="2:3">
      <c r="B23" s="44"/>
      <c r="C23" s="157" t="s">
        <v>362</v>
      </c>
    </row>
    <row r="24" spans="2:3">
      <c r="B24" s="96"/>
      <c r="C24" s="157" t="s">
        <v>363</v>
      </c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1:Q29"/>
  <sheetViews>
    <sheetView zoomScaleNormal="100" workbookViewId="0">
      <selection activeCell="G21" sqref="G21"/>
    </sheetView>
  </sheetViews>
  <sheetFormatPr baseColWidth="10" defaultColWidth="8.83203125" defaultRowHeight="13"/>
  <cols>
    <col min="1" max="1" width="2" style="28" bestFit="1" customWidth="1"/>
    <col min="2" max="2" width="13.83203125" customWidth="1"/>
    <col min="3" max="3" width="11.83203125" bestFit="1" customWidth="1"/>
    <col min="4" max="4" width="11" customWidth="1"/>
    <col min="5" max="5" width="13.1640625" bestFit="1" customWidth="1"/>
    <col min="6" max="6" width="8.33203125" bestFit="1" customWidth="1"/>
    <col min="7" max="7" width="13.33203125" customWidth="1"/>
    <col min="8" max="8" width="2" style="28" bestFit="1" customWidth="1"/>
    <col min="9" max="9" width="11.83203125" bestFit="1" customWidth="1"/>
    <col min="10" max="10" width="7.33203125" bestFit="1" customWidth="1"/>
    <col min="11" max="11" width="12.1640625" bestFit="1" customWidth="1"/>
    <col min="12" max="12" width="37.33203125" bestFit="1" customWidth="1"/>
    <col min="13" max="13" width="6.1640625" bestFit="1" customWidth="1"/>
    <col min="14" max="14" width="10.33203125" bestFit="1" customWidth="1"/>
    <col min="15" max="15" width="12.83203125" bestFit="1" customWidth="1"/>
    <col min="16" max="16" width="14.1640625" bestFit="1" customWidth="1"/>
    <col min="17" max="17" width="8" bestFit="1" customWidth="1"/>
    <col min="18" max="16384" width="8.83203125" style="28"/>
  </cols>
  <sheetData>
    <row r="1" spans="2:17" ht="32">
      <c r="B1" s="25" t="s">
        <v>309</v>
      </c>
      <c r="C1" s="25" t="s">
        <v>310</v>
      </c>
      <c r="D1" s="25" t="s">
        <v>311</v>
      </c>
      <c r="E1" s="25" t="s">
        <v>312</v>
      </c>
      <c r="F1" s="25" t="s">
        <v>313</v>
      </c>
    </row>
    <row r="2" spans="2:17" ht="16">
      <c r="B2" s="12"/>
      <c r="C2" s="12" t="s">
        <v>304</v>
      </c>
      <c r="D2" s="12" t="str">
        <f>EnergyBalance!G3</f>
        <v>Wind Energy</v>
      </c>
      <c r="E2" s="12" t="str">
        <f>EnergyBalance!R2</f>
        <v>PJ</v>
      </c>
      <c r="F2" s="12" t="str">
        <f>EnergyBalance!Q2</f>
        <v>M€2020</v>
      </c>
      <c r="I2" s="125" t="s">
        <v>315</v>
      </c>
      <c r="J2" s="125"/>
      <c r="K2" s="156"/>
      <c r="L2" s="156"/>
      <c r="M2" s="156"/>
      <c r="N2" s="156"/>
      <c r="O2" s="156"/>
      <c r="P2" s="156"/>
      <c r="Q2" s="156"/>
    </row>
    <row r="3" spans="2:17">
      <c r="F3" s="11"/>
      <c r="I3" s="126" t="s">
        <v>316</v>
      </c>
      <c r="J3" s="127" t="s">
        <v>317</v>
      </c>
      <c r="K3" s="126" t="s">
        <v>318</v>
      </c>
      <c r="L3" s="126" t="s">
        <v>319</v>
      </c>
      <c r="M3" s="126" t="s">
        <v>320</v>
      </c>
      <c r="N3" s="126" t="s">
        <v>321</v>
      </c>
      <c r="O3" s="126" t="s">
        <v>322</v>
      </c>
      <c r="P3" s="126" t="s">
        <v>323</v>
      </c>
      <c r="Q3" s="126" t="s">
        <v>324</v>
      </c>
    </row>
    <row r="4" spans="2:17" ht="25" thickBot="1">
      <c r="B4" s="157"/>
      <c r="I4" s="128" t="s">
        <v>325</v>
      </c>
      <c r="J4" s="128" t="s">
        <v>326</v>
      </c>
      <c r="K4" s="128" t="s">
        <v>327</v>
      </c>
      <c r="L4" s="128" t="s">
        <v>328</v>
      </c>
      <c r="M4" s="128" t="s">
        <v>320</v>
      </c>
      <c r="N4" s="128" t="s">
        <v>329</v>
      </c>
      <c r="O4" s="128" t="s">
        <v>330</v>
      </c>
      <c r="P4" s="128" t="s">
        <v>331</v>
      </c>
      <c r="Q4" s="128" t="s">
        <v>332</v>
      </c>
    </row>
    <row r="5" spans="2:17">
      <c r="I5" s="156" t="s">
        <v>333</v>
      </c>
      <c r="J5" s="129"/>
      <c r="K5" s="156" t="str">
        <f>C2</f>
        <v>WIN</v>
      </c>
      <c r="L5" s="156" t="str">
        <f>D2</f>
        <v>Wind Energy</v>
      </c>
      <c r="M5" s="156" t="str">
        <f>$E$2</f>
        <v>PJ</v>
      </c>
      <c r="N5" s="156"/>
      <c r="O5" s="156"/>
      <c r="P5" s="156"/>
      <c r="Q5" s="156"/>
    </row>
    <row r="7" spans="2:17">
      <c r="D7" s="5" t="s">
        <v>334</v>
      </c>
      <c r="F7" s="5"/>
      <c r="I7" s="125" t="s">
        <v>335</v>
      </c>
      <c r="J7" s="125"/>
      <c r="K7" s="129"/>
      <c r="L7" s="129"/>
      <c r="M7" s="129"/>
      <c r="N7" s="129"/>
      <c r="O7" s="129"/>
      <c r="P7" s="129"/>
      <c r="Q7" s="129"/>
    </row>
    <row r="8" spans="2:17" ht="14">
      <c r="B8" s="3" t="s">
        <v>336</v>
      </c>
      <c r="C8" s="18" t="s">
        <v>337</v>
      </c>
      <c r="D8" s="3" t="s">
        <v>338</v>
      </c>
      <c r="E8" s="106" t="s">
        <v>369</v>
      </c>
      <c r="F8" s="106" t="s">
        <v>340</v>
      </c>
      <c r="G8" s="106" t="s">
        <v>365</v>
      </c>
      <c r="I8" s="126" t="s">
        <v>341</v>
      </c>
      <c r="J8" s="127" t="s">
        <v>317</v>
      </c>
      <c r="K8" s="126" t="s">
        <v>336</v>
      </c>
      <c r="L8" s="126" t="s">
        <v>342</v>
      </c>
      <c r="M8" s="126" t="s">
        <v>343</v>
      </c>
      <c r="N8" s="126" t="s">
        <v>344</v>
      </c>
      <c r="O8" s="126" t="s">
        <v>345</v>
      </c>
      <c r="P8" s="126" t="s">
        <v>346</v>
      </c>
      <c r="Q8" s="126" t="s">
        <v>347</v>
      </c>
    </row>
    <row r="9" spans="2:17" ht="25" thickBot="1">
      <c r="B9" s="14" t="s">
        <v>348</v>
      </c>
      <c r="C9" s="14" t="s">
        <v>349</v>
      </c>
      <c r="D9" s="14" t="s">
        <v>350</v>
      </c>
      <c r="E9" s="14" t="s">
        <v>370</v>
      </c>
      <c r="F9" s="14" t="s">
        <v>351</v>
      </c>
      <c r="G9" s="14" t="s">
        <v>367</v>
      </c>
      <c r="I9" s="128" t="s">
        <v>352</v>
      </c>
      <c r="J9" s="128" t="s">
        <v>326</v>
      </c>
      <c r="K9" s="128" t="s">
        <v>353</v>
      </c>
      <c r="L9" s="128" t="s">
        <v>354</v>
      </c>
      <c r="M9" s="128" t="s">
        <v>355</v>
      </c>
      <c r="N9" s="128" t="s">
        <v>356</v>
      </c>
      <c r="O9" s="128" t="s">
        <v>357</v>
      </c>
      <c r="P9" s="128" t="s">
        <v>358</v>
      </c>
      <c r="Q9" s="128" t="s">
        <v>359</v>
      </c>
    </row>
    <row r="10" spans="2:17" ht="14" thickBot="1">
      <c r="B10" s="14" t="s">
        <v>360</v>
      </c>
      <c r="C10" s="13"/>
      <c r="D10" s="13"/>
      <c r="E10" s="13"/>
      <c r="F10" s="13" t="str">
        <f>$F$2&amp;"/"&amp;$E$2</f>
        <v>M€2020/PJ</v>
      </c>
      <c r="G10" s="13" t="s">
        <v>371</v>
      </c>
      <c r="I10" s="128" t="s">
        <v>361</v>
      </c>
      <c r="J10" s="130"/>
      <c r="K10" s="130"/>
      <c r="L10" s="130"/>
      <c r="M10" s="130"/>
      <c r="N10" s="130"/>
      <c r="O10" s="130"/>
      <c r="P10" s="130"/>
      <c r="Q10" s="130"/>
    </row>
    <row r="11" spans="2:17" ht="14">
      <c r="B11" s="157" t="str">
        <f>K11</f>
        <v>MINWIN1</v>
      </c>
      <c r="C11" s="157"/>
      <c r="D11" s="157" t="str">
        <f>$K$5</f>
        <v>WIN</v>
      </c>
      <c r="E11" s="158"/>
      <c r="F11" s="159"/>
      <c r="G11" s="184"/>
      <c r="I11" s="156" t="str">
        <f>EnergyBalance!$B$5</f>
        <v>MIN</v>
      </c>
      <c r="J11" s="129"/>
      <c r="K11" s="129" t="str">
        <f>$I$11&amp;$C$2&amp;1</f>
        <v>MINWIN1</v>
      </c>
      <c r="L11" s="131" t="str">
        <f>"Domestic Supply of "&amp;$D$2&amp; " Step "&amp;RIGHT(K11,1)</f>
        <v>Domestic Supply of Wind Energy Step 1</v>
      </c>
      <c r="M11" s="129" t="str">
        <f>$E$2</f>
        <v>PJ</v>
      </c>
      <c r="N11" s="129"/>
      <c r="O11" s="129"/>
      <c r="P11" s="129"/>
      <c r="Q11" s="129"/>
    </row>
    <row r="12" spans="2:17">
      <c r="B12" s="157"/>
      <c r="C12" s="157"/>
      <c r="D12" s="157"/>
      <c r="E12" s="158"/>
      <c r="F12" s="159"/>
      <c r="L12" s="19"/>
    </row>
    <row r="13" spans="2:17">
      <c r="B13" s="157"/>
      <c r="C13" s="157"/>
      <c r="D13" s="157"/>
      <c r="E13" s="158"/>
      <c r="F13" s="159"/>
      <c r="L13" s="19"/>
    </row>
    <row r="14" spans="2:17">
      <c r="B14" s="157"/>
      <c r="C14" s="157"/>
      <c r="D14" s="157"/>
      <c r="E14" s="157"/>
      <c r="F14" s="159"/>
      <c r="L14" s="19"/>
    </row>
    <row r="15" spans="2:17">
      <c r="B15" s="157"/>
      <c r="C15" s="157"/>
      <c r="D15" s="157"/>
      <c r="E15" s="157"/>
      <c r="F15" s="159"/>
      <c r="G15" s="8"/>
      <c r="L15" s="19"/>
    </row>
    <row r="16" spans="2:17">
      <c r="B16" s="157"/>
      <c r="C16" s="157"/>
    </row>
    <row r="20" spans="2:5" ht="19.5" customHeight="1"/>
    <row r="23" spans="2:5">
      <c r="B23" s="44"/>
      <c r="C23" s="157" t="s">
        <v>362</v>
      </c>
    </row>
    <row r="24" spans="2:5">
      <c r="B24" s="96"/>
      <c r="C24" s="157" t="s">
        <v>363</v>
      </c>
    </row>
    <row r="29" spans="2:5">
      <c r="E29" s="185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9F1F-4D2E-462C-9D2C-A545570C45B8}">
  <sheetPr>
    <tabColor rgb="FFFFFF00"/>
  </sheetPr>
  <dimension ref="A1:AG12"/>
  <sheetViews>
    <sheetView topLeftCell="A2" workbookViewId="0">
      <selection activeCell="B3" sqref="B3:AG3"/>
    </sheetView>
  </sheetViews>
  <sheetFormatPr baseColWidth="10" defaultColWidth="8.83203125" defaultRowHeight="13"/>
  <sheetData>
    <row r="1" spans="1:33" ht="16">
      <c r="A1" s="203" t="s">
        <v>372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</row>
    <row r="2" spans="1:33" ht="16">
      <c r="A2" s="203" t="s">
        <v>373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</row>
    <row r="3" spans="1:33" ht="14">
      <c r="A3" s="187" t="s">
        <v>374</v>
      </c>
      <c r="B3" s="188">
        <v>2021</v>
      </c>
      <c r="C3" s="188">
        <v>2020</v>
      </c>
      <c r="D3" s="188">
        <v>2019</v>
      </c>
      <c r="E3" s="188">
        <v>2018</v>
      </c>
      <c r="F3" s="188">
        <v>2017</v>
      </c>
      <c r="G3" s="188">
        <v>2016</v>
      </c>
      <c r="H3" s="188">
        <v>2015</v>
      </c>
      <c r="I3" s="188">
        <v>2014</v>
      </c>
      <c r="J3" s="188">
        <v>2013</v>
      </c>
      <c r="K3" s="188">
        <v>2012</v>
      </c>
      <c r="L3" s="188">
        <v>2011</v>
      </c>
      <c r="M3" s="188">
        <v>2010</v>
      </c>
      <c r="N3" s="188">
        <v>2009</v>
      </c>
      <c r="O3" s="188">
        <v>2008</v>
      </c>
      <c r="P3" s="188">
        <v>2007</v>
      </c>
      <c r="Q3" s="188">
        <v>2006</v>
      </c>
      <c r="R3" s="188">
        <v>2005</v>
      </c>
      <c r="S3" s="188">
        <v>2004</v>
      </c>
      <c r="T3" s="188">
        <v>2003</v>
      </c>
      <c r="U3" s="188">
        <v>2002</v>
      </c>
      <c r="V3" s="188">
        <v>2001</v>
      </c>
      <c r="W3" s="188">
        <v>2000</v>
      </c>
      <c r="X3" s="188">
        <v>1999</v>
      </c>
      <c r="Y3" s="188">
        <v>1998</v>
      </c>
      <c r="Z3" s="188">
        <v>1997</v>
      </c>
      <c r="AA3" s="188">
        <v>1996</v>
      </c>
      <c r="AB3" s="188">
        <v>1995</v>
      </c>
      <c r="AC3" s="188">
        <v>1994</v>
      </c>
      <c r="AD3" s="188">
        <v>1993</v>
      </c>
      <c r="AE3" s="188">
        <v>1992</v>
      </c>
      <c r="AF3" s="188">
        <v>1991</v>
      </c>
      <c r="AG3" s="188">
        <v>1990</v>
      </c>
    </row>
    <row r="4" spans="1:33" ht="70">
      <c r="A4" s="189" t="s">
        <v>375</v>
      </c>
      <c r="B4" s="190">
        <v>1.98</v>
      </c>
      <c r="C4" s="190">
        <v>1.92</v>
      </c>
      <c r="D4" s="190">
        <v>2.02</v>
      </c>
      <c r="E4" s="190">
        <v>2.06</v>
      </c>
      <c r="F4" s="190">
        <v>2.06</v>
      </c>
      <c r="G4" s="190">
        <v>2.11</v>
      </c>
      <c r="H4" s="190">
        <v>2.2200000000000002</v>
      </c>
      <c r="I4" s="190">
        <v>2.37</v>
      </c>
      <c r="J4" s="190">
        <v>2.34</v>
      </c>
      <c r="K4" s="190">
        <v>2.38</v>
      </c>
      <c r="L4" s="190">
        <v>2.39</v>
      </c>
      <c r="M4" s="190">
        <v>2.27</v>
      </c>
      <c r="N4" s="190">
        <v>2.21</v>
      </c>
      <c r="O4" s="190">
        <v>2.0699999999999998</v>
      </c>
      <c r="P4" s="190">
        <v>1.77</v>
      </c>
      <c r="Q4" s="190">
        <v>1.69</v>
      </c>
      <c r="R4" s="190">
        <v>1.54</v>
      </c>
      <c r="S4" s="190">
        <v>1.36</v>
      </c>
      <c r="T4" s="190">
        <v>1.28</v>
      </c>
      <c r="U4" s="190">
        <v>1.25</v>
      </c>
      <c r="V4" s="190">
        <v>1.23</v>
      </c>
      <c r="W4" s="190">
        <v>1.2</v>
      </c>
      <c r="X4" s="190">
        <v>1.22</v>
      </c>
      <c r="Y4" s="190">
        <v>1.25</v>
      </c>
      <c r="Z4" s="190">
        <v>1.27</v>
      </c>
      <c r="AA4" s="190">
        <v>1.29</v>
      </c>
      <c r="AB4" s="190">
        <v>1.32</v>
      </c>
      <c r="AC4" s="190">
        <v>1.36</v>
      </c>
      <c r="AD4" s="190">
        <v>1.39</v>
      </c>
      <c r="AE4" s="190">
        <v>1.41</v>
      </c>
      <c r="AF4" s="190">
        <v>1.45</v>
      </c>
      <c r="AG4" s="190">
        <v>1.45</v>
      </c>
    </row>
    <row r="5" spans="1:33" ht="70">
      <c r="A5" s="191" t="s">
        <v>376</v>
      </c>
      <c r="B5" s="193">
        <v>9485</v>
      </c>
      <c r="C5" s="193">
        <v>9473</v>
      </c>
      <c r="D5" s="193">
        <v>9592</v>
      </c>
      <c r="E5" s="193">
        <v>9536</v>
      </c>
      <c r="F5" s="193">
        <v>9544</v>
      </c>
      <c r="G5" s="193">
        <v>9617</v>
      </c>
      <c r="H5" s="193">
        <v>9634</v>
      </c>
      <c r="I5" s="193">
        <v>9710</v>
      </c>
      <c r="J5" s="193">
        <v>9661</v>
      </c>
      <c r="K5" s="193">
        <v>9668</v>
      </c>
      <c r="L5" s="193">
        <v>9762</v>
      </c>
      <c r="M5" s="193">
        <v>9842</v>
      </c>
      <c r="N5" s="193">
        <v>9902</v>
      </c>
      <c r="O5" s="193">
        <v>9947</v>
      </c>
      <c r="P5" s="193">
        <v>10028</v>
      </c>
      <c r="Q5" s="193">
        <v>10063</v>
      </c>
      <c r="R5" s="193">
        <v>10107</v>
      </c>
      <c r="S5" s="193">
        <v>10074</v>
      </c>
      <c r="T5" s="193">
        <v>10137</v>
      </c>
      <c r="U5" s="193">
        <v>10168</v>
      </c>
      <c r="V5" s="193">
        <v>10200</v>
      </c>
      <c r="W5" s="193">
        <v>10115</v>
      </c>
      <c r="X5" s="193">
        <v>10163</v>
      </c>
      <c r="Y5" s="193">
        <v>10241</v>
      </c>
      <c r="Z5" s="193">
        <v>10275</v>
      </c>
      <c r="AA5" s="193">
        <v>10263</v>
      </c>
      <c r="AB5" s="193">
        <v>10248</v>
      </c>
      <c r="AC5" s="193">
        <v>10338</v>
      </c>
      <c r="AD5" s="193">
        <v>10315</v>
      </c>
      <c r="AE5" s="193">
        <v>10395</v>
      </c>
      <c r="AF5" s="193">
        <v>10378</v>
      </c>
      <c r="AG5" s="193">
        <v>10465</v>
      </c>
    </row>
    <row r="6" spans="1:33" ht="56">
      <c r="A6" s="191" t="s">
        <v>377</v>
      </c>
      <c r="B6" s="192">
        <v>1.3</v>
      </c>
      <c r="C6" s="192">
        <v>1.28</v>
      </c>
      <c r="D6" s="192">
        <v>1.31</v>
      </c>
      <c r="E6" s="192">
        <v>1.31</v>
      </c>
      <c r="F6" s="192">
        <v>1.28</v>
      </c>
      <c r="G6" s="192">
        <v>1.34</v>
      </c>
      <c r="H6" s="192">
        <v>1.29</v>
      </c>
      <c r="I6" s="192">
        <v>1.32</v>
      </c>
      <c r="J6" s="192">
        <v>1.29</v>
      </c>
      <c r="K6" s="192">
        <v>1.25</v>
      </c>
      <c r="L6" s="192">
        <v>1.19</v>
      </c>
      <c r="M6" s="192">
        <v>1.1599999999999999</v>
      </c>
      <c r="N6" s="192">
        <v>1.01</v>
      </c>
      <c r="O6" s="192">
        <v>0.97</v>
      </c>
      <c r="P6" s="192">
        <v>0.96</v>
      </c>
      <c r="Q6" s="192">
        <v>0.97</v>
      </c>
      <c r="R6" s="192">
        <v>0.98</v>
      </c>
      <c r="S6" s="192">
        <v>0.97</v>
      </c>
      <c r="T6" s="192">
        <v>0.97</v>
      </c>
      <c r="U6" s="192">
        <v>0.94</v>
      </c>
      <c r="V6" s="192">
        <v>0.89</v>
      </c>
      <c r="W6" s="192">
        <v>0.93</v>
      </c>
      <c r="X6" s="192">
        <v>1.01</v>
      </c>
      <c r="Y6" s="192">
        <v>1.06</v>
      </c>
      <c r="Z6" s="192">
        <v>1.1100000000000001</v>
      </c>
      <c r="AA6" s="192">
        <v>1.1000000000000001</v>
      </c>
      <c r="AB6" s="192">
        <v>1.08</v>
      </c>
      <c r="AC6" s="192">
        <v>1.17</v>
      </c>
      <c r="AD6" s="192">
        <v>1.18</v>
      </c>
      <c r="AE6" s="192">
        <v>1.29</v>
      </c>
      <c r="AF6" s="192">
        <v>1.3</v>
      </c>
      <c r="AG6" s="192">
        <v>1.35</v>
      </c>
    </row>
    <row r="7" spans="1:33" ht="84">
      <c r="A7" s="189" t="s">
        <v>378</v>
      </c>
      <c r="B7" s="190">
        <v>10.08</v>
      </c>
      <c r="C7" s="190">
        <v>5.98</v>
      </c>
      <c r="D7" s="190">
        <v>9.07</v>
      </c>
      <c r="E7" s="190">
        <v>9.68</v>
      </c>
      <c r="F7" s="190">
        <v>7.1</v>
      </c>
      <c r="G7" s="190">
        <v>5.24</v>
      </c>
      <c r="H7" s="190">
        <v>6.74</v>
      </c>
      <c r="I7" s="190">
        <v>11.6</v>
      </c>
      <c r="J7" s="190">
        <v>11.57</v>
      </c>
      <c r="K7" s="190">
        <v>12.48</v>
      </c>
      <c r="L7" s="190">
        <v>12.48</v>
      </c>
      <c r="M7" s="190">
        <v>9.5399999999999991</v>
      </c>
      <c r="N7" s="190">
        <v>7.02</v>
      </c>
      <c r="O7" s="190">
        <v>10.87</v>
      </c>
      <c r="P7" s="190">
        <v>7.17</v>
      </c>
      <c r="Q7" s="190">
        <v>6.23</v>
      </c>
      <c r="R7" s="190">
        <v>6.44</v>
      </c>
      <c r="S7" s="190">
        <v>4.29</v>
      </c>
      <c r="T7" s="190">
        <v>4.33</v>
      </c>
      <c r="U7" s="190">
        <v>3.34</v>
      </c>
      <c r="V7" s="190">
        <v>3.69</v>
      </c>
      <c r="W7" s="190">
        <v>4.18</v>
      </c>
      <c r="X7" s="190">
        <v>2.36</v>
      </c>
      <c r="Y7" s="190">
        <v>2.02</v>
      </c>
      <c r="Z7" s="190">
        <v>2.73</v>
      </c>
      <c r="AA7" s="190">
        <v>3.03</v>
      </c>
      <c r="AB7" s="190">
        <v>2.57</v>
      </c>
      <c r="AC7" s="190">
        <v>2.42</v>
      </c>
      <c r="AD7" s="190">
        <v>2.37</v>
      </c>
      <c r="AE7" s="190">
        <v>2.5099999999999998</v>
      </c>
      <c r="AF7" s="190">
        <v>2.5299999999999998</v>
      </c>
      <c r="AG7" s="190">
        <v>3.35</v>
      </c>
    </row>
    <row r="8" spans="1:33" ht="70">
      <c r="A8" s="191" t="s">
        <v>379</v>
      </c>
      <c r="B8" s="193">
        <v>139137</v>
      </c>
      <c r="C8" s="193">
        <v>138976</v>
      </c>
      <c r="D8" s="193">
        <v>140549</v>
      </c>
      <c r="E8" s="193">
        <v>139762</v>
      </c>
      <c r="F8" s="193">
        <v>138324</v>
      </c>
      <c r="G8" s="193">
        <v>138384</v>
      </c>
      <c r="H8" s="193">
        <v>139681</v>
      </c>
      <c r="I8" s="193">
        <v>139713</v>
      </c>
      <c r="J8" s="193">
        <v>139671</v>
      </c>
      <c r="K8" s="193">
        <v>139567</v>
      </c>
      <c r="L8" s="193">
        <v>139795</v>
      </c>
      <c r="M8" s="193">
        <v>140598</v>
      </c>
      <c r="N8" s="193">
        <v>141321</v>
      </c>
      <c r="O8" s="193">
        <v>142205</v>
      </c>
      <c r="P8" s="193">
        <v>144545</v>
      </c>
      <c r="Q8" s="193">
        <v>143883</v>
      </c>
      <c r="R8" s="193">
        <v>146481</v>
      </c>
      <c r="S8" s="193">
        <v>147286</v>
      </c>
      <c r="T8" s="193">
        <v>147086</v>
      </c>
      <c r="U8" s="193">
        <v>147902</v>
      </c>
      <c r="V8" s="193">
        <v>147857</v>
      </c>
      <c r="W8" s="193">
        <v>149857</v>
      </c>
      <c r="X8" s="193">
        <v>149407</v>
      </c>
      <c r="Y8" s="193">
        <v>149736</v>
      </c>
      <c r="Z8" s="193">
        <v>149838</v>
      </c>
      <c r="AA8" s="193">
        <v>149367</v>
      </c>
      <c r="AB8" s="193">
        <v>149371</v>
      </c>
      <c r="AC8" s="193">
        <v>149324</v>
      </c>
      <c r="AD8" s="193">
        <v>149983</v>
      </c>
      <c r="AE8" s="193">
        <v>150293</v>
      </c>
      <c r="AF8" s="193">
        <v>150093</v>
      </c>
      <c r="AG8" s="193">
        <v>149536</v>
      </c>
    </row>
    <row r="9" spans="1:33" ht="56">
      <c r="A9" s="191" t="s">
        <v>377</v>
      </c>
      <c r="B9" s="192">
        <v>3.11</v>
      </c>
      <c r="C9" s="192">
        <v>3.45</v>
      </c>
      <c r="D9" s="192">
        <v>3.03</v>
      </c>
      <c r="E9" s="192">
        <v>3.31</v>
      </c>
      <c r="F9" s="192">
        <v>3.59</v>
      </c>
      <c r="G9" s="192">
        <v>3.69</v>
      </c>
      <c r="H9" s="192">
        <v>3.38</v>
      </c>
      <c r="I9" s="192">
        <v>3.56</v>
      </c>
      <c r="J9" s="192">
        <v>3.54</v>
      </c>
      <c r="K9" s="192">
        <v>3.61</v>
      </c>
      <c r="L9" s="192">
        <v>2.4900000000000002</v>
      </c>
      <c r="M9" s="192">
        <v>2.14</v>
      </c>
      <c r="N9" s="192">
        <v>2.14</v>
      </c>
      <c r="O9" s="192">
        <v>2.21</v>
      </c>
      <c r="P9" s="192">
        <v>2.1</v>
      </c>
      <c r="Q9" s="192">
        <v>2.31</v>
      </c>
      <c r="R9" s="192">
        <v>1.61</v>
      </c>
      <c r="S9" s="192">
        <v>1.66</v>
      </c>
      <c r="T9" s="192">
        <v>1.53</v>
      </c>
      <c r="U9" s="192">
        <v>1.64</v>
      </c>
      <c r="V9" s="192">
        <v>1.42</v>
      </c>
      <c r="W9" s="192">
        <v>1.33</v>
      </c>
      <c r="X9" s="192">
        <v>1.51</v>
      </c>
      <c r="Y9" s="192">
        <v>1.48</v>
      </c>
      <c r="Z9" s="192">
        <v>1.37</v>
      </c>
      <c r="AA9" s="192">
        <v>1.26</v>
      </c>
      <c r="AB9" s="192">
        <v>1.21</v>
      </c>
      <c r="AC9" s="192">
        <v>1.23</v>
      </c>
      <c r="AD9" s="192">
        <v>1.34</v>
      </c>
      <c r="AE9" s="192">
        <v>1.19</v>
      </c>
      <c r="AF9" s="192">
        <v>1.1100000000000001</v>
      </c>
      <c r="AG9" s="192">
        <v>1.02</v>
      </c>
    </row>
    <row r="10" spans="1:33" ht="84">
      <c r="A10" s="189" t="s">
        <v>380</v>
      </c>
      <c r="B10" s="190">
        <v>5.2</v>
      </c>
      <c r="C10" s="190">
        <v>2.4</v>
      </c>
      <c r="D10" s="190">
        <v>2.89</v>
      </c>
      <c r="E10" s="190">
        <v>3.55</v>
      </c>
      <c r="F10" s="190">
        <v>3.37</v>
      </c>
      <c r="G10" s="190">
        <v>2.87</v>
      </c>
      <c r="H10" s="190">
        <v>3.23</v>
      </c>
      <c r="I10" s="190">
        <v>5</v>
      </c>
      <c r="J10" s="190">
        <v>4.33</v>
      </c>
      <c r="K10" s="190">
        <v>3.42</v>
      </c>
      <c r="L10" s="190">
        <v>4.72</v>
      </c>
      <c r="M10" s="190">
        <v>5.09</v>
      </c>
      <c r="N10" s="190">
        <v>4.74</v>
      </c>
      <c r="O10" s="190">
        <v>9.02</v>
      </c>
      <c r="P10" s="190">
        <v>7.11</v>
      </c>
      <c r="Q10" s="190">
        <v>6.94</v>
      </c>
      <c r="R10" s="190">
        <v>8.2100000000000009</v>
      </c>
      <c r="S10" s="190">
        <v>5.96</v>
      </c>
      <c r="T10" s="190">
        <v>5.39</v>
      </c>
      <c r="U10" s="190">
        <v>3.56</v>
      </c>
      <c r="V10" s="190">
        <v>4.49</v>
      </c>
      <c r="W10" s="190">
        <v>4.3</v>
      </c>
      <c r="X10" s="190">
        <v>2.57</v>
      </c>
      <c r="Y10" s="190">
        <v>2.38</v>
      </c>
      <c r="Z10" s="190">
        <v>2.76</v>
      </c>
      <c r="AA10" s="190">
        <v>2.64</v>
      </c>
      <c r="AB10" s="190">
        <v>1.98</v>
      </c>
      <c r="AC10" s="190">
        <v>2.23</v>
      </c>
      <c r="AD10" s="190">
        <v>2.56</v>
      </c>
      <c r="AE10" s="190">
        <v>2.33</v>
      </c>
      <c r="AF10" s="190">
        <v>2.15</v>
      </c>
      <c r="AG10" s="190">
        <v>2.3199999999999998</v>
      </c>
    </row>
    <row r="11" spans="1:33" ht="84">
      <c r="A11" s="191" t="s">
        <v>381</v>
      </c>
      <c r="B11" s="193">
        <v>1034</v>
      </c>
      <c r="C11" s="193">
        <v>1033</v>
      </c>
      <c r="D11" s="193">
        <v>1034</v>
      </c>
      <c r="E11" s="193">
        <v>1033</v>
      </c>
      <c r="F11" s="193">
        <v>1034</v>
      </c>
      <c r="G11" s="193">
        <v>1034</v>
      </c>
      <c r="H11" s="193">
        <v>1034</v>
      </c>
      <c r="I11" s="193">
        <v>1029</v>
      </c>
      <c r="J11" s="193">
        <v>1026</v>
      </c>
      <c r="K11" s="193">
        <v>1023</v>
      </c>
      <c r="L11" s="193">
        <v>1021</v>
      </c>
      <c r="M11" s="193">
        <v>1022</v>
      </c>
      <c r="N11" s="193">
        <v>1025</v>
      </c>
      <c r="O11" s="193">
        <v>1027</v>
      </c>
      <c r="P11" s="193">
        <v>1027</v>
      </c>
      <c r="Q11" s="193">
        <v>1027</v>
      </c>
      <c r="R11" s="193">
        <v>1028</v>
      </c>
      <c r="S11" s="193">
        <v>1027</v>
      </c>
      <c r="T11" s="193">
        <v>1030</v>
      </c>
      <c r="U11" s="193">
        <v>1025</v>
      </c>
      <c r="V11" s="193">
        <v>1020</v>
      </c>
      <c r="W11" s="193">
        <v>1020</v>
      </c>
      <c r="X11" s="193">
        <v>1019</v>
      </c>
      <c r="Y11" s="193">
        <v>1022</v>
      </c>
      <c r="Z11" s="193">
        <v>1019</v>
      </c>
      <c r="AA11" s="193">
        <v>1017</v>
      </c>
      <c r="AB11" s="193">
        <v>1019</v>
      </c>
      <c r="AC11" s="193">
        <v>1023</v>
      </c>
      <c r="AD11" s="193">
        <v>1023</v>
      </c>
      <c r="AE11" s="193">
        <v>1024</v>
      </c>
      <c r="AF11" s="193">
        <v>1024</v>
      </c>
      <c r="AG11" s="193">
        <v>1027</v>
      </c>
    </row>
    <row r="12" spans="1:33">
      <c r="A12" s="204" t="s">
        <v>382</v>
      </c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</row>
  </sheetData>
  <mergeCells count="3">
    <mergeCell ref="A1:AG1"/>
    <mergeCell ref="A2:AG2"/>
    <mergeCell ref="A12:AG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/>
  </sheetPr>
  <dimension ref="B1:Q39"/>
  <sheetViews>
    <sheetView zoomScale="110" zoomScaleNormal="110" workbookViewId="0">
      <selection activeCell="F11" sqref="F11"/>
    </sheetView>
  </sheetViews>
  <sheetFormatPr baseColWidth="10" defaultColWidth="8.83203125" defaultRowHeight="13"/>
  <cols>
    <col min="1" max="1" width="3" customWidth="1"/>
    <col min="2" max="2" width="13.33203125" bestFit="1" customWidth="1"/>
    <col min="3" max="3" width="13.1640625" bestFit="1" customWidth="1"/>
    <col min="4" max="4" width="11.83203125" bestFit="1" customWidth="1"/>
    <col min="5" max="5" width="11.33203125" bestFit="1" customWidth="1"/>
    <col min="6" max="6" width="13" bestFit="1" customWidth="1"/>
    <col min="7" max="7" width="8.33203125" bestFit="1" customWidth="1"/>
    <col min="8" max="8" width="2.1640625" bestFit="1" customWidth="1"/>
    <col min="9" max="9" width="12.33203125" customWidth="1"/>
    <col min="10" max="10" width="7.1640625" customWidth="1"/>
    <col min="11" max="11" width="14.33203125" bestFit="1" customWidth="1"/>
    <col min="12" max="12" width="70.83203125" bestFit="1" customWidth="1"/>
    <col min="13" max="13" width="6.1640625" customWidth="1"/>
    <col min="14" max="14" width="10.33203125" bestFit="1" customWidth="1"/>
    <col min="15" max="15" width="12.83203125" bestFit="1" customWidth="1"/>
    <col min="16" max="16" width="14.1640625" bestFit="1" customWidth="1"/>
    <col min="17" max="17" width="8.1640625" customWidth="1"/>
  </cols>
  <sheetData>
    <row r="1" spans="2:17" ht="15">
      <c r="B1" s="9" t="s">
        <v>309</v>
      </c>
      <c r="C1" s="9" t="s">
        <v>310</v>
      </c>
      <c r="D1" s="9" t="s">
        <v>311</v>
      </c>
      <c r="E1" s="9" t="s">
        <v>383</v>
      </c>
      <c r="F1" s="9" t="s">
        <v>193</v>
      </c>
      <c r="G1" s="9" t="s">
        <v>384</v>
      </c>
    </row>
    <row r="2" spans="2:17" ht="16">
      <c r="B2" s="12"/>
      <c r="C2" s="12"/>
      <c r="D2" s="12" t="s">
        <v>385</v>
      </c>
      <c r="E2" s="12" t="str">
        <f>EnergyBalance!R2</f>
        <v>PJ</v>
      </c>
      <c r="F2" s="12" t="str">
        <f>EnergyBalance!Q2</f>
        <v>M€2020</v>
      </c>
      <c r="G2" s="12" t="s">
        <v>386</v>
      </c>
      <c r="I2" s="125" t="s">
        <v>315</v>
      </c>
      <c r="J2" s="125"/>
      <c r="K2" s="156"/>
      <c r="L2" s="156"/>
      <c r="M2" s="156"/>
      <c r="N2" s="156"/>
      <c r="O2" s="156"/>
      <c r="P2" s="156"/>
      <c r="Q2" s="156"/>
    </row>
    <row r="3" spans="2:17">
      <c r="I3" s="126" t="s">
        <v>316</v>
      </c>
      <c r="J3" s="127" t="s">
        <v>317</v>
      </c>
      <c r="K3" s="126" t="s">
        <v>318</v>
      </c>
      <c r="L3" s="126" t="s">
        <v>319</v>
      </c>
      <c r="M3" s="126" t="s">
        <v>320</v>
      </c>
      <c r="N3" s="126" t="s">
        <v>321</v>
      </c>
      <c r="O3" s="126" t="s">
        <v>322</v>
      </c>
      <c r="P3" s="126" t="s">
        <v>323</v>
      </c>
      <c r="Q3" s="126" t="s">
        <v>324</v>
      </c>
    </row>
    <row r="4" spans="2:17" ht="26" thickBot="1">
      <c r="B4" s="10"/>
      <c r="C4" s="10"/>
      <c r="D4" s="10"/>
      <c r="E4" s="10"/>
      <c r="G4" s="10"/>
      <c r="I4" s="128" t="s">
        <v>325</v>
      </c>
      <c r="J4" s="128" t="s">
        <v>326</v>
      </c>
      <c r="K4" s="128" t="s">
        <v>327</v>
      </c>
      <c r="L4" s="128" t="s">
        <v>328</v>
      </c>
      <c r="M4" s="128" t="s">
        <v>320</v>
      </c>
      <c r="N4" s="128" t="s">
        <v>329</v>
      </c>
      <c r="O4" s="128" t="s">
        <v>330</v>
      </c>
      <c r="P4" s="128" t="s">
        <v>331</v>
      </c>
      <c r="Q4" s="128" t="s">
        <v>332</v>
      </c>
    </row>
    <row r="5" spans="2:17" ht="14">
      <c r="E5" s="178"/>
      <c r="F5" s="178"/>
      <c r="G5" s="179"/>
      <c r="I5" s="156" t="s">
        <v>333</v>
      </c>
      <c r="J5" s="129"/>
      <c r="K5" s="129" t="str">
        <f>Con_ELC!$B$2&amp;EnergyBalance!$D$2</f>
        <v>ELCCOA</v>
      </c>
      <c r="L5" s="131" t="str">
        <f>Con_ELC!$C$2&amp;" "&amp;EnergyBalance!$D$3</f>
        <v>Electricity Plants Coal</v>
      </c>
      <c r="M5" s="129" t="str">
        <f t="shared" ref="M5:M11" si="0">$E$2</f>
        <v>PJ</v>
      </c>
      <c r="N5" s="129"/>
      <c r="O5" s="129"/>
      <c r="P5" s="129"/>
      <c r="Q5" s="129"/>
    </row>
    <row r="6" spans="2:17" ht="14">
      <c r="E6" s="178"/>
      <c r="F6" s="178"/>
      <c r="G6" s="179"/>
      <c r="I6" s="129"/>
      <c r="J6" s="129"/>
      <c r="K6" s="129" t="str">
        <f>Con_ELC!$B$2&amp;EnergyBalance!$E$2</f>
        <v>ELCGAS</v>
      </c>
      <c r="L6" s="131" t="str">
        <f>Con_ELC!$C$2&amp;" "&amp;EnergyBalance!$E$3</f>
        <v>Electricity Plants Natural Gas</v>
      </c>
      <c r="M6" s="129" t="str">
        <f t="shared" si="0"/>
        <v>PJ</v>
      </c>
      <c r="N6" s="129"/>
      <c r="O6" s="129"/>
      <c r="P6" s="129"/>
      <c r="Q6" s="129"/>
    </row>
    <row r="7" spans="2:17" ht="14">
      <c r="E7" s="178"/>
      <c r="F7" s="178"/>
      <c r="G7" s="179"/>
      <c r="I7" s="129"/>
      <c r="J7" s="129"/>
      <c r="K7" s="129" t="str">
        <f>Con_ELC!$B$2&amp;EnergyBalance!$F$2</f>
        <v>ELCOIL</v>
      </c>
      <c r="L7" s="131" t="str">
        <f>Con_ELC!$C$2&amp;" "&amp;EnergyBalance!$F$3</f>
        <v>Electricity Plants Crude Oil</v>
      </c>
      <c r="M7" s="129" t="str">
        <f t="shared" si="0"/>
        <v>PJ</v>
      </c>
      <c r="N7" s="129"/>
      <c r="O7" s="129"/>
      <c r="P7" s="129"/>
      <c r="Q7" s="129"/>
    </row>
    <row r="8" spans="2:17" ht="14">
      <c r="E8" s="178"/>
      <c r="F8" s="178"/>
      <c r="G8" s="179"/>
      <c r="I8" s="129"/>
      <c r="J8" s="129"/>
      <c r="K8" s="129" t="s">
        <v>387</v>
      </c>
      <c r="L8" s="131" t="str">
        <f>Con_ELC!$C$2&amp;" "&amp;EnergyBalance!$H$3</f>
        <v>Electricity Plants Solar Energy</v>
      </c>
      <c r="M8" s="129" t="str">
        <f t="shared" si="0"/>
        <v>PJ</v>
      </c>
      <c r="N8" s="129"/>
      <c r="O8" s="129"/>
      <c r="P8" s="129"/>
      <c r="Q8" s="129"/>
    </row>
    <row r="9" spans="2:17" ht="14">
      <c r="E9" s="178"/>
      <c r="F9" s="178"/>
      <c r="G9" s="179"/>
      <c r="I9" s="129"/>
      <c r="J9" s="129"/>
      <c r="K9" s="129" t="s">
        <v>389</v>
      </c>
      <c r="L9" s="131" t="s">
        <v>390</v>
      </c>
      <c r="M9" s="129" t="str">
        <f t="shared" si="0"/>
        <v>PJ</v>
      </c>
      <c r="N9" s="129"/>
      <c r="O9" s="129"/>
      <c r="P9" s="129"/>
      <c r="Q9" s="129"/>
    </row>
    <row r="10" spans="2:17" ht="14">
      <c r="E10" s="178"/>
      <c r="F10" s="178"/>
      <c r="G10" s="179"/>
      <c r="I10" s="129"/>
      <c r="J10" s="129"/>
      <c r="K10" s="129" t="s">
        <v>388</v>
      </c>
      <c r="L10" s="131" t="str">
        <f>Con_ELC!$C$2&amp;" "&amp;EnergyBalance!$G$3</f>
        <v>Electricity Plants Wind Energy</v>
      </c>
      <c r="M10" s="129" t="str">
        <f t="shared" si="0"/>
        <v>PJ</v>
      </c>
      <c r="N10" s="129"/>
      <c r="O10" s="129"/>
      <c r="P10" s="129"/>
      <c r="Q10" s="129"/>
    </row>
    <row r="11" spans="2:17" ht="14">
      <c r="E11" s="178"/>
      <c r="F11" s="178"/>
      <c r="G11" s="179"/>
      <c r="I11" s="129"/>
      <c r="J11" s="129"/>
      <c r="K11" s="129" t="s">
        <v>391</v>
      </c>
      <c r="L11" s="131" t="s">
        <v>392</v>
      </c>
      <c r="M11" s="129" t="str">
        <f t="shared" si="0"/>
        <v>PJ</v>
      </c>
      <c r="N11" s="129"/>
      <c r="O11" s="129"/>
      <c r="P11" s="129"/>
      <c r="Q11" s="129"/>
    </row>
    <row r="12" spans="2:17">
      <c r="E12" s="178"/>
      <c r="F12" s="178"/>
      <c r="G12" s="179"/>
      <c r="I12" s="129"/>
      <c r="J12" s="129"/>
      <c r="K12" s="129"/>
      <c r="L12" s="131"/>
      <c r="M12" s="129"/>
      <c r="N12" s="129"/>
      <c r="O12" s="129"/>
      <c r="P12" s="129"/>
      <c r="Q12" s="129"/>
    </row>
    <row r="13" spans="2:17">
      <c r="E13" s="178"/>
      <c r="F13" s="178"/>
      <c r="G13" s="179"/>
      <c r="I13" s="129"/>
      <c r="J13" s="129"/>
      <c r="K13" s="129"/>
      <c r="L13" s="131"/>
      <c r="M13" s="129"/>
      <c r="N13" s="129"/>
      <c r="O13" s="129"/>
      <c r="P13" s="129"/>
      <c r="Q13" s="129"/>
    </row>
    <row r="14" spans="2:17">
      <c r="K14" s="28"/>
      <c r="L14" s="29"/>
    </row>
    <row r="15" spans="2:17">
      <c r="D15" s="5" t="s">
        <v>334</v>
      </c>
      <c r="E15" s="5"/>
      <c r="F15" s="5"/>
      <c r="I15" s="125" t="s">
        <v>335</v>
      </c>
      <c r="J15" s="125"/>
      <c r="K15" s="129"/>
      <c r="L15" s="129"/>
      <c r="M15" s="129"/>
      <c r="N15" s="129"/>
      <c r="O15" s="129"/>
      <c r="P15" s="129"/>
      <c r="Q15" s="129"/>
    </row>
    <row r="16" spans="2:17" ht="14">
      <c r="B16" s="16" t="s">
        <v>336</v>
      </c>
      <c r="C16" s="16" t="s">
        <v>337</v>
      </c>
      <c r="D16" s="16" t="s">
        <v>338</v>
      </c>
      <c r="E16" s="103" t="s">
        <v>393</v>
      </c>
      <c r="F16" s="103" t="s">
        <v>293</v>
      </c>
      <c r="G16" s="103" t="s">
        <v>394</v>
      </c>
      <c r="I16" s="126" t="s">
        <v>341</v>
      </c>
      <c r="J16" s="127" t="s">
        <v>317</v>
      </c>
      <c r="K16" s="126" t="s">
        <v>336</v>
      </c>
      <c r="L16" s="126" t="s">
        <v>342</v>
      </c>
      <c r="M16" s="126" t="s">
        <v>343</v>
      </c>
      <c r="N16" s="126" t="s">
        <v>344</v>
      </c>
      <c r="O16" s="126" t="s">
        <v>345</v>
      </c>
      <c r="P16" s="126" t="s">
        <v>346</v>
      </c>
      <c r="Q16" s="126" t="s">
        <v>347</v>
      </c>
    </row>
    <row r="17" spans="2:17" ht="25" thickBot="1">
      <c r="B17" s="15" t="s">
        <v>348</v>
      </c>
      <c r="C17" s="15" t="s">
        <v>349</v>
      </c>
      <c r="D17" s="15" t="s">
        <v>350</v>
      </c>
      <c r="E17" s="104" t="s">
        <v>395</v>
      </c>
      <c r="F17" s="104" t="s">
        <v>20</v>
      </c>
      <c r="G17" s="104" t="s">
        <v>21</v>
      </c>
      <c r="I17" s="128" t="s">
        <v>352</v>
      </c>
      <c r="J17" s="128" t="s">
        <v>326</v>
      </c>
      <c r="K17" s="128" t="s">
        <v>353</v>
      </c>
      <c r="L17" s="128" t="s">
        <v>354</v>
      </c>
      <c r="M17" s="128" t="s">
        <v>355</v>
      </c>
      <c r="N17" s="128" t="s">
        <v>356</v>
      </c>
      <c r="O17" s="128" t="s">
        <v>357</v>
      </c>
      <c r="P17" s="128" t="s">
        <v>358</v>
      </c>
      <c r="Q17" s="128" t="s">
        <v>359</v>
      </c>
    </row>
    <row r="18" spans="2:17" ht="14" thickBot="1">
      <c r="B18" s="14" t="s">
        <v>360</v>
      </c>
      <c r="C18" s="14"/>
      <c r="D18" s="14"/>
      <c r="E18" s="13" t="str">
        <f>E2&amp;"a"</f>
        <v>PJa</v>
      </c>
      <c r="F18" s="13"/>
      <c r="G18" s="13" t="s">
        <v>396</v>
      </c>
      <c r="I18" s="128" t="s">
        <v>361</v>
      </c>
      <c r="J18" s="130"/>
      <c r="K18" s="130"/>
      <c r="L18" s="130"/>
      <c r="M18" s="130"/>
      <c r="N18" s="130"/>
      <c r="O18" s="130"/>
      <c r="P18" s="130"/>
      <c r="Q18" s="130"/>
    </row>
    <row r="19" spans="2:17" ht="14">
      <c r="B19" t="str">
        <f t="shared" ref="B19:B22" si="1">K19</f>
        <v>FTE-ELCCOA</v>
      </c>
      <c r="C19" t="str">
        <f t="shared" ref="C19:C24" si="2">RIGHT(D19,3)</f>
        <v>COA</v>
      </c>
      <c r="D19" s="28" t="str">
        <f t="shared" ref="D19:D24" si="3">K5</f>
        <v>ELCCOA</v>
      </c>
      <c r="E19" s="178"/>
      <c r="F19" s="180">
        <v>1</v>
      </c>
      <c r="G19" s="175">
        <v>50</v>
      </c>
      <c r="I19" s="156" t="s">
        <v>397</v>
      </c>
      <c r="J19" s="129"/>
      <c r="K19" s="129" t="str">
        <f t="shared" ref="K19:K25" si="4">"FT"&amp;$G$2&amp;"-"&amp;K5</f>
        <v>FTE-ELCCOA</v>
      </c>
      <c r="L19" s="131" t="str">
        <f t="shared" ref="L19:L24" si="5">$D$2&amp;" Technology"&amp;" "&amp;$G$1&amp;" "&amp;L5</f>
        <v>Sector Fuel Technology Existing Electricity Plants Coal</v>
      </c>
      <c r="M19" s="129" t="str">
        <f t="shared" ref="M19:M25" si="6">$E$2</f>
        <v>PJ</v>
      </c>
      <c r="N19" s="129" t="str">
        <f t="shared" ref="N19:N25" si="7">$E$2&amp;"a"</f>
        <v>PJa</v>
      </c>
      <c r="O19" s="129"/>
      <c r="P19" s="129"/>
      <c r="Q19" s="129"/>
    </row>
    <row r="20" spans="2:17" ht="14">
      <c r="B20" t="str">
        <f t="shared" si="1"/>
        <v>FTE-ELCGAS</v>
      </c>
      <c r="C20" t="str">
        <f t="shared" si="2"/>
        <v>GAS</v>
      </c>
      <c r="D20" s="28" t="str">
        <f t="shared" si="3"/>
        <v>ELCGAS</v>
      </c>
      <c r="E20" s="178"/>
      <c r="F20" s="180">
        <v>1</v>
      </c>
      <c r="G20" s="175">
        <v>50</v>
      </c>
      <c r="I20" s="129"/>
      <c r="J20" s="129"/>
      <c r="K20" s="129" t="str">
        <f t="shared" si="4"/>
        <v>FTE-ELCGAS</v>
      </c>
      <c r="L20" s="131" t="str">
        <f t="shared" si="5"/>
        <v>Sector Fuel Technology Existing Electricity Plants Natural Gas</v>
      </c>
      <c r="M20" s="129" t="str">
        <f t="shared" si="6"/>
        <v>PJ</v>
      </c>
      <c r="N20" s="129" t="str">
        <f t="shared" si="7"/>
        <v>PJa</v>
      </c>
      <c r="O20" s="129"/>
      <c r="P20" s="129"/>
      <c r="Q20" s="129"/>
    </row>
    <row r="21" spans="2:17">
      <c r="B21" t="str">
        <f t="shared" si="1"/>
        <v>FTE-ELCOIL</v>
      </c>
      <c r="C21" t="str">
        <f t="shared" si="2"/>
        <v>OIL</v>
      </c>
      <c r="D21" s="28" t="str">
        <f t="shared" si="3"/>
        <v>ELCOIL</v>
      </c>
      <c r="E21" s="178"/>
      <c r="F21" s="180">
        <v>1</v>
      </c>
      <c r="G21" s="175">
        <v>50</v>
      </c>
      <c r="I21" s="129"/>
      <c r="J21" s="129"/>
      <c r="K21" s="129" t="str">
        <f t="shared" si="4"/>
        <v>FTE-ELCOIL</v>
      </c>
      <c r="L21" s="129" t="str">
        <f t="shared" si="5"/>
        <v>Sector Fuel Technology Existing Electricity Plants Crude Oil</v>
      </c>
      <c r="M21" s="129" t="str">
        <f t="shared" si="6"/>
        <v>PJ</v>
      </c>
      <c r="N21" s="129" t="str">
        <f t="shared" si="7"/>
        <v>PJa</v>
      </c>
      <c r="O21" s="129"/>
      <c r="P21" s="129"/>
      <c r="Q21" s="129"/>
    </row>
    <row r="22" spans="2:17" ht="14">
      <c r="B22" t="str">
        <f t="shared" si="1"/>
        <v>FTE-ELCSOL</v>
      </c>
      <c r="C22" t="str">
        <f t="shared" si="2"/>
        <v>SOL</v>
      </c>
      <c r="D22" s="28" t="str">
        <f t="shared" si="3"/>
        <v>ELCSOL</v>
      </c>
      <c r="E22" s="178"/>
      <c r="F22" s="180">
        <v>1</v>
      </c>
      <c r="G22" s="175">
        <v>50</v>
      </c>
      <c r="I22" s="129"/>
      <c r="J22" s="129"/>
      <c r="K22" s="129" t="str">
        <f t="shared" si="4"/>
        <v>FTE-ELCSOL</v>
      </c>
      <c r="L22" s="131" t="str">
        <f t="shared" si="5"/>
        <v>Sector Fuel Technology Existing Electricity Plants Solar Energy</v>
      </c>
      <c r="M22" s="129" t="str">
        <f t="shared" si="6"/>
        <v>PJ</v>
      </c>
      <c r="N22" s="129" t="str">
        <f t="shared" si="7"/>
        <v>PJa</v>
      </c>
      <c r="O22" s="129"/>
      <c r="P22" s="129"/>
      <c r="Q22" s="129"/>
    </row>
    <row r="23" spans="2:17" ht="14">
      <c r="B23" t="str">
        <f>K23</f>
        <v>FTE-ELCHYD</v>
      </c>
      <c r="C23" t="str">
        <f>RIGHT(D23,3)</f>
        <v>HYD</v>
      </c>
      <c r="D23" s="28" t="str">
        <f t="shared" si="3"/>
        <v>ELCHYD</v>
      </c>
      <c r="E23" s="178"/>
      <c r="F23" s="180">
        <v>1</v>
      </c>
      <c r="G23" s="175">
        <v>50</v>
      </c>
      <c r="K23" s="129" t="str">
        <f t="shared" si="4"/>
        <v>FTE-ELCHYD</v>
      </c>
      <c r="L23" s="131" t="str">
        <f t="shared" si="5"/>
        <v>Sector Fuel Technology Existing Electricity Plants Hydro Energy</v>
      </c>
      <c r="M23" s="129" t="str">
        <f t="shared" si="6"/>
        <v>PJ</v>
      </c>
      <c r="N23" s="129" t="str">
        <f t="shared" si="7"/>
        <v>PJa</v>
      </c>
    </row>
    <row r="24" spans="2:17" ht="14">
      <c r="B24" s="129" t="str">
        <f>K24</f>
        <v>FTE-ELCWIN</v>
      </c>
      <c r="C24" t="str">
        <f t="shared" si="2"/>
        <v>WIN</v>
      </c>
      <c r="D24" s="28" t="str">
        <f t="shared" si="3"/>
        <v>ELCWIN</v>
      </c>
      <c r="E24" s="178"/>
      <c r="F24" s="180">
        <v>1</v>
      </c>
      <c r="G24" s="175">
        <v>50</v>
      </c>
      <c r="I24" s="129"/>
      <c r="J24" s="129"/>
      <c r="K24" s="129" t="str">
        <f t="shared" si="4"/>
        <v>FTE-ELCWIN</v>
      </c>
      <c r="L24" s="131" t="str">
        <f t="shared" si="5"/>
        <v>Sector Fuel Technology Existing Electricity Plants Wind Energy</v>
      </c>
      <c r="M24" s="129" t="str">
        <f t="shared" si="6"/>
        <v>PJ</v>
      </c>
      <c r="N24" s="129" t="str">
        <f t="shared" si="7"/>
        <v>PJa</v>
      </c>
      <c r="O24" s="129"/>
      <c r="P24" s="129"/>
      <c r="Q24" s="129"/>
    </row>
    <row r="25" spans="2:17" ht="14">
      <c r="B25" t="str">
        <f t="shared" ref="B25" si="8">K25</f>
        <v>FTE-ELCBIO</v>
      </c>
      <c r="C25" t="str">
        <f t="shared" ref="C25" si="9">RIGHT(D25,3)</f>
        <v>BIO</v>
      </c>
      <c r="D25" s="28" t="str">
        <f t="shared" ref="D25" si="10">K11</f>
        <v>ELCBIO</v>
      </c>
      <c r="E25" s="178"/>
      <c r="F25" s="180">
        <v>1</v>
      </c>
      <c r="G25" s="175">
        <v>50</v>
      </c>
      <c r="K25" s="129" t="str">
        <f t="shared" si="4"/>
        <v>FTE-ELCBIO</v>
      </c>
      <c r="L25" s="131" t="str">
        <f t="shared" ref="L25" si="11">$D$2&amp;" Technology"&amp;" "&amp;$G$1&amp;" "&amp;L11</f>
        <v>Sector Fuel Technology Existing Electricity Plants Biomass Energy</v>
      </c>
      <c r="M25" s="129" t="str">
        <f t="shared" si="6"/>
        <v>PJ</v>
      </c>
      <c r="N25" s="129" t="str">
        <f t="shared" si="7"/>
        <v>PJa</v>
      </c>
    </row>
    <row r="27" spans="2:17">
      <c r="I27" s="28"/>
      <c r="J27" s="28"/>
    </row>
    <row r="28" spans="2:17">
      <c r="I28" s="28"/>
      <c r="J28" s="28"/>
    </row>
    <row r="29" spans="2:17">
      <c r="I29" s="28"/>
      <c r="J29" s="28"/>
    </row>
    <row r="30" spans="2:17">
      <c r="I30" s="28"/>
      <c r="J30" s="28"/>
    </row>
    <row r="38" spans="2:3">
      <c r="B38" s="44"/>
      <c r="C38" s="157" t="s">
        <v>362</v>
      </c>
    </row>
    <row r="39" spans="2:3">
      <c r="B39" s="96"/>
      <c r="C39" s="157" t="s">
        <v>363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6E3B-EFDF-4548-9844-3768EEC7174B}">
  <dimension ref="B1:AD24"/>
  <sheetViews>
    <sheetView workbookViewId="0">
      <selection activeCell="C25" sqref="C25"/>
    </sheetView>
  </sheetViews>
  <sheetFormatPr baseColWidth="10" defaultColWidth="10.6640625" defaultRowHeight="13"/>
  <cols>
    <col min="3" max="3" width="23.1640625" bestFit="1" customWidth="1"/>
    <col min="4" max="4" width="20.33203125" bestFit="1" customWidth="1"/>
    <col min="5" max="5" width="4.33203125" bestFit="1" customWidth="1"/>
    <col min="6" max="6" width="8.5" bestFit="1" customWidth="1"/>
    <col min="7" max="7" width="6.6640625" bestFit="1" customWidth="1"/>
    <col min="8" max="8" width="7.6640625" bestFit="1" customWidth="1"/>
  </cols>
  <sheetData>
    <row r="1" spans="2:30">
      <c r="G1">
        <v>1</v>
      </c>
      <c r="H1" s="157">
        <f>G1+1</f>
        <v>2</v>
      </c>
      <c r="I1" s="157">
        <f t="shared" ref="I1:AB1" si="0">H1+1</f>
        <v>3</v>
      </c>
      <c r="J1" s="157">
        <f t="shared" si="0"/>
        <v>4</v>
      </c>
      <c r="K1" s="157">
        <f t="shared" si="0"/>
        <v>5</v>
      </c>
      <c r="L1" s="157">
        <f t="shared" si="0"/>
        <v>6</v>
      </c>
      <c r="M1" s="157">
        <f t="shared" si="0"/>
        <v>7</v>
      </c>
      <c r="N1" s="157">
        <f t="shared" si="0"/>
        <v>8</v>
      </c>
      <c r="O1" s="157">
        <f t="shared" si="0"/>
        <v>9</v>
      </c>
      <c r="P1" s="157">
        <f t="shared" si="0"/>
        <v>10</v>
      </c>
      <c r="Q1" s="157">
        <f t="shared" si="0"/>
        <v>11</v>
      </c>
      <c r="R1" s="157">
        <f t="shared" si="0"/>
        <v>12</v>
      </c>
      <c r="S1" s="157">
        <f t="shared" si="0"/>
        <v>13</v>
      </c>
      <c r="T1" s="157">
        <f t="shared" si="0"/>
        <v>14</v>
      </c>
      <c r="U1" s="157">
        <f t="shared" si="0"/>
        <v>15</v>
      </c>
      <c r="V1" s="157">
        <f t="shared" si="0"/>
        <v>16</v>
      </c>
      <c r="W1" s="157">
        <f t="shared" si="0"/>
        <v>17</v>
      </c>
      <c r="X1" s="157">
        <f t="shared" si="0"/>
        <v>18</v>
      </c>
      <c r="Y1" s="157">
        <f t="shared" si="0"/>
        <v>19</v>
      </c>
      <c r="Z1" s="157">
        <f t="shared" si="0"/>
        <v>20</v>
      </c>
      <c r="AA1" s="157">
        <f t="shared" si="0"/>
        <v>21</v>
      </c>
      <c r="AB1" s="157">
        <f t="shared" si="0"/>
        <v>22</v>
      </c>
    </row>
    <row r="2" spans="2:30">
      <c r="C2" t="str">
        <f>'Kalimantan Only'!J1</f>
        <v>Kapasitas Terpasang (MW)</v>
      </c>
      <c r="D2" t="str">
        <f>'Kalimantan Only'!K1</f>
        <v>Daya Mampu Netto (MW)</v>
      </c>
      <c r="E2" t="str">
        <f>'Kalimantan Only'!L1</f>
        <v>AF</v>
      </c>
      <c r="F2" t="str">
        <f>'Kalimantan Only'!V1</f>
        <v>Efficiency</v>
      </c>
      <c r="G2">
        <v>1985</v>
      </c>
      <c r="H2">
        <v>1993</v>
      </c>
      <c r="I2">
        <v>1995</v>
      </c>
      <c r="J2">
        <v>1996</v>
      </c>
      <c r="K2">
        <v>1997</v>
      </c>
      <c r="L2">
        <v>1998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2008</v>
      </c>
      <c r="T2">
        <v>2009</v>
      </c>
      <c r="U2">
        <v>2010</v>
      </c>
      <c r="V2">
        <v>2011</v>
      </c>
      <c r="W2">
        <v>2013</v>
      </c>
      <c r="X2">
        <v>2014</v>
      </c>
      <c r="Y2">
        <v>2015</v>
      </c>
      <c r="Z2">
        <v>2016</v>
      </c>
      <c r="AA2">
        <v>2017</v>
      </c>
      <c r="AB2">
        <v>2018</v>
      </c>
    </row>
    <row r="3" spans="2:30">
      <c r="B3" t="str" cm="1">
        <f t="array" ref="B3:B5">_xlfn.UNIQUE('Kalimantan Only'!P2:P110)</f>
        <v>ELCOIL</v>
      </c>
      <c r="C3" s="8">
        <f>SUMIFS('Kalimantan Only'!$J$2:$J$110,'Kalimantan Only'!$P$2:$P$110,Parsing!$B3)</f>
        <v>238.84000000000003</v>
      </c>
      <c r="D3" s="8">
        <f>SUMIFS('Kalimantan Only'!$K$2:$K$110,'Kalimantan Only'!$P$2:$P$110,Parsing!$B3)</f>
        <v>196.65500000000006</v>
      </c>
      <c r="E3" s="146">
        <f>AVERAGEIFS('Kalimantan Only'!$L$2:$L$110,'Kalimantan Only'!$P$2:$P$110,Parsing!$B3)</f>
        <v>0.85000000000000087</v>
      </c>
      <c r="F3" s="146">
        <f>SUMIFS('Kalimantan Only'!$AD$2:$AD$110,'Kalimantan Only'!$P$2:$P$110,Parsing!$B3)/Parsing!D3</f>
        <v>0.31338197955563962</v>
      </c>
      <c r="G3">
        <f>SUMIFS('Kalimantan Only'!$K$2:$K$110,'Kalimantan Only'!$P$2:$P$110,Parsing!$B3,'Kalimantan Only'!$S$2:$S$110,Parsing!G$2)/1000</f>
        <v>0</v>
      </c>
      <c r="H3">
        <f>SUMIFS('Kalimantan Only'!$K$2:$K$110,'Kalimantan Only'!$P$2:$P$110,Parsing!$B3,'Kalimantan Only'!$S$2:$S$110,Parsing!H$2)/1000</f>
        <v>2.1000000000000001E-2</v>
      </c>
      <c r="I3">
        <f>SUMIFS('Kalimantan Only'!$K$2:$K$110,'Kalimantan Only'!$P$2:$P$110,Parsing!$B3,'Kalimantan Only'!$S$2:$S$110,Parsing!I$2)/1000</f>
        <v>4.2500000000000003E-3</v>
      </c>
      <c r="J3">
        <f>SUMIFS('Kalimantan Only'!$K$2:$K$110,'Kalimantan Only'!$P$2:$P$110,Parsing!$B3,'Kalimantan Only'!$S$2:$S$110,Parsing!J$2)/1000</f>
        <v>1.4100000000000001E-2</v>
      </c>
      <c r="K3">
        <f>SUMIFS('Kalimantan Only'!$K$2:$K$110,'Kalimantan Only'!$P$2:$P$110,Parsing!$B3,'Kalimantan Only'!$S$2:$S$110,Parsing!K$2)/1000</f>
        <v>7.6E-3</v>
      </c>
      <c r="L3">
        <f>SUMIFS('Kalimantan Only'!$K$2:$K$110,'Kalimantan Only'!$P$2:$P$110,Parsing!$B3,'Kalimantan Only'!$S$2:$S$110,Parsing!L$2)/1000</f>
        <v>2.1000000000000003E-3</v>
      </c>
      <c r="M3">
        <f>SUMIFS('Kalimantan Only'!$K$2:$K$110,'Kalimantan Only'!$P$2:$P$110,Parsing!$B3,'Kalimantan Only'!$S$2:$S$110,Parsing!M$2)/1000</f>
        <v>2.6150000000000001E-3</v>
      </c>
      <c r="N3">
        <f>SUMIFS('Kalimantan Only'!$K$2:$K$110,'Kalimantan Only'!$P$2:$P$110,Parsing!$B3,'Kalimantan Only'!$S$2:$S$110,Parsing!N$2)/1000</f>
        <v>2.5000000000000001E-4</v>
      </c>
      <c r="O3">
        <f>SUMIFS('Kalimantan Only'!$K$2:$K$110,'Kalimantan Only'!$P$2:$P$110,Parsing!$B3,'Kalimantan Only'!$S$2:$S$110,Parsing!O$2)/1000</f>
        <v>2.3400000000000001E-3</v>
      </c>
      <c r="P3">
        <f>SUMIFS('Kalimantan Only'!$K$2:$K$110,'Kalimantan Only'!$P$2:$P$110,Parsing!$B3,'Kalimantan Only'!$S$2:$S$110,Parsing!P$2)/1000</f>
        <v>2E-3</v>
      </c>
      <c r="Q3">
        <f>SUMIFS('Kalimantan Only'!$K$2:$K$110,'Kalimantan Only'!$P$2:$P$110,Parsing!$B3,'Kalimantan Only'!$S$2:$S$110,Parsing!Q$2)/1000</f>
        <v>3.5499999999999998E-3</v>
      </c>
      <c r="R3">
        <f>SUMIFS('Kalimantan Only'!$K$2:$K$110,'Kalimantan Only'!$P$2:$P$110,Parsing!$B3,'Kalimantan Only'!$S$2:$S$110,Parsing!R$2)/1000</f>
        <v>1.25E-3</v>
      </c>
      <c r="S3">
        <f>SUMIFS('Kalimantan Only'!$K$2:$K$110,'Kalimantan Only'!$P$2:$P$110,Parsing!$B3,'Kalimantan Only'!$S$2:$S$110,Parsing!S$2)/1000</f>
        <v>6.0000000000000001E-3</v>
      </c>
      <c r="T3">
        <f>SUMIFS('Kalimantan Only'!$K$2:$K$110,'Kalimantan Only'!$P$2:$P$110,Parsing!$B3,'Kalimantan Only'!$S$2:$S$110,Parsing!T$2)/1000</f>
        <v>0.04</v>
      </c>
      <c r="U3">
        <f>SUMIFS('Kalimantan Only'!$K$2:$K$110,'Kalimantan Only'!$P$2:$P$110,Parsing!$B3,'Kalimantan Only'!$S$2:$S$110,Parsing!U$2)/1000</f>
        <v>2.1999999999999999E-2</v>
      </c>
      <c r="V3">
        <f>SUMIFS('Kalimantan Only'!$K$2:$K$110,'Kalimantan Only'!$P$2:$P$110,Parsing!$B3,'Kalimantan Only'!$S$2:$S$110,Parsing!V$2)/1000</f>
        <v>8.5000000000000006E-3</v>
      </c>
      <c r="W3">
        <f>SUMIFS('Kalimantan Only'!$K$2:$K$110,'Kalimantan Only'!$P$2:$P$110,Parsing!$B3,'Kalimantan Only'!$S$2:$S$110,Parsing!W$2)/1000</f>
        <v>0</v>
      </c>
      <c r="X3">
        <f>SUMIFS('Kalimantan Only'!$K$2:$K$110,'Kalimantan Only'!$P$2:$P$110,Parsing!$B3,'Kalimantan Only'!$S$2:$S$110,Parsing!X$2)/1000</f>
        <v>0</v>
      </c>
      <c r="Y3">
        <f>SUMIFS('Kalimantan Only'!$K$2:$K$110,'Kalimantan Only'!$P$2:$P$110,Parsing!$B3,'Kalimantan Only'!$S$2:$S$110,Parsing!Y$2)/1000</f>
        <v>0</v>
      </c>
      <c r="Z3">
        <f>SUMIFS('Kalimantan Only'!$K$2:$K$110,'Kalimantan Only'!$P$2:$P$110,Parsing!$B3,'Kalimantan Only'!$S$2:$S$110,Parsing!Z$2)/1000</f>
        <v>5.6000000000000001E-2</v>
      </c>
      <c r="AA3">
        <f>SUMIFS('Kalimantan Only'!$K$2:$K$110,'Kalimantan Only'!$P$2:$P$110,Parsing!$B3,'Kalimantan Only'!$S$2:$S$110,Parsing!AA$2)/1000</f>
        <v>1E-4</v>
      </c>
      <c r="AB3">
        <f>SUMIFS('Kalimantan Only'!$K$2:$K$110,'Kalimantan Only'!$P$2:$P$110,Parsing!$B3,'Kalimantan Only'!$S$2:$S$110,Parsing!AB$2)/1000</f>
        <v>3.0000000000000001E-3</v>
      </c>
      <c r="AD3">
        <f t="shared" ref="AD3:AD5" si="1">SUM(G3:AB3)</f>
        <v>0.196655</v>
      </c>
    </row>
    <row r="4" spans="2:30">
      <c r="B4" t="str">
        <v>ELCGAS</v>
      </c>
      <c r="C4" s="8">
        <f>SUMIFS('Kalimantan Only'!$J$2:$J$110,'Kalimantan Only'!$P$2:$P$110,Parsing!$B4)</f>
        <v>575.96400000000006</v>
      </c>
      <c r="D4" s="8">
        <f>SUMIFS('Kalimantan Only'!$K$2:$K$110,'Kalimantan Only'!$P$2:$P$110,Parsing!$B4)</f>
        <v>528.70000000000005</v>
      </c>
      <c r="E4" s="146">
        <f>AVERAGEIFS('Kalimantan Only'!$L$2:$L$110,'Kalimantan Only'!$P$2:$P$110,Parsing!$B4)</f>
        <v>0.85000000000000009</v>
      </c>
      <c r="F4" s="146">
        <f>SUMIFS('Kalimantan Only'!$AD$2:$AD$110,'Kalimantan Only'!$P$2:$P$110,Parsing!$B4)/Parsing!D4</f>
        <v>0.30248345618649353</v>
      </c>
      <c r="G4">
        <f>SUMIFS('Kalimantan Only'!$K$2:$K$110,'Kalimantan Only'!$P$2:$P$110,Parsing!$B4,'Kalimantan Only'!$S$2:$S$110,Parsing!G$2)/1000</f>
        <v>1.6500000000000001E-2</v>
      </c>
      <c r="H4">
        <f>SUMIFS('Kalimantan Only'!$K$2:$K$110,'Kalimantan Only'!$P$2:$P$110,Parsing!$B4,'Kalimantan Only'!$S$2:$S$110,Parsing!H$2)/1000</f>
        <v>0</v>
      </c>
      <c r="I4">
        <f>SUMIFS('Kalimantan Only'!$K$2:$K$110,'Kalimantan Only'!$P$2:$P$110,Parsing!$B4,'Kalimantan Only'!$S$2:$S$110,Parsing!I$2)/1000</f>
        <v>0</v>
      </c>
      <c r="J4">
        <f>SUMIFS('Kalimantan Only'!$K$2:$K$110,'Kalimantan Only'!$P$2:$P$110,Parsing!$B4,'Kalimantan Only'!$S$2:$S$110,Parsing!J$2)/1000</f>
        <v>0</v>
      </c>
      <c r="K4">
        <f>SUMIFS('Kalimantan Only'!$K$2:$K$110,'Kalimantan Only'!$P$2:$P$110,Parsing!$B4,'Kalimantan Only'!$S$2:$S$110,Parsing!K$2)/1000</f>
        <v>0.04</v>
      </c>
      <c r="L4">
        <f>SUMIFS('Kalimantan Only'!$K$2:$K$110,'Kalimantan Only'!$P$2:$P$110,Parsing!$B4,'Kalimantan Only'!$S$2:$S$110,Parsing!L$2)/1000</f>
        <v>1.4E-2</v>
      </c>
      <c r="M4">
        <f>SUMIFS('Kalimantan Only'!$K$2:$K$110,'Kalimantan Only'!$P$2:$P$110,Parsing!$B4,'Kalimantan Only'!$S$2:$S$110,Parsing!M$2)/1000</f>
        <v>0</v>
      </c>
      <c r="N4">
        <f>SUMIFS('Kalimantan Only'!$K$2:$K$110,'Kalimantan Only'!$P$2:$P$110,Parsing!$B4,'Kalimantan Only'!$S$2:$S$110,Parsing!N$2)/1000</f>
        <v>0</v>
      </c>
      <c r="O4">
        <f>SUMIFS('Kalimantan Only'!$K$2:$K$110,'Kalimantan Only'!$P$2:$P$110,Parsing!$B4,'Kalimantan Only'!$S$2:$S$110,Parsing!O$2)/1000</f>
        <v>0</v>
      </c>
      <c r="P4">
        <f>SUMIFS('Kalimantan Only'!$K$2:$K$110,'Kalimantan Only'!$P$2:$P$110,Parsing!$B4,'Kalimantan Only'!$S$2:$S$110,Parsing!P$2)/1000</f>
        <v>0</v>
      </c>
      <c r="Q4">
        <f>SUMIFS('Kalimantan Only'!$K$2:$K$110,'Kalimantan Only'!$P$2:$P$110,Parsing!$B4,'Kalimantan Only'!$S$2:$S$110,Parsing!Q$2)/1000</f>
        <v>0</v>
      </c>
      <c r="R4">
        <f>SUMIFS('Kalimantan Only'!$K$2:$K$110,'Kalimantan Only'!$P$2:$P$110,Parsing!$B4,'Kalimantan Only'!$S$2:$S$110,Parsing!R$2)/1000</f>
        <v>0</v>
      </c>
      <c r="S4">
        <f>SUMIFS('Kalimantan Only'!$K$2:$K$110,'Kalimantan Only'!$P$2:$P$110,Parsing!$B4,'Kalimantan Only'!$S$2:$S$110,Parsing!S$2)/1000</f>
        <v>6.0000000000000001E-3</v>
      </c>
      <c r="T4">
        <f>SUMIFS('Kalimantan Only'!$K$2:$K$110,'Kalimantan Only'!$P$2:$P$110,Parsing!$B4,'Kalimantan Only'!$S$2:$S$110,Parsing!T$2)/1000</f>
        <v>4.4999999999999998E-2</v>
      </c>
      <c r="U4">
        <f>SUMIFS('Kalimantan Only'!$K$2:$K$110,'Kalimantan Only'!$P$2:$P$110,Parsing!$B4,'Kalimantan Only'!$S$2:$S$110,Parsing!U$2)/1000</f>
        <v>3.2000000000000002E-3</v>
      </c>
      <c r="V4">
        <f>SUMIFS('Kalimantan Only'!$K$2:$K$110,'Kalimantan Only'!$P$2:$P$110,Parsing!$B4,'Kalimantan Only'!$S$2:$S$110,Parsing!V$2)/1000</f>
        <v>0</v>
      </c>
      <c r="W4">
        <f>SUMIFS('Kalimantan Only'!$K$2:$K$110,'Kalimantan Only'!$P$2:$P$110,Parsing!$B4,'Kalimantan Only'!$S$2:$S$110,Parsing!W$2)/1000</f>
        <v>0</v>
      </c>
      <c r="X4">
        <f>SUMIFS('Kalimantan Only'!$K$2:$K$110,'Kalimantan Only'!$P$2:$P$110,Parsing!$B4,'Kalimantan Only'!$S$2:$S$110,Parsing!X$2)/1000</f>
        <v>0.17599999999999999</v>
      </c>
      <c r="Y4">
        <f>SUMIFS('Kalimantan Only'!$K$2:$K$110,'Kalimantan Only'!$P$2:$P$110,Parsing!$B4,'Kalimantan Only'!$S$2:$S$110,Parsing!Y$2)/1000</f>
        <v>4.5999999999999999E-2</v>
      </c>
      <c r="Z4">
        <f>SUMIFS('Kalimantan Only'!$K$2:$K$110,'Kalimantan Only'!$P$2:$P$110,Parsing!$B4,'Kalimantan Only'!$S$2:$S$110,Parsing!Z$2)/1000</f>
        <v>0.152</v>
      </c>
      <c r="AA4">
        <f>SUMIFS('Kalimantan Only'!$K$2:$K$110,'Kalimantan Only'!$P$2:$P$110,Parsing!$B4,'Kalimantan Only'!$S$2:$S$110,Parsing!AA$2)/1000</f>
        <v>7.4999999999999997E-3</v>
      </c>
      <c r="AB4">
        <f>SUMIFS('Kalimantan Only'!$K$2:$K$110,'Kalimantan Only'!$P$2:$P$110,Parsing!$B4,'Kalimantan Only'!$S$2:$S$110,Parsing!AB$2)/1000</f>
        <v>2.2499999999999999E-2</v>
      </c>
      <c r="AD4">
        <f t="shared" si="1"/>
        <v>0.52869999999999984</v>
      </c>
    </row>
    <row r="5" spans="2:30">
      <c r="B5" t="str">
        <v>ELCCOA</v>
      </c>
      <c r="C5" s="8">
        <f>SUMIFS('Kalimantan Only'!$J$2:$J$110,'Kalimantan Only'!$P$2:$P$110,Parsing!$B5)</f>
        <v>776</v>
      </c>
      <c r="D5" s="8">
        <f>SUMIFS('Kalimantan Only'!$K$2:$K$110,'Kalimantan Only'!$P$2:$P$110,Parsing!$B5)</f>
        <v>657.5</v>
      </c>
      <c r="E5" s="146">
        <f>AVERAGEIFS('Kalimantan Only'!$L$2:$L$110,'Kalimantan Only'!$P$2:$P$110,Parsing!$B5)</f>
        <v>0.84999999999999976</v>
      </c>
      <c r="F5" s="146">
        <f>SUMIFS('Kalimantan Only'!$AD$2:$AD$110,'Kalimantan Only'!$P$2:$P$110,Parsing!$B5)/Parsing!D5</f>
        <v>0.32942718242790708</v>
      </c>
      <c r="G5">
        <f>SUMIFS('Kalimantan Only'!$K$2:$K$110,'Kalimantan Only'!$P$2:$P$110,Parsing!$B5,'Kalimantan Only'!$S$2:$S$110,Parsing!G$2)/1000</f>
        <v>0</v>
      </c>
      <c r="H5">
        <f>SUMIFS('Kalimantan Only'!$K$2:$K$110,'Kalimantan Only'!$P$2:$P$110,Parsing!$B5,'Kalimantan Only'!$S$2:$S$110,Parsing!H$2)/1000</f>
        <v>0</v>
      </c>
      <c r="I5">
        <f>SUMIFS('Kalimantan Only'!$K$2:$K$110,'Kalimantan Only'!$P$2:$P$110,Parsing!$B5,'Kalimantan Only'!$S$2:$S$110,Parsing!I$2)/1000</f>
        <v>0</v>
      </c>
      <c r="J5">
        <f>SUMIFS('Kalimantan Only'!$K$2:$K$110,'Kalimantan Only'!$P$2:$P$110,Parsing!$B5,'Kalimantan Only'!$S$2:$S$110,Parsing!J$2)/1000</f>
        <v>0</v>
      </c>
      <c r="K5">
        <f>SUMIFS('Kalimantan Only'!$K$2:$K$110,'Kalimantan Only'!$P$2:$P$110,Parsing!$B5,'Kalimantan Only'!$S$2:$S$110,Parsing!K$2)/1000</f>
        <v>0</v>
      </c>
      <c r="L5">
        <f>SUMIFS('Kalimantan Only'!$K$2:$K$110,'Kalimantan Only'!$P$2:$P$110,Parsing!$B5,'Kalimantan Only'!$S$2:$S$110,Parsing!L$2)/1000</f>
        <v>0</v>
      </c>
      <c r="M5">
        <f>SUMIFS('Kalimantan Only'!$K$2:$K$110,'Kalimantan Only'!$P$2:$P$110,Parsing!$B5,'Kalimantan Only'!$S$2:$S$110,Parsing!M$2)/1000</f>
        <v>0.108</v>
      </c>
      <c r="N5">
        <f>SUMIFS('Kalimantan Only'!$K$2:$K$110,'Kalimantan Only'!$P$2:$P$110,Parsing!$B5,'Kalimantan Only'!$S$2:$S$110,Parsing!N$2)/1000</f>
        <v>0</v>
      </c>
      <c r="O5">
        <f>SUMIFS('Kalimantan Only'!$K$2:$K$110,'Kalimantan Only'!$P$2:$P$110,Parsing!$B5,'Kalimantan Only'!$S$2:$S$110,Parsing!O$2)/1000</f>
        <v>0</v>
      </c>
      <c r="P5">
        <f>SUMIFS('Kalimantan Only'!$K$2:$K$110,'Kalimantan Only'!$P$2:$P$110,Parsing!$B5,'Kalimantan Only'!$S$2:$S$110,Parsing!P$2)/1000</f>
        <v>0</v>
      </c>
      <c r="Q5">
        <f>SUMIFS('Kalimantan Only'!$K$2:$K$110,'Kalimantan Only'!$P$2:$P$110,Parsing!$B5,'Kalimantan Only'!$S$2:$S$110,Parsing!Q$2)/1000</f>
        <v>0</v>
      </c>
      <c r="R5">
        <f>SUMIFS('Kalimantan Only'!$K$2:$K$110,'Kalimantan Only'!$P$2:$P$110,Parsing!$B5,'Kalimantan Only'!$S$2:$S$110,Parsing!R$2)/1000</f>
        <v>0</v>
      </c>
      <c r="S5">
        <f>SUMIFS('Kalimantan Only'!$K$2:$K$110,'Kalimantan Only'!$P$2:$P$110,Parsing!$B5,'Kalimantan Only'!$S$2:$S$110,Parsing!S$2)/1000</f>
        <v>4.4999999999999998E-2</v>
      </c>
      <c r="T5">
        <f>SUMIFS('Kalimantan Only'!$K$2:$K$110,'Kalimantan Only'!$P$2:$P$110,Parsing!$B5,'Kalimantan Only'!$S$2:$S$110,Parsing!T$2)/1000</f>
        <v>0</v>
      </c>
      <c r="U5">
        <f>SUMIFS('Kalimantan Only'!$K$2:$K$110,'Kalimantan Only'!$P$2:$P$110,Parsing!$B5,'Kalimantan Only'!$S$2:$S$110,Parsing!U$2)/1000</f>
        <v>0</v>
      </c>
      <c r="V5">
        <f>SUMIFS('Kalimantan Only'!$K$2:$K$110,'Kalimantan Only'!$P$2:$P$110,Parsing!$B5,'Kalimantan Only'!$S$2:$S$110,Parsing!V$2)/1000</f>
        <v>0</v>
      </c>
      <c r="W5">
        <f>SUMIFS('Kalimantan Only'!$K$2:$K$110,'Kalimantan Only'!$P$2:$P$110,Parsing!$B5,'Kalimantan Only'!$S$2:$S$110,Parsing!W$2)/1000</f>
        <v>0.121</v>
      </c>
      <c r="X5">
        <f>SUMIFS('Kalimantan Only'!$K$2:$K$110,'Kalimantan Only'!$P$2:$P$110,Parsing!$B5,'Kalimantan Only'!$S$2:$S$110,Parsing!X$2)/1000</f>
        <v>7.1999999999999995E-2</v>
      </c>
      <c r="Y5">
        <f>SUMIFS('Kalimantan Only'!$K$2:$K$110,'Kalimantan Only'!$P$2:$P$110,Parsing!$B5,'Kalimantan Only'!$S$2:$S$110,Parsing!Y$2)/1000</f>
        <v>0</v>
      </c>
      <c r="Z5">
        <f>SUMIFS('Kalimantan Only'!$K$2:$K$110,'Kalimantan Only'!$P$2:$P$110,Parsing!$B5,'Kalimantan Only'!$S$2:$S$110,Parsing!Z$2)/1000</f>
        <v>4.2000000000000003E-2</v>
      </c>
      <c r="AA5">
        <f>SUMIFS('Kalimantan Only'!$K$2:$K$110,'Kalimantan Only'!$P$2:$P$110,Parsing!$B5,'Kalimantan Only'!$S$2:$S$110,Parsing!AA$2)/1000</f>
        <v>0.24199999999999999</v>
      </c>
      <c r="AB5">
        <f>SUMIFS('Kalimantan Only'!$K$2:$K$110,'Kalimantan Only'!$P$2:$P$110,Parsing!$B5,'Kalimantan Only'!$S$2:$S$110,Parsing!AB$2)/1000</f>
        <v>2.75E-2</v>
      </c>
      <c r="AD5">
        <f t="shared" si="1"/>
        <v>0.65749999999999997</v>
      </c>
    </row>
    <row r="7" spans="2:30">
      <c r="G7" s="181">
        <v>1985</v>
      </c>
      <c r="H7" s="181">
        <v>1995</v>
      </c>
      <c r="I7" s="181">
        <v>2000</v>
      </c>
      <c r="J7" s="181">
        <v>2005</v>
      </c>
      <c r="K7" s="181">
        <v>2010</v>
      </c>
      <c r="L7" s="181">
        <v>2015</v>
      </c>
      <c r="M7" s="181">
        <v>2016</v>
      </c>
      <c r="N7" s="181">
        <v>2017</v>
      </c>
      <c r="O7" s="181">
        <v>2018</v>
      </c>
      <c r="P7" s="181">
        <v>2019</v>
      </c>
      <c r="Q7" s="181">
        <v>2020</v>
      </c>
      <c r="S7">
        <f>SUM(S8:S12)</f>
        <v>1.7318549999999999</v>
      </c>
    </row>
    <row r="8" spans="2:30">
      <c r="F8" s="181" t="str">
        <f>B3</f>
        <v>ELCOIL</v>
      </c>
      <c r="G8">
        <f>SUM(G3)</f>
        <v>0</v>
      </c>
      <c r="H8">
        <f>SUM(H3:I3)</f>
        <v>2.5250000000000002E-2</v>
      </c>
      <c r="I8">
        <f>SUM(J3:M3)</f>
        <v>2.6415000000000001E-2</v>
      </c>
      <c r="J8">
        <f>SUM(N3:R3)</f>
        <v>9.389999999999999E-3</v>
      </c>
      <c r="K8">
        <f>SUM(S3:U3)</f>
        <v>6.8000000000000005E-2</v>
      </c>
      <c r="L8">
        <f>SUM(V3:Y3)</f>
        <v>8.5000000000000006E-3</v>
      </c>
      <c r="M8">
        <f>Z3</f>
        <v>5.6000000000000001E-2</v>
      </c>
      <c r="N8">
        <f t="shared" ref="N8:O8" si="2">AA3</f>
        <v>1E-4</v>
      </c>
      <c r="O8">
        <f t="shared" si="2"/>
        <v>3.0000000000000001E-3</v>
      </c>
      <c r="P8">
        <v>0</v>
      </c>
      <c r="Q8">
        <v>0</v>
      </c>
      <c r="S8">
        <f>SUM(G8:Q8)</f>
        <v>0.196655</v>
      </c>
    </row>
    <row r="9" spans="2:30">
      <c r="F9" s="181" t="str">
        <f t="shared" ref="F9:F10" si="3">B4</f>
        <v>ELCGAS</v>
      </c>
      <c r="G9">
        <f t="shared" ref="G9:G10" si="4">SUM(G4)</f>
        <v>1.6500000000000001E-2</v>
      </c>
      <c r="H9">
        <f t="shared" ref="H9:H10" si="5">SUM(H4:I4)</f>
        <v>0</v>
      </c>
      <c r="I9">
        <f t="shared" ref="I9:I10" si="6">SUM(J4:M4)</f>
        <v>5.3999999999999999E-2</v>
      </c>
      <c r="J9">
        <f t="shared" ref="J9:J10" si="7">SUM(N4:R4)</f>
        <v>0</v>
      </c>
      <c r="K9">
        <f t="shared" ref="K9:K10" si="8">SUM(S4:U4)</f>
        <v>5.4199999999999998E-2</v>
      </c>
      <c r="L9">
        <f t="shared" ref="L9:L10" si="9">SUM(V4:Y4)</f>
        <v>0.22199999999999998</v>
      </c>
      <c r="M9">
        <f t="shared" ref="M9:M10" si="10">Z4</f>
        <v>0.152</v>
      </c>
      <c r="N9">
        <f t="shared" ref="N9:N10" si="11">AA4</f>
        <v>7.4999999999999997E-3</v>
      </c>
      <c r="O9">
        <f t="shared" ref="O9:O10" si="12">AB4</f>
        <v>2.2499999999999999E-2</v>
      </c>
      <c r="P9">
        <v>0.3</v>
      </c>
      <c r="Q9">
        <v>0</v>
      </c>
      <c r="S9">
        <f t="shared" ref="S9:S12" si="13">SUM(G9:Q9)</f>
        <v>0.82869999999999999</v>
      </c>
    </row>
    <row r="10" spans="2:30">
      <c r="F10" s="181" t="str">
        <f t="shared" si="3"/>
        <v>ELCCOA</v>
      </c>
      <c r="G10">
        <f t="shared" si="4"/>
        <v>0</v>
      </c>
      <c r="H10">
        <f t="shared" si="5"/>
        <v>0</v>
      </c>
      <c r="I10">
        <f t="shared" si="6"/>
        <v>0.108</v>
      </c>
      <c r="J10">
        <f t="shared" si="7"/>
        <v>0</v>
      </c>
      <c r="K10">
        <f t="shared" si="8"/>
        <v>4.4999999999999998E-2</v>
      </c>
      <c r="L10">
        <f t="shared" si="9"/>
        <v>0.193</v>
      </c>
      <c r="M10">
        <f t="shared" si="10"/>
        <v>4.2000000000000003E-2</v>
      </c>
      <c r="N10">
        <f t="shared" si="11"/>
        <v>0.24199999999999999</v>
      </c>
      <c r="O10">
        <f t="shared" si="12"/>
        <v>2.75E-2</v>
      </c>
      <c r="P10">
        <v>0</v>
      </c>
      <c r="Q10">
        <v>0</v>
      </c>
      <c r="S10">
        <f t="shared" si="13"/>
        <v>0.65749999999999986</v>
      </c>
    </row>
    <row r="11" spans="2:30">
      <c r="F11" t="s">
        <v>433</v>
      </c>
      <c r="P11">
        <v>0.03</v>
      </c>
      <c r="S11">
        <f t="shared" si="13"/>
        <v>0.03</v>
      </c>
    </row>
    <row r="12" spans="2:30">
      <c r="F12" t="s">
        <v>432</v>
      </c>
      <c r="Q12">
        <v>1.9E-2</v>
      </c>
      <c r="S12">
        <f t="shared" si="13"/>
        <v>1.9E-2</v>
      </c>
    </row>
    <row r="17" spans="2:23" ht="28">
      <c r="B17" s="17" t="s">
        <v>336</v>
      </c>
      <c r="C17" s="17" t="s">
        <v>337</v>
      </c>
      <c r="D17" s="17" t="s">
        <v>338</v>
      </c>
      <c r="E17" s="103" t="s">
        <v>293</v>
      </c>
      <c r="F17" s="103" t="s">
        <v>413</v>
      </c>
      <c r="G17" s="103" t="s">
        <v>292</v>
      </c>
      <c r="H17" s="103" t="s">
        <v>414</v>
      </c>
      <c r="I17" s="103" t="s">
        <v>415</v>
      </c>
      <c r="J17" s="103" t="s">
        <v>394</v>
      </c>
      <c r="K17" s="103" t="s">
        <v>416</v>
      </c>
      <c r="L17" s="103" t="s">
        <v>417</v>
      </c>
      <c r="M17" s="103" t="s">
        <v>435</v>
      </c>
      <c r="N17" s="103" t="s">
        <v>436</v>
      </c>
      <c r="O17" s="103" t="s">
        <v>437</v>
      </c>
      <c r="P17" s="103" t="s">
        <v>438</v>
      </c>
      <c r="Q17" s="103" t="s">
        <v>439</v>
      </c>
      <c r="R17" s="103" t="s">
        <v>440</v>
      </c>
      <c r="S17" s="103" t="s">
        <v>441</v>
      </c>
      <c r="T17" s="103" t="s">
        <v>442</v>
      </c>
      <c r="U17" s="103" t="s">
        <v>443</v>
      </c>
      <c r="V17" s="103" t="s">
        <v>444</v>
      </c>
      <c r="W17" s="103" t="s">
        <v>445</v>
      </c>
    </row>
    <row r="18" spans="2:23" ht="24">
      <c r="B18" s="15" t="s">
        <v>348</v>
      </c>
      <c r="C18" s="15" t="s">
        <v>349</v>
      </c>
      <c r="D18" s="15" t="s">
        <v>350</v>
      </c>
      <c r="E18" s="15" t="s">
        <v>20</v>
      </c>
      <c r="F18" s="123" t="s">
        <v>418</v>
      </c>
      <c r="G18" s="15" t="s">
        <v>419</v>
      </c>
      <c r="H18" s="15" t="s">
        <v>420</v>
      </c>
      <c r="I18" s="15" t="s">
        <v>421</v>
      </c>
      <c r="J18" s="104" t="s">
        <v>21</v>
      </c>
      <c r="K18" s="15" t="s">
        <v>422</v>
      </c>
      <c r="L18" s="15" t="s">
        <v>423</v>
      </c>
      <c r="M18" s="15" t="s">
        <v>427</v>
      </c>
      <c r="N18" s="15" t="s">
        <v>427</v>
      </c>
      <c r="O18" s="15" t="s">
        <v>427</v>
      </c>
      <c r="P18" s="15" t="s">
        <v>427</v>
      </c>
      <c r="Q18" s="15" t="s">
        <v>427</v>
      </c>
      <c r="R18" s="15" t="s">
        <v>427</v>
      </c>
      <c r="S18" s="15" t="s">
        <v>427</v>
      </c>
      <c r="T18" s="15" t="s">
        <v>427</v>
      </c>
      <c r="U18" s="15" t="s">
        <v>427</v>
      </c>
      <c r="V18" s="15" t="s">
        <v>427</v>
      </c>
      <c r="W18" s="15" t="s">
        <v>427</v>
      </c>
    </row>
    <row r="19" spans="2:23" ht="25" thickBot="1">
      <c r="B19" s="14" t="s">
        <v>360</v>
      </c>
      <c r="C19" s="14"/>
      <c r="D19" s="14"/>
      <c r="E19" s="13"/>
      <c r="F19" s="105"/>
      <c r="G19" s="13" t="s">
        <v>446</v>
      </c>
      <c r="H19" s="13" t="s">
        <v>446</v>
      </c>
      <c r="I19" s="13" t="s">
        <v>447</v>
      </c>
      <c r="J19" s="13" t="s">
        <v>396</v>
      </c>
      <c r="K19" s="13" t="s">
        <v>448</v>
      </c>
      <c r="L19" s="13"/>
      <c r="M19" s="13" t="s">
        <v>371</v>
      </c>
      <c r="N19" s="13" t="s">
        <v>371</v>
      </c>
      <c r="O19" s="13" t="s">
        <v>371</v>
      </c>
      <c r="P19" s="13" t="s">
        <v>371</v>
      </c>
      <c r="Q19" s="13" t="s">
        <v>371</v>
      </c>
      <c r="R19" s="13" t="s">
        <v>371</v>
      </c>
      <c r="S19" s="13" t="s">
        <v>371</v>
      </c>
      <c r="T19" s="13" t="s">
        <v>371</v>
      </c>
      <c r="U19" s="13" t="s">
        <v>371</v>
      </c>
      <c r="V19" s="13" t="s">
        <v>371</v>
      </c>
      <c r="W19" s="13" t="s">
        <v>371</v>
      </c>
    </row>
    <row r="20" spans="2:23">
      <c r="B20" s="28"/>
      <c r="C20" s="28" t="s">
        <v>64</v>
      </c>
      <c r="D20" s="28" t="s">
        <v>203</v>
      </c>
      <c r="E20" s="100">
        <v>0.28999999999999998</v>
      </c>
      <c r="F20" s="100">
        <v>0.84999999999999976</v>
      </c>
      <c r="G20" s="99"/>
      <c r="H20" s="100">
        <v>56</v>
      </c>
      <c r="I20" s="100">
        <v>4.4444444444444446E-2</v>
      </c>
      <c r="J20" s="99">
        <v>25</v>
      </c>
      <c r="K20" s="124">
        <v>31.536000000000001</v>
      </c>
      <c r="L20" s="100">
        <v>1</v>
      </c>
      <c r="M20" s="196">
        <v>0</v>
      </c>
      <c r="N20" s="196">
        <v>0</v>
      </c>
      <c r="O20" s="195">
        <v>0.108</v>
      </c>
      <c r="P20" s="195">
        <v>0</v>
      </c>
      <c r="Q20" s="195">
        <v>4.4999999999999998E-2</v>
      </c>
      <c r="R20" s="195">
        <v>0.193</v>
      </c>
      <c r="S20" s="195">
        <v>4.2000000000000003E-2</v>
      </c>
      <c r="T20" s="195">
        <v>0.24199999999999999</v>
      </c>
      <c r="U20" s="195">
        <v>2.75E-2</v>
      </c>
      <c r="V20" s="195">
        <v>0</v>
      </c>
      <c r="W20" s="195">
        <v>0</v>
      </c>
    </row>
    <row r="21" spans="2:23">
      <c r="B21" s="28"/>
      <c r="C21" s="28" t="s">
        <v>45</v>
      </c>
      <c r="D21" s="28" t="s">
        <v>203</v>
      </c>
      <c r="E21" s="100">
        <v>0.30248345618649353</v>
      </c>
      <c r="F21" s="100">
        <v>0.85000000000000009</v>
      </c>
      <c r="G21" s="99"/>
      <c r="H21" s="100">
        <v>23.2</v>
      </c>
      <c r="I21" s="100"/>
      <c r="J21" s="99">
        <v>20</v>
      </c>
      <c r="K21" s="124">
        <v>31.536000000000001</v>
      </c>
      <c r="L21" s="100">
        <v>1</v>
      </c>
      <c r="M21" s="195">
        <v>1.6500000000000001E-2</v>
      </c>
      <c r="N21" s="195">
        <v>0</v>
      </c>
      <c r="O21" s="195">
        <v>5.3999999999999999E-2</v>
      </c>
      <c r="P21" s="195">
        <v>0</v>
      </c>
      <c r="Q21" s="195">
        <v>5.4199999999999998E-2</v>
      </c>
      <c r="R21" s="195">
        <v>0.22199999999999998</v>
      </c>
      <c r="S21" s="195">
        <v>0.152</v>
      </c>
      <c r="T21" s="195">
        <v>7.4999999999999997E-3</v>
      </c>
      <c r="U21" s="195">
        <v>2.2499999999999999E-2</v>
      </c>
      <c r="V21" s="195">
        <v>0.3</v>
      </c>
      <c r="W21" s="195">
        <v>0</v>
      </c>
    </row>
    <row r="22" spans="2:23">
      <c r="B22" s="28"/>
      <c r="C22" s="28" t="s">
        <v>35</v>
      </c>
      <c r="D22" s="28" t="s">
        <v>203</v>
      </c>
      <c r="E22" s="100">
        <v>0.31338197955563962</v>
      </c>
      <c r="F22" s="100">
        <v>0.5</v>
      </c>
      <c r="G22" s="99"/>
      <c r="H22" s="100">
        <v>8</v>
      </c>
      <c r="I22" s="100">
        <v>1.7777777777777779</v>
      </c>
      <c r="J22" s="99">
        <v>10</v>
      </c>
      <c r="K22" s="124">
        <v>31.536000000000001</v>
      </c>
      <c r="L22" s="100">
        <v>1</v>
      </c>
      <c r="M22" s="195">
        <v>0</v>
      </c>
      <c r="N22" s="195">
        <v>2.5250000000000002E-2</v>
      </c>
      <c r="O22" s="195">
        <v>2.6415000000000001E-2</v>
      </c>
      <c r="P22" s="195">
        <v>9.389999999999999E-3</v>
      </c>
      <c r="Q22" s="195">
        <v>6.8000000000000005E-2</v>
      </c>
      <c r="R22" s="195">
        <v>8.5000000000000006E-3</v>
      </c>
      <c r="S22" s="195">
        <v>5.6000000000000001E-2</v>
      </c>
      <c r="T22" s="195">
        <v>1E-4</v>
      </c>
      <c r="U22" s="195">
        <v>3.0000000000000001E-3</v>
      </c>
      <c r="V22" s="195">
        <v>0</v>
      </c>
      <c r="W22" s="195">
        <v>0</v>
      </c>
    </row>
    <row r="23" spans="2:23">
      <c r="B23" s="28"/>
      <c r="C23" s="28" t="s">
        <v>387</v>
      </c>
      <c r="D23" s="28" t="s">
        <v>203</v>
      </c>
      <c r="E23" s="99">
        <v>0.20499999999999999</v>
      </c>
      <c r="F23" s="100">
        <v>0.15593607305936072</v>
      </c>
      <c r="G23" s="99"/>
      <c r="H23" s="100">
        <v>18</v>
      </c>
      <c r="I23" s="99"/>
      <c r="J23" s="99">
        <v>20</v>
      </c>
      <c r="K23" s="124">
        <v>31.536000000000001</v>
      </c>
      <c r="L23" s="100">
        <v>1</v>
      </c>
      <c r="M23" s="196"/>
      <c r="N23" s="196"/>
      <c r="O23" s="196"/>
      <c r="P23" s="196"/>
      <c r="Q23" s="196"/>
      <c r="R23" s="196"/>
      <c r="S23" s="196"/>
      <c r="T23" s="196"/>
      <c r="U23" s="196"/>
      <c r="V23" s="195">
        <v>0</v>
      </c>
      <c r="W23" s="195">
        <v>1.9E-2</v>
      </c>
    </row>
    <row r="24" spans="2:23">
      <c r="B24" s="28"/>
      <c r="C24" s="28" t="s">
        <v>389</v>
      </c>
      <c r="D24" s="28" t="s">
        <v>203</v>
      </c>
      <c r="E24" s="99">
        <v>0.8</v>
      </c>
      <c r="F24" s="99">
        <v>0.76</v>
      </c>
      <c r="G24" s="99"/>
      <c r="H24" s="100">
        <v>66.3</v>
      </c>
      <c r="I24" s="100">
        <v>0.17499999999999999</v>
      </c>
      <c r="J24" s="99">
        <v>50</v>
      </c>
      <c r="K24" s="124">
        <v>31.536000000000001</v>
      </c>
      <c r="L24" s="100">
        <v>1</v>
      </c>
      <c r="M24" s="196"/>
      <c r="N24" s="196"/>
      <c r="O24" s="196"/>
      <c r="P24" s="196"/>
      <c r="Q24" s="196"/>
      <c r="R24" s="196"/>
      <c r="S24" s="196"/>
      <c r="T24" s="196"/>
      <c r="U24" s="196"/>
      <c r="V24" s="195">
        <v>0.03</v>
      </c>
      <c r="W24" s="19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CA29-8727-534C-B406-B1B1F8A6EC3E}">
  <sheetPr>
    <tabColor rgb="FFFF0000"/>
  </sheetPr>
  <dimension ref="A1:AD148"/>
  <sheetViews>
    <sheetView showGridLines="0" tabSelected="1" topLeftCell="A83" zoomScale="75" workbookViewId="0">
      <selection activeCell="D118" sqref="D118"/>
    </sheetView>
  </sheetViews>
  <sheetFormatPr baseColWidth="10" defaultColWidth="10.83203125" defaultRowHeight="15" outlineLevelCol="1"/>
  <cols>
    <col min="1" max="1" width="10.83203125" style="137"/>
    <col min="2" max="2" width="17.5" style="137" bestFit="1" customWidth="1"/>
    <col min="3" max="3" width="20.33203125" style="137" bestFit="1" customWidth="1" outlineLevel="1"/>
    <col min="4" max="4" width="10.83203125" style="137" customWidth="1" outlineLevel="1"/>
    <col min="5" max="5" width="10.33203125" style="137" customWidth="1" outlineLevel="1"/>
    <col min="6" max="6" width="10.83203125" style="137" customWidth="1" outlineLevel="1"/>
    <col min="7" max="7" width="13.33203125" style="137" customWidth="1" outlineLevel="1"/>
    <col min="8" max="8" width="31.33203125" style="137" customWidth="1" outlineLevel="1"/>
    <col min="9" max="9" width="10.83203125" style="137" customWidth="1" outlineLevel="1"/>
    <col min="10" max="19" width="10.83203125" style="137"/>
    <col min="20" max="20" width="6.6640625" style="137" bestFit="1" customWidth="1"/>
    <col min="21" max="16384" width="10.83203125" style="137"/>
  </cols>
  <sheetData>
    <row r="1" spans="1:30" ht="48">
      <c r="A1" s="132" t="s">
        <v>0</v>
      </c>
      <c r="B1" s="133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10</v>
      </c>
      <c r="L1" s="134" t="s">
        <v>11</v>
      </c>
      <c r="M1" s="135" t="s">
        <v>12</v>
      </c>
      <c r="N1" s="135" t="s">
        <v>13</v>
      </c>
      <c r="O1" s="134" t="s">
        <v>14</v>
      </c>
      <c r="P1" s="134" t="s">
        <v>15</v>
      </c>
      <c r="Q1" s="134" t="s">
        <v>406</v>
      </c>
      <c r="R1" s="134" t="s">
        <v>16</v>
      </c>
      <c r="S1" s="134" t="s">
        <v>17</v>
      </c>
      <c r="T1" s="134" t="s">
        <v>18</v>
      </c>
      <c r="U1" s="134" t="s">
        <v>19</v>
      </c>
      <c r="V1" s="134" t="s">
        <v>20</v>
      </c>
      <c r="W1" s="134" t="s">
        <v>21</v>
      </c>
      <c r="X1" s="134" t="s">
        <v>22</v>
      </c>
      <c r="Y1" s="134" t="s">
        <v>23</v>
      </c>
      <c r="Z1" s="134" t="s">
        <v>24</v>
      </c>
      <c r="AA1" s="134" t="s">
        <v>25</v>
      </c>
      <c r="AB1" s="136" t="s">
        <v>26</v>
      </c>
    </row>
    <row r="2" spans="1:30">
      <c r="A2" s="138">
        <v>2311</v>
      </c>
      <c r="B2" s="139" t="str">
        <f>"Exist_"&amp;RIGHT(D2,2)&amp;"_"&amp;ROUND(K2,1)&amp;"MW"&amp;"_"&amp;Q2&amp;"_"&amp;"UID"&amp;A2</f>
        <v>Exist_KS_8MW_OIL_UID2311</v>
      </c>
      <c r="C2" s="140" t="s">
        <v>27</v>
      </c>
      <c r="D2" s="140" t="s">
        <v>28</v>
      </c>
      <c r="E2" s="140" t="s">
        <v>29</v>
      </c>
      <c r="F2" s="140" t="s">
        <v>30</v>
      </c>
      <c r="G2" s="140" t="s">
        <v>31</v>
      </c>
      <c r="H2" s="140" t="s">
        <v>32</v>
      </c>
      <c r="I2" s="140">
        <v>1</v>
      </c>
      <c r="J2" s="140">
        <v>12.4</v>
      </c>
      <c r="K2" s="140">
        <v>8</v>
      </c>
      <c r="L2" s="140">
        <v>0.85</v>
      </c>
      <c r="M2" s="140">
        <v>12.4</v>
      </c>
      <c r="N2" s="140" t="s">
        <v>33</v>
      </c>
      <c r="O2" s="140" t="s">
        <v>34</v>
      </c>
      <c r="P2" s="140" t="s">
        <v>35</v>
      </c>
      <c r="Q2" s="200" t="s">
        <v>198</v>
      </c>
      <c r="R2" s="140" t="s">
        <v>36</v>
      </c>
      <c r="S2" s="141">
        <v>1993</v>
      </c>
      <c r="T2" s="140" t="s">
        <v>37</v>
      </c>
      <c r="U2" s="140">
        <v>150</v>
      </c>
      <c r="V2" s="140">
        <v>0.31338197955563979</v>
      </c>
      <c r="W2" s="140">
        <v>30</v>
      </c>
      <c r="X2" s="140">
        <v>2023</v>
      </c>
      <c r="Y2" s="140" t="s">
        <v>38</v>
      </c>
      <c r="Z2" s="140">
        <v>25</v>
      </c>
      <c r="AA2" s="140" t="s">
        <v>39</v>
      </c>
      <c r="AB2" s="142" t="s">
        <v>40</v>
      </c>
      <c r="AD2" s="137">
        <f>V2*K2</f>
        <v>2.5070558364451183</v>
      </c>
    </row>
    <row r="3" spans="1:30">
      <c r="A3" s="138">
        <v>2312</v>
      </c>
      <c r="B3" s="139" t="str">
        <f t="shared" ref="B3:B66" si="0">"Exist_"&amp;RIGHT(D3,2)&amp;"_"&amp;ROUND(K3,1)&amp;"MW"&amp;"_"&amp;Q3&amp;"_"&amp;"UID"&amp;A3</f>
        <v>Exist_KS_8MW_OIL_UID2312</v>
      </c>
      <c r="C3" s="140" t="s">
        <v>27</v>
      </c>
      <c r="D3" s="140" t="s">
        <v>28</v>
      </c>
      <c r="E3" s="140" t="s">
        <v>29</v>
      </c>
      <c r="F3" s="140" t="s">
        <v>30</v>
      </c>
      <c r="G3" s="140" t="s">
        <v>31</v>
      </c>
      <c r="H3" s="140" t="s">
        <v>41</v>
      </c>
      <c r="I3" s="140">
        <v>1</v>
      </c>
      <c r="J3" s="140">
        <v>12.4</v>
      </c>
      <c r="K3" s="140">
        <v>8</v>
      </c>
      <c r="L3" s="140">
        <v>0.85</v>
      </c>
      <c r="M3" s="140">
        <v>12.4</v>
      </c>
      <c r="N3" s="140" t="s">
        <v>33</v>
      </c>
      <c r="O3" s="140" t="s">
        <v>34</v>
      </c>
      <c r="P3" s="140" t="s">
        <v>35</v>
      </c>
      <c r="Q3" s="200" t="s">
        <v>198</v>
      </c>
      <c r="R3" s="140" t="s">
        <v>36</v>
      </c>
      <c r="S3" s="141">
        <v>1993</v>
      </c>
      <c r="T3" s="140" t="s">
        <v>37</v>
      </c>
      <c r="U3" s="140">
        <v>150</v>
      </c>
      <c r="V3" s="140">
        <v>0.31338197955563979</v>
      </c>
      <c r="W3" s="140">
        <v>30</v>
      </c>
      <c r="X3" s="140">
        <v>2023</v>
      </c>
      <c r="Y3" s="140" t="s">
        <v>38</v>
      </c>
      <c r="Z3" s="140">
        <v>25</v>
      </c>
      <c r="AA3" s="140" t="s">
        <v>39</v>
      </c>
      <c r="AB3" s="142" t="s">
        <v>40</v>
      </c>
      <c r="AD3" s="137">
        <f t="shared" ref="AD3:AD66" si="1">V3*K3</f>
        <v>2.5070558364451183</v>
      </c>
    </row>
    <row r="4" spans="1:30">
      <c r="A4" s="138">
        <v>2313</v>
      </c>
      <c r="B4" s="139" t="str">
        <f t="shared" si="0"/>
        <v>Exist_KS_16.5MW_GAS_UID2313</v>
      </c>
      <c r="C4" s="140" t="s">
        <v>27</v>
      </c>
      <c r="D4" s="140" t="s">
        <v>28</v>
      </c>
      <c r="E4" s="140" t="s">
        <v>29</v>
      </c>
      <c r="F4" s="140" t="s">
        <v>30</v>
      </c>
      <c r="G4" s="140" t="s">
        <v>42</v>
      </c>
      <c r="H4" s="140" t="s">
        <v>43</v>
      </c>
      <c r="I4" s="140">
        <v>1</v>
      </c>
      <c r="J4" s="140">
        <v>21</v>
      </c>
      <c r="K4" s="140">
        <v>16.5</v>
      </c>
      <c r="L4" s="140">
        <v>0.85</v>
      </c>
      <c r="M4" s="140">
        <v>21</v>
      </c>
      <c r="N4" s="140" t="s">
        <v>33</v>
      </c>
      <c r="O4" s="140" t="s">
        <v>44</v>
      </c>
      <c r="P4" s="140" t="s">
        <v>45</v>
      </c>
      <c r="Q4" s="200" t="s">
        <v>197</v>
      </c>
      <c r="R4" s="140" t="s">
        <v>36</v>
      </c>
      <c r="S4" s="141">
        <v>1985</v>
      </c>
      <c r="T4" s="140" t="s">
        <v>37</v>
      </c>
      <c r="U4" s="140">
        <v>150</v>
      </c>
      <c r="V4" s="140">
        <v>0.24619874367125399</v>
      </c>
      <c r="W4" s="140">
        <v>45</v>
      </c>
      <c r="X4" s="140">
        <v>2030</v>
      </c>
      <c r="Y4" s="140" t="s">
        <v>38</v>
      </c>
      <c r="Z4" s="140">
        <v>33</v>
      </c>
      <c r="AA4" s="140" t="s">
        <v>39</v>
      </c>
      <c r="AB4" s="142" t="s">
        <v>46</v>
      </c>
      <c r="AD4" s="137">
        <f t="shared" si="1"/>
        <v>4.0622792705756909</v>
      </c>
    </row>
    <row r="5" spans="1:30">
      <c r="A5" s="138">
        <v>2320</v>
      </c>
      <c r="B5" s="139" t="str">
        <f t="shared" si="0"/>
        <v>Exist_KS_2.2MW_OIL_UID2320</v>
      </c>
      <c r="C5" s="140" t="s">
        <v>27</v>
      </c>
      <c r="D5" s="140" t="s">
        <v>28</v>
      </c>
      <c r="E5" s="140" t="s">
        <v>29</v>
      </c>
      <c r="F5" s="140" t="s">
        <v>47</v>
      </c>
      <c r="G5" s="140" t="s">
        <v>31</v>
      </c>
      <c r="H5" s="140" t="s">
        <v>48</v>
      </c>
      <c r="I5" s="140">
        <v>1</v>
      </c>
      <c r="J5" s="140">
        <v>3</v>
      </c>
      <c r="K5" s="140">
        <v>2.2000000000000002</v>
      </c>
      <c r="L5" s="140">
        <v>0.85</v>
      </c>
      <c r="M5" s="140">
        <v>3</v>
      </c>
      <c r="N5" s="140" t="s">
        <v>33</v>
      </c>
      <c r="O5" s="140" t="s">
        <v>34</v>
      </c>
      <c r="P5" s="140" t="s">
        <v>35</v>
      </c>
      <c r="Q5" s="200" t="s">
        <v>198</v>
      </c>
      <c r="R5" s="140" t="s">
        <v>36</v>
      </c>
      <c r="S5" s="141">
        <v>1996</v>
      </c>
      <c r="T5" s="140" t="s">
        <v>37</v>
      </c>
      <c r="U5" s="140">
        <v>150</v>
      </c>
      <c r="V5" s="140">
        <v>0.31338197955563979</v>
      </c>
      <c r="W5" s="140">
        <v>30</v>
      </c>
      <c r="X5" s="140">
        <v>2026</v>
      </c>
      <c r="Y5" s="140" t="s">
        <v>38</v>
      </c>
      <c r="Z5" s="140">
        <v>22</v>
      </c>
      <c r="AA5" s="140" t="s">
        <v>39</v>
      </c>
      <c r="AB5" s="142" t="s">
        <v>40</v>
      </c>
      <c r="AD5" s="137">
        <f t="shared" si="1"/>
        <v>0.68944035502240764</v>
      </c>
    </row>
    <row r="6" spans="1:30">
      <c r="A6" s="138">
        <v>2321</v>
      </c>
      <c r="B6" s="139" t="str">
        <f t="shared" si="0"/>
        <v>Exist_KS_2.2MW_OIL_UID2321</v>
      </c>
      <c r="C6" s="140" t="s">
        <v>27</v>
      </c>
      <c r="D6" s="140" t="s">
        <v>28</v>
      </c>
      <c r="E6" s="140" t="s">
        <v>29</v>
      </c>
      <c r="F6" s="140" t="s">
        <v>47</v>
      </c>
      <c r="G6" s="140" t="s">
        <v>31</v>
      </c>
      <c r="H6" s="140" t="s">
        <v>49</v>
      </c>
      <c r="I6" s="140">
        <v>1</v>
      </c>
      <c r="J6" s="140">
        <v>3</v>
      </c>
      <c r="K6" s="140">
        <v>2.2000000000000002</v>
      </c>
      <c r="L6" s="140">
        <v>0.85</v>
      </c>
      <c r="M6" s="140">
        <v>3</v>
      </c>
      <c r="N6" s="140" t="s">
        <v>33</v>
      </c>
      <c r="O6" s="140" t="s">
        <v>34</v>
      </c>
      <c r="P6" s="140" t="s">
        <v>35</v>
      </c>
      <c r="Q6" s="200" t="s">
        <v>198</v>
      </c>
      <c r="R6" s="140" t="s">
        <v>36</v>
      </c>
      <c r="S6" s="141">
        <v>1996</v>
      </c>
      <c r="T6" s="140" t="s">
        <v>37</v>
      </c>
      <c r="U6" s="140">
        <v>150</v>
      </c>
      <c r="V6" s="140">
        <v>0.31338197955563979</v>
      </c>
      <c r="W6" s="140">
        <v>30</v>
      </c>
      <c r="X6" s="140">
        <v>2026</v>
      </c>
      <c r="Y6" s="140" t="s">
        <v>38</v>
      </c>
      <c r="Z6" s="140">
        <v>22</v>
      </c>
      <c r="AA6" s="140" t="s">
        <v>39</v>
      </c>
      <c r="AB6" s="142" t="s">
        <v>40</v>
      </c>
      <c r="AD6" s="137">
        <f t="shared" si="1"/>
        <v>0.68944035502240764</v>
      </c>
    </row>
    <row r="7" spans="1:30">
      <c r="A7" s="138">
        <v>2322</v>
      </c>
      <c r="B7" s="139" t="str">
        <f t="shared" si="0"/>
        <v>Exist_KS_0.8MW_OIL_UID2322</v>
      </c>
      <c r="C7" s="140" t="s">
        <v>27</v>
      </c>
      <c r="D7" s="140" t="s">
        <v>28</v>
      </c>
      <c r="E7" s="140" t="s">
        <v>29</v>
      </c>
      <c r="F7" s="140" t="s">
        <v>50</v>
      </c>
      <c r="G7" s="140" t="s">
        <v>31</v>
      </c>
      <c r="H7" s="140" t="s">
        <v>51</v>
      </c>
      <c r="I7" s="140">
        <v>1</v>
      </c>
      <c r="J7" s="140">
        <v>0.94</v>
      </c>
      <c r="K7" s="140">
        <v>0.8</v>
      </c>
      <c r="L7" s="140">
        <v>0.85</v>
      </c>
      <c r="M7" s="140">
        <v>0.94</v>
      </c>
      <c r="N7" s="140" t="s">
        <v>33</v>
      </c>
      <c r="O7" s="140" t="s">
        <v>34</v>
      </c>
      <c r="P7" s="140" t="s">
        <v>35</v>
      </c>
      <c r="Q7" s="200" t="s">
        <v>198</v>
      </c>
      <c r="R7" s="140" t="s">
        <v>36</v>
      </c>
      <c r="S7" s="141">
        <v>1996</v>
      </c>
      <c r="T7" s="140" t="s">
        <v>37</v>
      </c>
      <c r="U7" s="140">
        <v>150</v>
      </c>
      <c r="V7" s="140">
        <v>0.31338197955563979</v>
      </c>
      <c r="W7" s="140">
        <v>30</v>
      </c>
      <c r="X7" s="140">
        <v>2026</v>
      </c>
      <c r="Y7" s="140" t="s">
        <v>38</v>
      </c>
      <c r="Z7" s="140">
        <v>22</v>
      </c>
      <c r="AA7" s="140" t="s">
        <v>39</v>
      </c>
      <c r="AB7" s="142" t="s">
        <v>40</v>
      </c>
      <c r="AD7" s="137">
        <f t="shared" si="1"/>
        <v>0.25070558364451184</v>
      </c>
    </row>
    <row r="8" spans="1:30">
      <c r="A8" s="138">
        <v>2323</v>
      </c>
      <c r="B8" s="139" t="str">
        <f t="shared" si="0"/>
        <v>Exist_KS_0.8MW_OIL_UID2323</v>
      </c>
      <c r="C8" s="140" t="s">
        <v>27</v>
      </c>
      <c r="D8" s="140" t="s">
        <v>28</v>
      </c>
      <c r="E8" s="140" t="s">
        <v>29</v>
      </c>
      <c r="F8" s="140" t="s">
        <v>50</v>
      </c>
      <c r="G8" s="140" t="s">
        <v>31</v>
      </c>
      <c r="H8" s="140" t="s">
        <v>52</v>
      </c>
      <c r="I8" s="140">
        <v>1</v>
      </c>
      <c r="J8" s="140">
        <v>0.94</v>
      </c>
      <c r="K8" s="140">
        <v>0.8</v>
      </c>
      <c r="L8" s="140">
        <v>0.85</v>
      </c>
      <c r="M8" s="140">
        <v>0.94</v>
      </c>
      <c r="N8" s="140" t="s">
        <v>33</v>
      </c>
      <c r="O8" s="140" t="s">
        <v>34</v>
      </c>
      <c r="P8" s="140" t="s">
        <v>35</v>
      </c>
      <c r="Q8" s="200" t="s">
        <v>198</v>
      </c>
      <c r="R8" s="140" t="s">
        <v>36</v>
      </c>
      <c r="S8" s="141">
        <v>1996</v>
      </c>
      <c r="T8" s="140" t="s">
        <v>37</v>
      </c>
      <c r="U8" s="140">
        <v>150</v>
      </c>
      <c r="V8" s="140">
        <v>0.31338197955563979</v>
      </c>
      <c r="W8" s="140">
        <v>30</v>
      </c>
      <c r="X8" s="140">
        <v>2026</v>
      </c>
      <c r="Y8" s="140" t="s">
        <v>38</v>
      </c>
      <c r="Z8" s="140">
        <v>22</v>
      </c>
      <c r="AA8" s="140" t="s">
        <v>39</v>
      </c>
      <c r="AB8" s="142" t="s">
        <v>40</v>
      </c>
      <c r="AD8" s="137">
        <f t="shared" si="1"/>
        <v>0.25070558364451184</v>
      </c>
    </row>
    <row r="9" spans="1:30">
      <c r="A9" s="138">
        <v>2327</v>
      </c>
      <c r="B9" s="139" t="str">
        <f t="shared" si="0"/>
        <v>Exist_KT_38MW_GAS_UID2327</v>
      </c>
      <c r="C9" s="140" t="s">
        <v>27</v>
      </c>
      <c r="D9" s="140" t="s">
        <v>53</v>
      </c>
      <c r="E9" s="140" t="s">
        <v>29</v>
      </c>
      <c r="F9" s="140" t="s">
        <v>54</v>
      </c>
      <c r="G9" s="140" t="s">
        <v>55</v>
      </c>
      <c r="H9" s="140" t="s">
        <v>56</v>
      </c>
      <c r="I9" s="140">
        <v>1</v>
      </c>
      <c r="J9" s="140">
        <v>39.076000000000001</v>
      </c>
      <c r="K9" s="140">
        <v>38</v>
      </c>
      <c r="L9" s="140">
        <v>0.85</v>
      </c>
      <c r="M9" s="140">
        <v>39.076000000000001</v>
      </c>
      <c r="N9" s="140" t="s">
        <v>33</v>
      </c>
      <c r="O9" s="140" t="s">
        <v>44</v>
      </c>
      <c r="P9" s="140" t="s">
        <v>45</v>
      </c>
      <c r="Q9" s="200" t="s">
        <v>197</v>
      </c>
      <c r="R9" s="140" t="s">
        <v>36</v>
      </c>
      <c r="S9" s="141">
        <v>2016</v>
      </c>
      <c r="T9" s="140" t="s">
        <v>37</v>
      </c>
      <c r="U9" s="140">
        <v>150</v>
      </c>
      <c r="V9" s="140">
        <v>0.3042253521126761</v>
      </c>
      <c r="W9" s="140">
        <v>45</v>
      </c>
      <c r="X9" s="140">
        <v>2061</v>
      </c>
      <c r="Y9" s="140" t="s">
        <v>38</v>
      </c>
      <c r="Z9" s="140">
        <v>2</v>
      </c>
      <c r="AA9" s="140" t="s">
        <v>39</v>
      </c>
      <c r="AB9" s="142" t="s">
        <v>46</v>
      </c>
      <c r="AD9" s="137">
        <f t="shared" si="1"/>
        <v>11.560563380281693</v>
      </c>
    </row>
    <row r="10" spans="1:30">
      <c r="A10" s="138">
        <v>2328</v>
      </c>
      <c r="B10" s="139" t="str">
        <f t="shared" si="0"/>
        <v>Exist_KT_38MW_GAS_UID2328</v>
      </c>
      <c r="C10" s="140" t="s">
        <v>27</v>
      </c>
      <c r="D10" s="140" t="s">
        <v>53</v>
      </c>
      <c r="E10" s="140" t="s">
        <v>29</v>
      </c>
      <c r="F10" s="140" t="s">
        <v>54</v>
      </c>
      <c r="G10" s="140" t="s">
        <v>55</v>
      </c>
      <c r="H10" s="140" t="s">
        <v>57</v>
      </c>
      <c r="I10" s="140">
        <v>1</v>
      </c>
      <c r="J10" s="140">
        <v>39.076000000000001</v>
      </c>
      <c r="K10" s="140">
        <v>38</v>
      </c>
      <c r="L10" s="140">
        <v>0.85</v>
      </c>
      <c r="M10" s="140">
        <v>39.076000000000001</v>
      </c>
      <c r="N10" s="140" t="s">
        <v>33</v>
      </c>
      <c r="O10" s="140" t="s">
        <v>44</v>
      </c>
      <c r="P10" s="140" t="s">
        <v>45</v>
      </c>
      <c r="Q10" s="200" t="s">
        <v>197</v>
      </c>
      <c r="R10" s="140" t="s">
        <v>36</v>
      </c>
      <c r="S10" s="141">
        <v>2016</v>
      </c>
      <c r="T10" s="140" t="s">
        <v>37</v>
      </c>
      <c r="U10" s="140">
        <v>150</v>
      </c>
      <c r="V10" s="140">
        <v>0.3042253521126761</v>
      </c>
      <c r="W10" s="140">
        <v>45</v>
      </c>
      <c r="X10" s="140">
        <v>2061</v>
      </c>
      <c r="Y10" s="140" t="s">
        <v>38</v>
      </c>
      <c r="Z10" s="140">
        <v>2</v>
      </c>
      <c r="AA10" s="140" t="s">
        <v>39</v>
      </c>
      <c r="AB10" s="142" t="s">
        <v>46</v>
      </c>
      <c r="AD10" s="137">
        <f t="shared" si="1"/>
        <v>11.560563380281693</v>
      </c>
    </row>
    <row r="11" spans="1:30">
      <c r="A11" s="138">
        <v>2329</v>
      </c>
      <c r="B11" s="139" t="str">
        <f t="shared" si="0"/>
        <v>Exist_KT_38MW_GAS_UID2329</v>
      </c>
      <c r="C11" s="140" t="s">
        <v>27</v>
      </c>
      <c r="D11" s="140" t="s">
        <v>53</v>
      </c>
      <c r="E11" s="140" t="s">
        <v>29</v>
      </c>
      <c r="F11" s="140" t="s">
        <v>54</v>
      </c>
      <c r="G11" s="140" t="s">
        <v>55</v>
      </c>
      <c r="H11" s="140" t="s">
        <v>58</v>
      </c>
      <c r="I11" s="140">
        <v>1</v>
      </c>
      <c r="J11" s="140">
        <v>39.076000000000001</v>
      </c>
      <c r="K11" s="140">
        <v>38</v>
      </c>
      <c r="L11" s="140">
        <v>0.85</v>
      </c>
      <c r="M11" s="140">
        <v>39.076000000000001</v>
      </c>
      <c r="N11" s="140" t="s">
        <v>33</v>
      </c>
      <c r="O11" s="140" t="s">
        <v>44</v>
      </c>
      <c r="P11" s="140" t="s">
        <v>45</v>
      </c>
      <c r="Q11" s="200" t="s">
        <v>197</v>
      </c>
      <c r="R11" s="140" t="s">
        <v>36</v>
      </c>
      <c r="S11" s="141">
        <v>2016</v>
      </c>
      <c r="T11" s="140" t="s">
        <v>37</v>
      </c>
      <c r="U11" s="140">
        <v>150</v>
      </c>
      <c r="V11" s="140">
        <v>0.3042253521126761</v>
      </c>
      <c r="W11" s="140">
        <v>45</v>
      </c>
      <c r="X11" s="140">
        <v>2061</v>
      </c>
      <c r="Y11" s="140" t="s">
        <v>38</v>
      </c>
      <c r="Z11" s="140">
        <v>2</v>
      </c>
      <c r="AA11" s="140" t="s">
        <v>39</v>
      </c>
      <c r="AB11" s="142" t="s">
        <v>46</v>
      </c>
      <c r="AD11" s="137">
        <f t="shared" si="1"/>
        <v>11.560563380281693</v>
      </c>
    </row>
    <row r="12" spans="1:30">
      <c r="A12" s="138">
        <v>2330</v>
      </c>
      <c r="B12" s="139" t="str">
        <f t="shared" si="0"/>
        <v>Exist_KT_38MW_GAS_UID2330</v>
      </c>
      <c r="C12" s="140" t="s">
        <v>27</v>
      </c>
      <c r="D12" s="140" t="s">
        <v>53</v>
      </c>
      <c r="E12" s="140" t="s">
        <v>29</v>
      </c>
      <c r="F12" s="140" t="s">
        <v>54</v>
      </c>
      <c r="G12" s="140" t="s">
        <v>55</v>
      </c>
      <c r="H12" s="140" t="s">
        <v>59</v>
      </c>
      <c r="I12" s="140">
        <v>1</v>
      </c>
      <c r="J12" s="140">
        <v>39.076000000000001</v>
      </c>
      <c r="K12" s="140">
        <v>38</v>
      </c>
      <c r="L12" s="140">
        <v>0.85</v>
      </c>
      <c r="M12" s="140">
        <v>39.076000000000001</v>
      </c>
      <c r="N12" s="140" t="s">
        <v>33</v>
      </c>
      <c r="O12" s="140" t="s">
        <v>44</v>
      </c>
      <c r="P12" s="140" t="s">
        <v>45</v>
      </c>
      <c r="Q12" s="200" t="s">
        <v>197</v>
      </c>
      <c r="R12" s="140" t="s">
        <v>36</v>
      </c>
      <c r="S12" s="141">
        <v>2016</v>
      </c>
      <c r="T12" s="140" t="s">
        <v>37</v>
      </c>
      <c r="U12" s="140">
        <v>150</v>
      </c>
      <c r="V12" s="140">
        <v>0.3042253521126761</v>
      </c>
      <c r="W12" s="140">
        <v>45</v>
      </c>
      <c r="X12" s="140">
        <v>2061</v>
      </c>
      <c r="Y12" s="140" t="s">
        <v>38</v>
      </c>
      <c r="Z12" s="140">
        <v>2</v>
      </c>
      <c r="AA12" s="140" t="s">
        <v>39</v>
      </c>
      <c r="AB12" s="142" t="s">
        <v>46</v>
      </c>
      <c r="AD12" s="137">
        <f t="shared" si="1"/>
        <v>11.560563380281693</v>
      </c>
    </row>
    <row r="13" spans="1:30">
      <c r="A13" s="138">
        <v>2331</v>
      </c>
      <c r="B13" s="139" t="str">
        <f t="shared" si="0"/>
        <v>Exist_KS_54MW_COA_UID2331</v>
      </c>
      <c r="C13" s="140" t="s">
        <v>27</v>
      </c>
      <c r="D13" s="140" t="s">
        <v>28</v>
      </c>
      <c r="E13" s="140" t="s">
        <v>29</v>
      </c>
      <c r="F13" s="140" t="s">
        <v>60</v>
      </c>
      <c r="G13" s="140" t="s">
        <v>61</v>
      </c>
      <c r="H13" s="140" t="s">
        <v>62</v>
      </c>
      <c r="I13" s="140">
        <v>1</v>
      </c>
      <c r="J13" s="140">
        <v>65</v>
      </c>
      <c r="K13" s="140">
        <v>54</v>
      </c>
      <c r="L13" s="140">
        <v>0.85</v>
      </c>
      <c r="M13" s="140">
        <v>65</v>
      </c>
      <c r="N13" s="140" t="s">
        <v>33</v>
      </c>
      <c r="O13" s="140" t="s">
        <v>63</v>
      </c>
      <c r="P13" s="140" t="s">
        <v>64</v>
      </c>
      <c r="Q13" s="200" t="s">
        <v>196</v>
      </c>
      <c r="R13" s="140" t="s">
        <v>36</v>
      </c>
      <c r="S13" s="141">
        <v>2000</v>
      </c>
      <c r="T13" s="140" t="s">
        <v>37</v>
      </c>
      <c r="U13" s="140">
        <v>150</v>
      </c>
      <c r="V13" s="140">
        <v>0.38772727272727281</v>
      </c>
      <c r="W13" s="140">
        <v>50</v>
      </c>
      <c r="X13" s="140">
        <v>2050</v>
      </c>
      <c r="Y13" s="140" t="s">
        <v>38</v>
      </c>
      <c r="Z13" s="140">
        <v>18</v>
      </c>
      <c r="AA13" s="140" t="s">
        <v>39</v>
      </c>
      <c r="AB13" s="142" t="s">
        <v>65</v>
      </c>
      <c r="AD13" s="137">
        <f t="shared" si="1"/>
        <v>20.937272727272731</v>
      </c>
    </row>
    <row r="14" spans="1:30">
      <c r="A14" s="138">
        <v>2332</v>
      </c>
      <c r="B14" s="139" t="str">
        <f t="shared" si="0"/>
        <v>Exist_KS_54MW_COA_UID2332</v>
      </c>
      <c r="C14" s="140" t="s">
        <v>27</v>
      </c>
      <c r="D14" s="140" t="s">
        <v>28</v>
      </c>
      <c r="E14" s="140" t="s">
        <v>29</v>
      </c>
      <c r="F14" s="140" t="s">
        <v>60</v>
      </c>
      <c r="G14" s="140" t="s">
        <v>61</v>
      </c>
      <c r="H14" s="140" t="s">
        <v>66</v>
      </c>
      <c r="I14" s="140">
        <v>1</v>
      </c>
      <c r="J14" s="140">
        <v>65</v>
      </c>
      <c r="K14" s="140">
        <v>54</v>
      </c>
      <c r="L14" s="140">
        <v>0.85</v>
      </c>
      <c r="M14" s="140">
        <v>65</v>
      </c>
      <c r="N14" s="140" t="s">
        <v>33</v>
      </c>
      <c r="O14" s="140" t="s">
        <v>63</v>
      </c>
      <c r="P14" s="140" t="s">
        <v>64</v>
      </c>
      <c r="Q14" s="200" t="s">
        <v>196</v>
      </c>
      <c r="R14" s="140" t="s">
        <v>36</v>
      </c>
      <c r="S14" s="141">
        <v>2000</v>
      </c>
      <c r="T14" s="140" t="s">
        <v>37</v>
      </c>
      <c r="U14" s="140">
        <v>150</v>
      </c>
      <c r="V14" s="140">
        <v>0.38772727272727281</v>
      </c>
      <c r="W14" s="140">
        <v>50</v>
      </c>
      <c r="X14" s="140">
        <v>2050</v>
      </c>
      <c r="Y14" s="140" t="s">
        <v>38</v>
      </c>
      <c r="Z14" s="140">
        <v>18</v>
      </c>
      <c r="AA14" s="140" t="s">
        <v>39</v>
      </c>
      <c r="AB14" s="142" t="s">
        <v>65</v>
      </c>
      <c r="AD14" s="137">
        <f t="shared" si="1"/>
        <v>20.937272727272731</v>
      </c>
    </row>
    <row r="15" spans="1:30">
      <c r="A15" s="138">
        <v>2333</v>
      </c>
      <c r="B15" s="139" t="str">
        <f t="shared" si="0"/>
        <v>Exist_KS_57MW_COA_UID2333</v>
      </c>
      <c r="C15" s="140" t="s">
        <v>27</v>
      </c>
      <c r="D15" s="140" t="s">
        <v>28</v>
      </c>
      <c r="E15" s="140" t="s">
        <v>29</v>
      </c>
      <c r="F15" s="140" t="s">
        <v>60</v>
      </c>
      <c r="G15" s="140" t="s">
        <v>61</v>
      </c>
      <c r="H15" s="140" t="s">
        <v>67</v>
      </c>
      <c r="I15" s="140">
        <v>1</v>
      </c>
      <c r="J15" s="140">
        <v>65</v>
      </c>
      <c r="K15" s="140">
        <v>57</v>
      </c>
      <c r="L15" s="140">
        <v>0.85</v>
      </c>
      <c r="M15" s="140">
        <v>65</v>
      </c>
      <c r="N15" s="140" t="s">
        <v>33</v>
      </c>
      <c r="O15" s="140" t="s">
        <v>63</v>
      </c>
      <c r="P15" s="140" t="s">
        <v>64</v>
      </c>
      <c r="Q15" s="200" t="s">
        <v>196</v>
      </c>
      <c r="R15" s="140" t="s">
        <v>36</v>
      </c>
      <c r="S15" s="141">
        <v>2013</v>
      </c>
      <c r="T15" s="140" t="s">
        <v>37</v>
      </c>
      <c r="U15" s="140">
        <v>150</v>
      </c>
      <c r="V15" s="140">
        <v>0.3143266436049913</v>
      </c>
      <c r="W15" s="140">
        <v>50</v>
      </c>
      <c r="X15" s="140">
        <v>2063</v>
      </c>
      <c r="Y15" s="140" t="s">
        <v>38</v>
      </c>
      <c r="Z15" s="140">
        <v>5</v>
      </c>
      <c r="AA15" s="140" t="s">
        <v>39</v>
      </c>
      <c r="AB15" s="142" t="s">
        <v>65</v>
      </c>
      <c r="AD15" s="137">
        <f t="shared" si="1"/>
        <v>17.916618685484504</v>
      </c>
    </row>
    <row r="16" spans="1:30">
      <c r="A16" s="138">
        <v>2334</v>
      </c>
      <c r="B16" s="139" t="str">
        <f t="shared" si="0"/>
        <v>Exist_KS_57MW_COA_UID2334</v>
      </c>
      <c r="C16" s="140" t="s">
        <v>27</v>
      </c>
      <c r="D16" s="140" t="s">
        <v>28</v>
      </c>
      <c r="E16" s="140" t="s">
        <v>29</v>
      </c>
      <c r="F16" s="140" t="s">
        <v>60</v>
      </c>
      <c r="G16" s="140" t="s">
        <v>61</v>
      </c>
      <c r="H16" s="140" t="s">
        <v>68</v>
      </c>
      <c r="I16" s="140">
        <v>1</v>
      </c>
      <c r="J16" s="140">
        <v>65</v>
      </c>
      <c r="K16" s="140">
        <v>57</v>
      </c>
      <c r="L16" s="140">
        <v>0.85</v>
      </c>
      <c r="M16" s="140">
        <v>65</v>
      </c>
      <c r="N16" s="140" t="s">
        <v>33</v>
      </c>
      <c r="O16" s="140" t="s">
        <v>63</v>
      </c>
      <c r="P16" s="140" t="s">
        <v>64</v>
      </c>
      <c r="Q16" s="200" t="s">
        <v>196</v>
      </c>
      <c r="R16" s="140" t="s">
        <v>36</v>
      </c>
      <c r="S16" s="141">
        <v>2013</v>
      </c>
      <c r="T16" s="140" t="s">
        <v>37</v>
      </c>
      <c r="U16" s="140">
        <v>150</v>
      </c>
      <c r="V16" s="140">
        <v>0.3143266436049913</v>
      </c>
      <c r="W16" s="140">
        <v>50</v>
      </c>
      <c r="X16" s="140">
        <v>2063</v>
      </c>
      <c r="Y16" s="140" t="s">
        <v>38</v>
      </c>
      <c r="Z16" s="140">
        <v>5</v>
      </c>
      <c r="AA16" s="140" t="s">
        <v>39</v>
      </c>
      <c r="AB16" s="142" t="s">
        <v>65</v>
      </c>
      <c r="AD16" s="137">
        <f t="shared" si="1"/>
        <v>17.916618685484504</v>
      </c>
    </row>
    <row r="17" spans="1:30">
      <c r="A17" s="138">
        <v>2335</v>
      </c>
      <c r="B17" s="139" t="str">
        <f t="shared" si="0"/>
        <v>Exist_KT_42MW_COA_UID2335</v>
      </c>
      <c r="C17" s="140" t="s">
        <v>27</v>
      </c>
      <c r="D17" s="140" t="s">
        <v>53</v>
      </c>
      <c r="E17" s="140" t="s">
        <v>29</v>
      </c>
      <c r="F17" s="140" t="s">
        <v>69</v>
      </c>
      <c r="G17" s="140" t="s">
        <v>70</v>
      </c>
      <c r="H17" s="140" t="s">
        <v>71</v>
      </c>
      <c r="I17" s="140">
        <v>1</v>
      </c>
      <c r="J17" s="140">
        <v>60</v>
      </c>
      <c r="K17" s="140">
        <v>42</v>
      </c>
      <c r="L17" s="140">
        <v>0.85</v>
      </c>
      <c r="M17" s="140">
        <v>60</v>
      </c>
      <c r="N17" s="140" t="s">
        <v>33</v>
      </c>
      <c r="O17" s="140" t="s">
        <v>63</v>
      </c>
      <c r="P17" s="140" t="s">
        <v>64</v>
      </c>
      <c r="Q17" s="200" t="s">
        <v>196</v>
      </c>
      <c r="R17" s="140" t="s">
        <v>36</v>
      </c>
      <c r="S17" s="141">
        <v>2016</v>
      </c>
      <c r="T17" s="140" t="s">
        <v>37</v>
      </c>
      <c r="U17" s="140">
        <v>150</v>
      </c>
      <c r="V17" s="140">
        <v>0.3158858777163579</v>
      </c>
      <c r="W17" s="140">
        <v>99</v>
      </c>
      <c r="X17" s="140">
        <v>2115</v>
      </c>
      <c r="Y17" s="140" t="s">
        <v>38</v>
      </c>
      <c r="Z17" s="140">
        <v>2</v>
      </c>
      <c r="AA17" s="140" t="s">
        <v>39</v>
      </c>
      <c r="AB17" s="142" t="s">
        <v>65</v>
      </c>
      <c r="AD17" s="137">
        <f t="shared" si="1"/>
        <v>13.267206864087031</v>
      </c>
    </row>
    <row r="18" spans="1:30">
      <c r="A18" s="138">
        <v>2336</v>
      </c>
      <c r="B18" s="139" t="str">
        <f t="shared" si="0"/>
        <v>Exist_KT_42MW_COA_UID2336</v>
      </c>
      <c r="C18" s="140" t="s">
        <v>27</v>
      </c>
      <c r="D18" s="140" t="s">
        <v>53</v>
      </c>
      <c r="E18" s="140" t="s">
        <v>29</v>
      </c>
      <c r="F18" s="140" t="s">
        <v>69</v>
      </c>
      <c r="G18" s="140" t="s">
        <v>70</v>
      </c>
      <c r="H18" s="140" t="s">
        <v>72</v>
      </c>
      <c r="I18" s="140">
        <v>1</v>
      </c>
      <c r="J18" s="140">
        <v>66</v>
      </c>
      <c r="K18" s="140">
        <v>42</v>
      </c>
      <c r="L18" s="140">
        <v>0.85</v>
      </c>
      <c r="M18" s="140">
        <v>66</v>
      </c>
      <c r="N18" s="140" t="s">
        <v>33</v>
      </c>
      <c r="O18" s="140" t="s">
        <v>63</v>
      </c>
      <c r="P18" s="140" t="s">
        <v>64</v>
      </c>
      <c r="Q18" s="200" t="s">
        <v>196</v>
      </c>
      <c r="R18" s="140" t="s">
        <v>36</v>
      </c>
      <c r="S18" s="141">
        <v>2017</v>
      </c>
      <c r="T18" s="140" t="s">
        <v>37</v>
      </c>
      <c r="U18" s="140">
        <v>150</v>
      </c>
      <c r="V18" s="140">
        <v>0.32205389588937661</v>
      </c>
      <c r="W18" s="140">
        <v>99</v>
      </c>
      <c r="X18" s="140">
        <v>2116</v>
      </c>
      <c r="Y18" s="140" t="s">
        <v>38</v>
      </c>
      <c r="Z18" s="140">
        <v>1</v>
      </c>
      <c r="AA18" s="140" t="s">
        <v>39</v>
      </c>
      <c r="AB18" s="142" t="s">
        <v>65</v>
      </c>
      <c r="AD18" s="137">
        <f t="shared" si="1"/>
        <v>13.526263627353817</v>
      </c>
    </row>
    <row r="19" spans="1:30">
      <c r="A19" s="138">
        <v>2340</v>
      </c>
      <c r="B19" s="139" t="str">
        <f t="shared" si="0"/>
        <v>Exist_KT_1.8MW_OIL_UID2340</v>
      </c>
      <c r="C19" s="140" t="s">
        <v>27</v>
      </c>
      <c r="D19" s="140" t="s">
        <v>53</v>
      </c>
      <c r="E19" s="140" t="s">
        <v>29</v>
      </c>
      <c r="F19" s="140" t="s">
        <v>73</v>
      </c>
      <c r="G19" s="140" t="s">
        <v>31</v>
      </c>
      <c r="H19" s="140" t="s">
        <v>74</v>
      </c>
      <c r="I19" s="140">
        <v>1</v>
      </c>
      <c r="J19" s="140">
        <v>2.8</v>
      </c>
      <c r="K19" s="140">
        <v>1.8</v>
      </c>
      <c r="L19" s="140">
        <v>0.85</v>
      </c>
      <c r="M19" s="140">
        <v>2.8</v>
      </c>
      <c r="N19" s="140" t="s">
        <v>33</v>
      </c>
      <c r="O19" s="140" t="s">
        <v>34</v>
      </c>
      <c r="P19" s="140" t="s">
        <v>35</v>
      </c>
      <c r="Q19" s="200" t="s">
        <v>198</v>
      </c>
      <c r="R19" s="140" t="s">
        <v>36</v>
      </c>
      <c r="S19" s="141">
        <v>1995</v>
      </c>
      <c r="T19" s="140" t="s">
        <v>37</v>
      </c>
      <c r="U19" s="140">
        <v>20</v>
      </c>
      <c r="V19" s="140">
        <v>0.31338197955563979</v>
      </c>
      <c r="W19" s="140">
        <v>30</v>
      </c>
      <c r="X19" s="140">
        <v>2025</v>
      </c>
      <c r="Y19" s="140" t="s">
        <v>38</v>
      </c>
      <c r="Z19" s="140">
        <v>23</v>
      </c>
      <c r="AA19" s="140" t="s">
        <v>39</v>
      </c>
      <c r="AB19" s="142" t="s">
        <v>40</v>
      </c>
      <c r="AD19" s="137">
        <f t="shared" si="1"/>
        <v>0.56408756320015163</v>
      </c>
    </row>
    <row r="20" spans="1:30">
      <c r="A20" s="138">
        <v>2345</v>
      </c>
      <c r="B20" s="139" t="str">
        <f t="shared" si="0"/>
        <v>Exist_KT_1.9MW_OIL_UID2345</v>
      </c>
      <c r="C20" s="140" t="s">
        <v>27</v>
      </c>
      <c r="D20" s="140" t="s">
        <v>53</v>
      </c>
      <c r="E20" s="140" t="s">
        <v>29</v>
      </c>
      <c r="F20" s="140" t="s">
        <v>75</v>
      </c>
      <c r="G20" s="140" t="s">
        <v>31</v>
      </c>
      <c r="H20" s="140" t="s">
        <v>76</v>
      </c>
      <c r="I20" s="140">
        <v>1</v>
      </c>
      <c r="J20" s="140">
        <v>2.8</v>
      </c>
      <c r="K20" s="140">
        <v>1.9</v>
      </c>
      <c r="L20" s="140">
        <v>0.85</v>
      </c>
      <c r="M20" s="140">
        <v>2.8</v>
      </c>
      <c r="N20" s="140" t="s">
        <v>33</v>
      </c>
      <c r="O20" s="140" t="s">
        <v>34</v>
      </c>
      <c r="P20" s="140" t="s">
        <v>35</v>
      </c>
      <c r="Q20" s="200" t="s">
        <v>198</v>
      </c>
      <c r="R20" s="140" t="s">
        <v>36</v>
      </c>
      <c r="S20" s="141">
        <v>1997</v>
      </c>
      <c r="T20" s="140" t="s">
        <v>37</v>
      </c>
      <c r="U20" s="140">
        <v>20</v>
      </c>
      <c r="V20" s="140">
        <v>0.31338197955563979</v>
      </c>
      <c r="W20" s="140">
        <v>30</v>
      </c>
      <c r="X20" s="140">
        <v>2027</v>
      </c>
      <c r="Y20" s="140" t="s">
        <v>38</v>
      </c>
      <c r="Z20" s="140">
        <v>21</v>
      </c>
      <c r="AA20" s="140" t="s">
        <v>39</v>
      </c>
      <c r="AB20" s="142" t="s">
        <v>40</v>
      </c>
      <c r="AD20" s="137">
        <f t="shared" si="1"/>
        <v>0.59542576115571555</v>
      </c>
    </row>
    <row r="21" spans="1:30">
      <c r="A21" s="138">
        <v>2346</v>
      </c>
      <c r="B21" s="139" t="str">
        <f t="shared" si="0"/>
        <v>Exist_KT_1.9MW_OIL_UID2346</v>
      </c>
      <c r="C21" s="140" t="s">
        <v>27</v>
      </c>
      <c r="D21" s="140" t="s">
        <v>53</v>
      </c>
      <c r="E21" s="140" t="s">
        <v>29</v>
      </c>
      <c r="F21" s="140" t="s">
        <v>75</v>
      </c>
      <c r="G21" s="140" t="s">
        <v>31</v>
      </c>
      <c r="H21" s="140" t="s">
        <v>77</v>
      </c>
      <c r="I21" s="140">
        <v>1</v>
      </c>
      <c r="J21" s="140">
        <v>2.8</v>
      </c>
      <c r="K21" s="140">
        <v>1.9</v>
      </c>
      <c r="L21" s="140">
        <v>0.85</v>
      </c>
      <c r="M21" s="140">
        <v>2.8</v>
      </c>
      <c r="N21" s="140" t="s">
        <v>33</v>
      </c>
      <c r="O21" s="140" t="s">
        <v>34</v>
      </c>
      <c r="P21" s="140" t="s">
        <v>35</v>
      </c>
      <c r="Q21" s="200" t="s">
        <v>198</v>
      </c>
      <c r="R21" s="140" t="s">
        <v>36</v>
      </c>
      <c r="S21" s="141">
        <v>1997</v>
      </c>
      <c r="T21" s="140" t="s">
        <v>37</v>
      </c>
      <c r="U21" s="140">
        <v>20</v>
      </c>
      <c r="V21" s="140">
        <v>0.31338197955563979</v>
      </c>
      <c r="W21" s="140">
        <v>30</v>
      </c>
      <c r="X21" s="140">
        <v>2027</v>
      </c>
      <c r="Y21" s="140" t="s">
        <v>38</v>
      </c>
      <c r="Z21" s="140">
        <v>21</v>
      </c>
      <c r="AA21" s="140" t="s">
        <v>39</v>
      </c>
      <c r="AB21" s="142" t="s">
        <v>40</v>
      </c>
      <c r="AD21" s="137">
        <f t="shared" si="1"/>
        <v>0.59542576115571555</v>
      </c>
    </row>
    <row r="22" spans="1:30">
      <c r="A22" s="138">
        <v>2347</v>
      </c>
      <c r="B22" s="139" t="str">
        <f t="shared" si="0"/>
        <v>Exist_KS_2.3MW_OIL_UID2347</v>
      </c>
      <c r="C22" s="140" t="s">
        <v>27</v>
      </c>
      <c r="D22" s="140" t="s">
        <v>28</v>
      </c>
      <c r="E22" s="140" t="s">
        <v>29</v>
      </c>
      <c r="F22" s="140" t="s">
        <v>78</v>
      </c>
      <c r="G22" s="140" t="s">
        <v>31</v>
      </c>
      <c r="H22" s="140" t="s">
        <v>79</v>
      </c>
      <c r="I22" s="140">
        <v>1</v>
      </c>
      <c r="J22" s="140">
        <v>2.88</v>
      </c>
      <c r="K22" s="140">
        <v>2.2999999999999998</v>
      </c>
      <c r="L22" s="140">
        <v>0.85</v>
      </c>
      <c r="M22" s="140">
        <v>2.88</v>
      </c>
      <c r="N22" s="140" t="s">
        <v>33</v>
      </c>
      <c r="O22" s="140" t="s">
        <v>34</v>
      </c>
      <c r="P22" s="140" t="s">
        <v>35</v>
      </c>
      <c r="Q22" s="200" t="s">
        <v>198</v>
      </c>
      <c r="R22" s="140" t="s">
        <v>36</v>
      </c>
      <c r="S22" s="141">
        <v>1996</v>
      </c>
      <c r="T22" s="140" t="s">
        <v>37</v>
      </c>
      <c r="U22" s="140">
        <v>20</v>
      </c>
      <c r="V22" s="140">
        <v>0.31338197955563979</v>
      </c>
      <c r="W22" s="140">
        <v>30</v>
      </c>
      <c r="X22" s="140">
        <v>2026</v>
      </c>
      <c r="Y22" s="140" t="s">
        <v>38</v>
      </c>
      <c r="Z22" s="140">
        <v>22</v>
      </c>
      <c r="AA22" s="140" t="s">
        <v>39</v>
      </c>
      <c r="AB22" s="142" t="s">
        <v>40</v>
      </c>
      <c r="AD22" s="137">
        <f t="shared" si="1"/>
        <v>0.72077855297797144</v>
      </c>
    </row>
    <row r="23" spans="1:30">
      <c r="A23" s="138">
        <v>2348</v>
      </c>
      <c r="B23" s="139" t="str">
        <f t="shared" si="0"/>
        <v>Exist_KS_0.8MW_OIL_UID2348</v>
      </c>
      <c r="C23" s="140" t="s">
        <v>27</v>
      </c>
      <c r="D23" s="140" t="s">
        <v>28</v>
      </c>
      <c r="E23" s="140" t="s">
        <v>29</v>
      </c>
      <c r="F23" s="140" t="s">
        <v>78</v>
      </c>
      <c r="G23" s="140" t="s">
        <v>31</v>
      </c>
      <c r="H23" s="140" t="s">
        <v>80</v>
      </c>
      <c r="I23" s="140">
        <v>1</v>
      </c>
      <c r="J23" s="140">
        <v>0.94</v>
      </c>
      <c r="K23" s="140">
        <v>0.75</v>
      </c>
      <c r="L23" s="140">
        <v>0.85</v>
      </c>
      <c r="M23" s="140">
        <v>0.94</v>
      </c>
      <c r="N23" s="140" t="s">
        <v>33</v>
      </c>
      <c r="O23" s="140" t="s">
        <v>34</v>
      </c>
      <c r="P23" s="140" t="s">
        <v>35</v>
      </c>
      <c r="Q23" s="200" t="s">
        <v>198</v>
      </c>
      <c r="R23" s="140" t="s">
        <v>36</v>
      </c>
      <c r="S23" s="141">
        <v>1996</v>
      </c>
      <c r="T23" s="140" t="s">
        <v>37</v>
      </c>
      <c r="U23" s="140">
        <v>20</v>
      </c>
      <c r="V23" s="140">
        <v>0.31338197955563979</v>
      </c>
      <c r="W23" s="140">
        <v>30</v>
      </c>
      <c r="X23" s="140">
        <v>2026</v>
      </c>
      <c r="Y23" s="140" t="s">
        <v>38</v>
      </c>
      <c r="Z23" s="140">
        <v>22</v>
      </c>
      <c r="AA23" s="140" t="s">
        <v>39</v>
      </c>
      <c r="AB23" s="142" t="s">
        <v>40</v>
      </c>
      <c r="AD23" s="137">
        <f t="shared" si="1"/>
        <v>0.23503648466672983</v>
      </c>
    </row>
    <row r="24" spans="1:30">
      <c r="A24" s="138">
        <v>2349</v>
      </c>
      <c r="B24" s="139" t="str">
        <f t="shared" si="0"/>
        <v>Exist_KS_0.8MW_OIL_UID2349</v>
      </c>
      <c r="C24" s="140" t="s">
        <v>27</v>
      </c>
      <c r="D24" s="140" t="s">
        <v>28</v>
      </c>
      <c r="E24" s="140" t="s">
        <v>29</v>
      </c>
      <c r="F24" s="140" t="s">
        <v>78</v>
      </c>
      <c r="G24" s="140" t="s">
        <v>31</v>
      </c>
      <c r="H24" s="140" t="s">
        <v>81</v>
      </c>
      <c r="I24" s="140">
        <v>1</v>
      </c>
      <c r="J24" s="140">
        <v>0.94</v>
      </c>
      <c r="K24" s="140">
        <v>0.75</v>
      </c>
      <c r="L24" s="140">
        <v>0.85</v>
      </c>
      <c r="M24" s="140">
        <v>0.94</v>
      </c>
      <c r="N24" s="140" t="s">
        <v>33</v>
      </c>
      <c r="O24" s="140" t="s">
        <v>34</v>
      </c>
      <c r="P24" s="140" t="s">
        <v>35</v>
      </c>
      <c r="Q24" s="200" t="s">
        <v>198</v>
      </c>
      <c r="R24" s="140" t="s">
        <v>36</v>
      </c>
      <c r="S24" s="141">
        <v>1996</v>
      </c>
      <c r="T24" s="140" t="s">
        <v>37</v>
      </c>
      <c r="U24" s="140">
        <v>20</v>
      </c>
      <c r="V24" s="140">
        <v>0.31338197955563979</v>
      </c>
      <c r="W24" s="140">
        <v>30</v>
      </c>
      <c r="X24" s="140">
        <v>2026</v>
      </c>
      <c r="Y24" s="140" t="s">
        <v>38</v>
      </c>
      <c r="Z24" s="140">
        <v>22</v>
      </c>
      <c r="AA24" s="140" t="s">
        <v>39</v>
      </c>
      <c r="AB24" s="142" t="s">
        <v>40</v>
      </c>
      <c r="AD24" s="137">
        <f t="shared" si="1"/>
        <v>0.23503648466672983</v>
      </c>
    </row>
    <row r="25" spans="1:30">
      <c r="A25" s="138">
        <v>2350</v>
      </c>
      <c r="B25" s="139" t="str">
        <f t="shared" si="0"/>
        <v>Exist_KT_0.7MW_OIL_UID2350</v>
      </c>
      <c r="C25" s="140" t="s">
        <v>27</v>
      </c>
      <c r="D25" s="140" t="s">
        <v>53</v>
      </c>
      <c r="E25" s="140" t="s">
        <v>29</v>
      </c>
      <c r="F25" s="140" t="s">
        <v>82</v>
      </c>
      <c r="G25" s="140" t="s">
        <v>31</v>
      </c>
      <c r="H25" s="140" t="s">
        <v>83</v>
      </c>
      <c r="I25" s="140">
        <v>1</v>
      </c>
      <c r="J25" s="140">
        <v>0.94</v>
      </c>
      <c r="K25" s="140">
        <v>0.65</v>
      </c>
      <c r="L25" s="140">
        <v>0.85</v>
      </c>
      <c r="M25" s="140">
        <v>0.94</v>
      </c>
      <c r="N25" s="140" t="s">
        <v>33</v>
      </c>
      <c r="O25" s="140" t="s">
        <v>34</v>
      </c>
      <c r="P25" s="140" t="s">
        <v>35</v>
      </c>
      <c r="Q25" s="200" t="s">
        <v>198</v>
      </c>
      <c r="R25" s="140" t="s">
        <v>36</v>
      </c>
      <c r="S25" s="141">
        <v>1996</v>
      </c>
      <c r="T25" s="140" t="s">
        <v>37</v>
      </c>
      <c r="U25" s="140">
        <v>20</v>
      </c>
      <c r="V25" s="140">
        <v>0.31338197955563979</v>
      </c>
      <c r="W25" s="140">
        <v>30</v>
      </c>
      <c r="X25" s="140">
        <v>2026</v>
      </c>
      <c r="Y25" s="140" t="s">
        <v>38</v>
      </c>
      <c r="Z25" s="140">
        <v>22</v>
      </c>
      <c r="AA25" s="140" t="s">
        <v>39</v>
      </c>
      <c r="AB25" s="142" t="s">
        <v>40</v>
      </c>
      <c r="AD25" s="137">
        <f t="shared" si="1"/>
        <v>0.20369828671116588</v>
      </c>
    </row>
    <row r="26" spans="1:30">
      <c r="A26" s="138">
        <v>2353</v>
      </c>
      <c r="B26" s="139" t="str">
        <f t="shared" si="0"/>
        <v>Exist_KT_0.8MW_OIL_UID2353</v>
      </c>
      <c r="C26" s="140" t="s">
        <v>27</v>
      </c>
      <c r="D26" s="140" t="s">
        <v>53</v>
      </c>
      <c r="E26" s="140" t="s">
        <v>29</v>
      </c>
      <c r="F26" s="140" t="s">
        <v>82</v>
      </c>
      <c r="G26" s="140" t="s">
        <v>31</v>
      </c>
      <c r="H26" s="140" t="s">
        <v>84</v>
      </c>
      <c r="I26" s="140">
        <v>1</v>
      </c>
      <c r="J26" s="140">
        <v>1</v>
      </c>
      <c r="K26" s="140">
        <v>0.75</v>
      </c>
      <c r="L26" s="140">
        <v>0.85</v>
      </c>
      <c r="M26" s="140">
        <v>1</v>
      </c>
      <c r="N26" s="140" t="s">
        <v>33</v>
      </c>
      <c r="O26" s="140" t="s">
        <v>34</v>
      </c>
      <c r="P26" s="140" t="s">
        <v>35</v>
      </c>
      <c r="Q26" s="200" t="s">
        <v>198</v>
      </c>
      <c r="R26" s="140" t="s">
        <v>36</v>
      </c>
      <c r="S26" s="141">
        <v>2004</v>
      </c>
      <c r="T26" s="140" t="s">
        <v>37</v>
      </c>
      <c r="U26" s="140">
        <v>20</v>
      </c>
      <c r="V26" s="140">
        <v>0.31338197955563979</v>
      </c>
      <c r="W26" s="140">
        <v>30</v>
      </c>
      <c r="X26" s="140">
        <v>2034</v>
      </c>
      <c r="Y26" s="140" t="s">
        <v>38</v>
      </c>
      <c r="Z26" s="140">
        <v>14</v>
      </c>
      <c r="AA26" s="140" t="s">
        <v>39</v>
      </c>
      <c r="AB26" s="142" t="s">
        <v>40</v>
      </c>
      <c r="AD26" s="137">
        <f t="shared" si="1"/>
        <v>0.23503648466672983</v>
      </c>
    </row>
    <row r="27" spans="1:30">
      <c r="A27" s="138">
        <v>2360</v>
      </c>
      <c r="B27" s="139" t="str">
        <f t="shared" si="0"/>
        <v>Exist_KI_5MW_OIL_UID2360</v>
      </c>
      <c r="C27" s="140" t="s">
        <v>27</v>
      </c>
      <c r="D27" s="140" t="s">
        <v>85</v>
      </c>
      <c r="E27" s="140" t="s">
        <v>29</v>
      </c>
      <c r="F27" s="140" t="s">
        <v>86</v>
      </c>
      <c r="G27" s="140" t="s">
        <v>31</v>
      </c>
      <c r="H27" s="140" t="s">
        <v>87</v>
      </c>
      <c r="I27" s="140">
        <v>1</v>
      </c>
      <c r="J27" s="140">
        <v>7.6</v>
      </c>
      <c r="K27" s="140">
        <v>5</v>
      </c>
      <c r="L27" s="140">
        <v>0.85</v>
      </c>
      <c r="M27" s="140">
        <v>7.6</v>
      </c>
      <c r="N27" s="140" t="s">
        <v>33</v>
      </c>
      <c r="O27" s="143" t="s">
        <v>88</v>
      </c>
      <c r="P27" s="140" t="s">
        <v>35</v>
      </c>
      <c r="Q27" s="200" t="s">
        <v>198</v>
      </c>
      <c r="R27" s="140" t="s">
        <v>36</v>
      </c>
      <c r="S27" s="141">
        <v>1993</v>
      </c>
      <c r="T27" s="140" t="s">
        <v>37</v>
      </c>
      <c r="U27" s="140">
        <v>20</v>
      </c>
      <c r="V27" s="140">
        <v>0.31338197955563979</v>
      </c>
      <c r="W27" s="140">
        <v>30</v>
      </c>
      <c r="X27" s="140">
        <v>2023</v>
      </c>
      <c r="Y27" s="140" t="s">
        <v>38</v>
      </c>
      <c r="Z27" s="140">
        <v>25</v>
      </c>
      <c r="AA27" s="140" t="s">
        <v>39</v>
      </c>
      <c r="AB27" s="142" t="s">
        <v>40</v>
      </c>
      <c r="AD27" s="137">
        <f t="shared" si="1"/>
        <v>1.566909897778199</v>
      </c>
    </row>
    <row r="28" spans="1:30">
      <c r="A28" s="138">
        <v>2365</v>
      </c>
      <c r="B28" s="139" t="str">
        <f t="shared" si="0"/>
        <v>Exist_KI_0.5MW_OIL_UID2365</v>
      </c>
      <c r="C28" s="140" t="s">
        <v>27</v>
      </c>
      <c r="D28" s="140" t="s">
        <v>85</v>
      </c>
      <c r="E28" s="140" t="s">
        <v>29</v>
      </c>
      <c r="F28" s="140" t="s">
        <v>89</v>
      </c>
      <c r="G28" s="140" t="s">
        <v>31</v>
      </c>
      <c r="H28" s="140" t="s">
        <v>90</v>
      </c>
      <c r="I28" s="140">
        <v>1</v>
      </c>
      <c r="J28" s="140">
        <v>0.82299999999999995</v>
      </c>
      <c r="K28" s="140">
        <v>0.5</v>
      </c>
      <c r="L28" s="140">
        <v>0.85</v>
      </c>
      <c r="M28" s="140">
        <v>0.82299999999999995</v>
      </c>
      <c r="N28" s="140" t="s">
        <v>33</v>
      </c>
      <c r="O28" s="140" t="s">
        <v>34</v>
      </c>
      <c r="P28" s="140" t="s">
        <v>35</v>
      </c>
      <c r="Q28" s="200" t="s">
        <v>198</v>
      </c>
      <c r="R28" s="140" t="s">
        <v>36</v>
      </c>
      <c r="S28" s="141">
        <v>2003</v>
      </c>
      <c r="T28" s="140" t="s">
        <v>37</v>
      </c>
      <c r="U28" s="140">
        <v>20</v>
      </c>
      <c r="V28" s="140">
        <v>0.31338197955563979</v>
      </c>
      <c r="W28" s="140">
        <v>30</v>
      </c>
      <c r="X28" s="140">
        <v>2033</v>
      </c>
      <c r="Y28" s="140" t="s">
        <v>38</v>
      </c>
      <c r="Z28" s="140">
        <v>15</v>
      </c>
      <c r="AA28" s="140" t="s">
        <v>39</v>
      </c>
      <c r="AB28" s="142" t="s">
        <v>40</v>
      </c>
      <c r="AD28" s="137">
        <f t="shared" si="1"/>
        <v>0.15669098977781989</v>
      </c>
    </row>
    <row r="29" spans="1:30">
      <c r="A29" s="138">
        <v>2366</v>
      </c>
      <c r="B29" s="139" t="str">
        <f t="shared" si="0"/>
        <v>Exist_KI_0.5MW_OIL_UID2366</v>
      </c>
      <c r="C29" s="140" t="s">
        <v>27</v>
      </c>
      <c r="D29" s="140" t="s">
        <v>85</v>
      </c>
      <c r="E29" s="140" t="s">
        <v>29</v>
      </c>
      <c r="F29" s="140" t="s">
        <v>89</v>
      </c>
      <c r="G29" s="140" t="s">
        <v>31</v>
      </c>
      <c r="H29" s="140" t="s">
        <v>91</v>
      </c>
      <c r="I29" s="140">
        <v>1</v>
      </c>
      <c r="J29" s="140">
        <v>0.82299999999999995</v>
      </c>
      <c r="K29" s="140">
        <v>0.5</v>
      </c>
      <c r="L29" s="140">
        <v>0.85</v>
      </c>
      <c r="M29" s="140">
        <v>0.82299999999999995</v>
      </c>
      <c r="N29" s="140" t="s">
        <v>33</v>
      </c>
      <c r="O29" s="140" t="s">
        <v>34</v>
      </c>
      <c r="P29" s="140" t="s">
        <v>35</v>
      </c>
      <c r="Q29" s="200" t="s">
        <v>198</v>
      </c>
      <c r="R29" s="140" t="s">
        <v>36</v>
      </c>
      <c r="S29" s="141">
        <v>2003</v>
      </c>
      <c r="T29" s="140" t="s">
        <v>37</v>
      </c>
      <c r="U29" s="140">
        <v>20</v>
      </c>
      <c r="V29" s="140">
        <v>0.31338197955563979</v>
      </c>
      <c r="W29" s="140">
        <v>30</v>
      </c>
      <c r="X29" s="140">
        <v>2033</v>
      </c>
      <c r="Y29" s="140" t="s">
        <v>38</v>
      </c>
      <c r="Z29" s="140">
        <v>15</v>
      </c>
      <c r="AA29" s="140" t="s">
        <v>39</v>
      </c>
      <c r="AB29" s="142" t="s">
        <v>40</v>
      </c>
      <c r="AD29" s="137">
        <f t="shared" si="1"/>
        <v>0.15669098977781989</v>
      </c>
    </row>
    <row r="30" spans="1:30">
      <c r="A30" s="138">
        <v>2367</v>
      </c>
      <c r="B30" s="139" t="str">
        <f t="shared" si="0"/>
        <v>Exist_KI_0.5MW_OIL_UID2367</v>
      </c>
      <c r="C30" s="140" t="s">
        <v>27</v>
      </c>
      <c r="D30" s="140" t="s">
        <v>85</v>
      </c>
      <c r="E30" s="140" t="s">
        <v>29</v>
      </c>
      <c r="F30" s="140" t="s">
        <v>89</v>
      </c>
      <c r="G30" s="140" t="s">
        <v>31</v>
      </c>
      <c r="H30" s="140" t="s">
        <v>92</v>
      </c>
      <c r="I30" s="140">
        <v>1</v>
      </c>
      <c r="J30" s="140">
        <v>0.82299999999999995</v>
      </c>
      <c r="K30" s="140">
        <v>0.5</v>
      </c>
      <c r="L30" s="140">
        <v>0.85</v>
      </c>
      <c r="M30" s="140">
        <v>0.82299999999999995</v>
      </c>
      <c r="N30" s="140" t="s">
        <v>33</v>
      </c>
      <c r="O30" s="140" t="s">
        <v>34</v>
      </c>
      <c r="P30" s="140" t="s">
        <v>35</v>
      </c>
      <c r="Q30" s="200" t="s">
        <v>198</v>
      </c>
      <c r="R30" s="140" t="s">
        <v>36</v>
      </c>
      <c r="S30" s="141">
        <v>2003</v>
      </c>
      <c r="T30" s="140" t="s">
        <v>37</v>
      </c>
      <c r="U30" s="140">
        <v>20</v>
      </c>
      <c r="V30" s="140">
        <v>0.31338197955563979</v>
      </c>
      <c r="W30" s="140">
        <v>30</v>
      </c>
      <c r="X30" s="140">
        <v>2033</v>
      </c>
      <c r="Y30" s="140" t="s">
        <v>38</v>
      </c>
      <c r="Z30" s="140">
        <v>15</v>
      </c>
      <c r="AA30" s="140" t="s">
        <v>39</v>
      </c>
      <c r="AB30" s="142" t="s">
        <v>40</v>
      </c>
      <c r="AD30" s="137">
        <f t="shared" si="1"/>
        <v>0.15669098977781989</v>
      </c>
    </row>
    <row r="31" spans="1:30">
      <c r="A31" s="138">
        <v>2368</v>
      </c>
      <c r="B31" s="139" t="str">
        <f t="shared" si="0"/>
        <v>Exist_KI_0.5MW_OIL_UID2368</v>
      </c>
      <c r="C31" s="140" t="s">
        <v>27</v>
      </c>
      <c r="D31" s="140" t="s">
        <v>85</v>
      </c>
      <c r="E31" s="140" t="s">
        <v>29</v>
      </c>
      <c r="F31" s="140" t="s">
        <v>89</v>
      </c>
      <c r="G31" s="140" t="s">
        <v>31</v>
      </c>
      <c r="H31" s="140" t="s">
        <v>93</v>
      </c>
      <c r="I31" s="140">
        <v>1</v>
      </c>
      <c r="J31" s="140">
        <v>0.82299999999999995</v>
      </c>
      <c r="K31" s="140">
        <v>0.5</v>
      </c>
      <c r="L31" s="140">
        <v>0.85</v>
      </c>
      <c r="M31" s="140">
        <v>0.82299999999999995</v>
      </c>
      <c r="N31" s="140" t="s">
        <v>33</v>
      </c>
      <c r="O31" s="140" t="s">
        <v>34</v>
      </c>
      <c r="P31" s="140" t="s">
        <v>35</v>
      </c>
      <c r="Q31" s="200" t="s">
        <v>198</v>
      </c>
      <c r="R31" s="140" t="s">
        <v>36</v>
      </c>
      <c r="S31" s="141">
        <v>2003</v>
      </c>
      <c r="T31" s="140" t="s">
        <v>37</v>
      </c>
      <c r="U31" s="140">
        <v>20</v>
      </c>
      <c r="V31" s="140">
        <v>0.31338197955563979</v>
      </c>
      <c r="W31" s="140">
        <v>30</v>
      </c>
      <c r="X31" s="140">
        <v>2033</v>
      </c>
      <c r="Y31" s="140" t="s">
        <v>38</v>
      </c>
      <c r="Z31" s="140">
        <v>15</v>
      </c>
      <c r="AA31" s="140" t="s">
        <v>39</v>
      </c>
      <c r="AB31" s="142" t="s">
        <v>40</v>
      </c>
      <c r="AD31" s="137">
        <f t="shared" si="1"/>
        <v>0.15669098977781989</v>
      </c>
    </row>
    <row r="32" spans="1:30">
      <c r="A32" s="138">
        <v>2369</v>
      </c>
      <c r="B32" s="139" t="str">
        <f t="shared" si="0"/>
        <v>Exist_KI_5.5MW_GAS_UID2369</v>
      </c>
      <c r="C32" s="140" t="s">
        <v>27</v>
      </c>
      <c r="D32" s="140" t="s">
        <v>85</v>
      </c>
      <c r="E32" s="140" t="s">
        <v>29</v>
      </c>
      <c r="F32" s="140" t="s">
        <v>89</v>
      </c>
      <c r="G32" s="140" t="s">
        <v>55</v>
      </c>
      <c r="H32" s="140" t="s">
        <v>94</v>
      </c>
      <c r="I32" s="140">
        <v>1</v>
      </c>
      <c r="J32" s="140">
        <v>6.97</v>
      </c>
      <c r="K32" s="140">
        <v>5.5</v>
      </c>
      <c r="L32" s="140">
        <v>0.85</v>
      </c>
      <c r="M32" s="140">
        <v>6.97</v>
      </c>
      <c r="N32" s="140" t="s">
        <v>33</v>
      </c>
      <c r="O32" s="140" t="s">
        <v>44</v>
      </c>
      <c r="P32" s="140" t="s">
        <v>45</v>
      </c>
      <c r="Q32" s="200" t="s">
        <v>197</v>
      </c>
      <c r="R32" s="140" t="s">
        <v>36</v>
      </c>
      <c r="S32" s="141">
        <v>2009</v>
      </c>
      <c r="T32" s="140" t="s">
        <v>37</v>
      </c>
      <c r="U32" s="140">
        <v>20</v>
      </c>
      <c r="V32" s="140">
        <v>0.29874067698209689</v>
      </c>
      <c r="W32" s="140">
        <v>45</v>
      </c>
      <c r="X32" s="140">
        <v>2054</v>
      </c>
      <c r="Y32" s="140" t="s">
        <v>38</v>
      </c>
      <c r="Z32" s="140">
        <v>9</v>
      </c>
      <c r="AA32" s="140" t="s">
        <v>39</v>
      </c>
      <c r="AB32" s="142" t="s">
        <v>46</v>
      </c>
      <c r="AD32" s="137">
        <f t="shared" si="1"/>
        <v>1.6430737234015329</v>
      </c>
    </row>
    <row r="33" spans="1:30">
      <c r="A33" s="138">
        <v>2370</v>
      </c>
      <c r="B33" s="139" t="str">
        <f t="shared" si="0"/>
        <v>Exist_KI_5.5MW_GAS_UID2370</v>
      </c>
      <c r="C33" s="140" t="s">
        <v>27</v>
      </c>
      <c r="D33" s="140" t="s">
        <v>85</v>
      </c>
      <c r="E33" s="140" t="s">
        <v>29</v>
      </c>
      <c r="F33" s="140" t="s">
        <v>89</v>
      </c>
      <c r="G33" s="140" t="s">
        <v>55</v>
      </c>
      <c r="H33" s="140" t="s">
        <v>95</v>
      </c>
      <c r="I33" s="140">
        <v>1</v>
      </c>
      <c r="J33" s="140">
        <v>6.97</v>
      </c>
      <c r="K33" s="140">
        <v>5.5</v>
      </c>
      <c r="L33" s="140">
        <v>0.85</v>
      </c>
      <c r="M33" s="140">
        <v>6.97</v>
      </c>
      <c r="N33" s="140" t="s">
        <v>33</v>
      </c>
      <c r="O33" s="140" t="s">
        <v>44</v>
      </c>
      <c r="P33" s="140" t="s">
        <v>45</v>
      </c>
      <c r="Q33" s="200" t="s">
        <v>197</v>
      </c>
      <c r="R33" s="140" t="s">
        <v>36</v>
      </c>
      <c r="S33" s="141">
        <v>2009</v>
      </c>
      <c r="T33" s="140" t="s">
        <v>37</v>
      </c>
      <c r="U33" s="140">
        <v>20</v>
      </c>
      <c r="V33" s="140">
        <v>0.29874067698209689</v>
      </c>
      <c r="W33" s="140">
        <v>45</v>
      </c>
      <c r="X33" s="140">
        <v>2054</v>
      </c>
      <c r="Y33" s="140" t="s">
        <v>38</v>
      </c>
      <c r="Z33" s="140">
        <v>9</v>
      </c>
      <c r="AA33" s="140" t="s">
        <v>39</v>
      </c>
      <c r="AB33" s="142" t="s">
        <v>46</v>
      </c>
      <c r="AD33" s="137">
        <f t="shared" si="1"/>
        <v>1.6430737234015329</v>
      </c>
    </row>
    <row r="34" spans="1:30">
      <c r="A34" s="138">
        <v>2371</v>
      </c>
      <c r="B34" s="139" t="str">
        <f t="shared" si="0"/>
        <v>Exist_KI_7.5MW_GAS_UID2371</v>
      </c>
      <c r="C34" s="140" t="s">
        <v>27</v>
      </c>
      <c r="D34" s="140" t="s">
        <v>85</v>
      </c>
      <c r="E34" s="140" t="s">
        <v>29</v>
      </c>
      <c r="F34" s="140" t="s">
        <v>89</v>
      </c>
      <c r="G34" s="140" t="s">
        <v>55</v>
      </c>
      <c r="H34" s="144" t="s">
        <v>96</v>
      </c>
      <c r="I34" s="140">
        <v>1</v>
      </c>
      <c r="J34" s="140">
        <v>9.7799999999999994</v>
      </c>
      <c r="K34" s="140">
        <v>7.5</v>
      </c>
      <c r="L34" s="140">
        <v>0.85</v>
      </c>
      <c r="M34" s="140">
        <v>9.7799999999999994</v>
      </c>
      <c r="N34" s="140" t="s">
        <v>33</v>
      </c>
      <c r="O34" s="140" t="s">
        <v>44</v>
      </c>
      <c r="P34" s="140" t="s">
        <v>45</v>
      </c>
      <c r="Q34" s="200" t="s">
        <v>197</v>
      </c>
      <c r="R34" s="140" t="s">
        <v>36</v>
      </c>
      <c r="S34" s="141">
        <v>2018</v>
      </c>
      <c r="T34" s="140" t="s">
        <v>37</v>
      </c>
      <c r="U34" s="140">
        <v>20</v>
      </c>
      <c r="V34" s="140">
        <v>0.30140634976367026</v>
      </c>
      <c r="W34" s="140">
        <v>45</v>
      </c>
      <c r="X34" s="140">
        <v>2063</v>
      </c>
      <c r="Y34" s="140" t="s">
        <v>38</v>
      </c>
      <c r="Z34" s="140">
        <v>0</v>
      </c>
      <c r="AA34" s="140" t="s">
        <v>39</v>
      </c>
      <c r="AB34" s="142" t="s">
        <v>46</v>
      </c>
      <c r="AD34" s="137">
        <f t="shared" si="1"/>
        <v>2.2605476232275268</v>
      </c>
    </row>
    <row r="35" spans="1:30">
      <c r="A35" s="138">
        <v>2372</v>
      </c>
      <c r="B35" s="139" t="str">
        <f t="shared" si="0"/>
        <v>Exist_KI_7.5MW_GAS_UID2372</v>
      </c>
      <c r="C35" s="140" t="s">
        <v>27</v>
      </c>
      <c r="D35" s="140" t="s">
        <v>85</v>
      </c>
      <c r="E35" s="140" t="s">
        <v>29</v>
      </c>
      <c r="F35" s="140" t="s">
        <v>89</v>
      </c>
      <c r="G35" s="140" t="s">
        <v>55</v>
      </c>
      <c r="H35" s="144" t="s">
        <v>97</v>
      </c>
      <c r="I35" s="140">
        <v>1</v>
      </c>
      <c r="J35" s="140">
        <v>9.7799999999999994</v>
      </c>
      <c r="K35" s="140">
        <v>7.5</v>
      </c>
      <c r="L35" s="140">
        <v>0.85</v>
      </c>
      <c r="M35" s="140">
        <v>9.7799999999999994</v>
      </c>
      <c r="N35" s="140" t="s">
        <v>33</v>
      </c>
      <c r="O35" s="140" t="s">
        <v>44</v>
      </c>
      <c r="P35" s="140" t="s">
        <v>45</v>
      </c>
      <c r="Q35" s="200" t="s">
        <v>197</v>
      </c>
      <c r="R35" s="140" t="s">
        <v>36</v>
      </c>
      <c r="S35" s="141">
        <v>2018</v>
      </c>
      <c r="T35" s="140" t="s">
        <v>37</v>
      </c>
      <c r="U35" s="140">
        <v>20</v>
      </c>
      <c r="V35" s="140">
        <v>0.30140634976367026</v>
      </c>
      <c r="W35" s="140">
        <v>45</v>
      </c>
      <c r="X35" s="140">
        <v>2063</v>
      </c>
      <c r="Y35" s="140" t="s">
        <v>38</v>
      </c>
      <c r="Z35" s="140">
        <v>0</v>
      </c>
      <c r="AA35" s="140" t="s">
        <v>39</v>
      </c>
      <c r="AB35" s="142" t="s">
        <v>46</v>
      </c>
      <c r="AD35" s="137">
        <f t="shared" si="1"/>
        <v>2.2605476232275268</v>
      </c>
    </row>
    <row r="36" spans="1:30">
      <c r="A36" s="138">
        <v>2373</v>
      </c>
      <c r="B36" s="139" t="str">
        <f t="shared" si="0"/>
        <v>Exist_KI_7.5MW_GAS_UID2373</v>
      </c>
      <c r="C36" s="140" t="s">
        <v>27</v>
      </c>
      <c r="D36" s="140" t="s">
        <v>85</v>
      </c>
      <c r="E36" s="140" t="s">
        <v>29</v>
      </c>
      <c r="F36" s="140" t="s">
        <v>89</v>
      </c>
      <c r="G36" s="140" t="s">
        <v>55</v>
      </c>
      <c r="H36" s="144" t="s">
        <v>98</v>
      </c>
      <c r="I36" s="140">
        <v>1</v>
      </c>
      <c r="J36" s="140">
        <v>9.7799999999999994</v>
      </c>
      <c r="K36" s="140">
        <v>7.5</v>
      </c>
      <c r="L36" s="140">
        <v>0.85</v>
      </c>
      <c r="M36" s="140">
        <v>9.7799999999999994</v>
      </c>
      <c r="N36" s="140" t="s">
        <v>33</v>
      </c>
      <c r="O36" s="140" t="s">
        <v>44</v>
      </c>
      <c r="P36" s="140" t="s">
        <v>45</v>
      </c>
      <c r="Q36" s="200" t="s">
        <v>197</v>
      </c>
      <c r="R36" s="140" t="s">
        <v>36</v>
      </c>
      <c r="S36" s="141">
        <v>2018</v>
      </c>
      <c r="T36" s="140" t="s">
        <v>37</v>
      </c>
      <c r="U36" s="140">
        <v>20</v>
      </c>
      <c r="V36" s="140">
        <v>0.30140634976367026</v>
      </c>
      <c r="W36" s="140">
        <v>45</v>
      </c>
      <c r="X36" s="140">
        <v>2063</v>
      </c>
      <c r="Y36" s="140" t="s">
        <v>38</v>
      </c>
      <c r="Z36" s="140">
        <v>0</v>
      </c>
      <c r="AA36" s="140" t="s">
        <v>39</v>
      </c>
      <c r="AB36" s="142" t="s">
        <v>46</v>
      </c>
      <c r="AD36" s="137">
        <f t="shared" si="1"/>
        <v>2.2605476232275268</v>
      </c>
    </row>
    <row r="37" spans="1:30">
      <c r="A37" s="138">
        <v>2374</v>
      </c>
      <c r="B37" s="139" t="str">
        <f t="shared" si="0"/>
        <v>Exist_KI_7.5MW_GAS_UID2374</v>
      </c>
      <c r="C37" s="140" t="s">
        <v>27</v>
      </c>
      <c r="D37" s="140" t="s">
        <v>85</v>
      </c>
      <c r="E37" s="140" t="s">
        <v>29</v>
      </c>
      <c r="F37" s="140" t="s">
        <v>89</v>
      </c>
      <c r="G37" s="140" t="s">
        <v>55</v>
      </c>
      <c r="H37" s="140" t="s">
        <v>99</v>
      </c>
      <c r="I37" s="140">
        <v>1</v>
      </c>
      <c r="J37" s="140">
        <v>9.7799999999999994</v>
      </c>
      <c r="K37" s="140">
        <v>7.5</v>
      </c>
      <c r="L37" s="140">
        <v>0.85</v>
      </c>
      <c r="M37" s="140">
        <v>9.7799999999999994</v>
      </c>
      <c r="N37" s="140" t="s">
        <v>33</v>
      </c>
      <c r="O37" s="140" t="s">
        <v>44</v>
      </c>
      <c r="P37" s="140" t="s">
        <v>45</v>
      </c>
      <c r="Q37" s="200" t="s">
        <v>197</v>
      </c>
      <c r="R37" s="140" t="s">
        <v>36</v>
      </c>
      <c r="S37" s="141">
        <v>2017</v>
      </c>
      <c r="T37" s="140" t="s">
        <v>37</v>
      </c>
      <c r="U37" s="140">
        <v>20</v>
      </c>
      <c r="V37" s="140">
        <v>0.29380910656554976</v>
      </c>
      <c r="W37" s="140">
        <v>45</v>
      </c>
      <c r="X37" s="140">
        <v>2062</v>
      </c>
      <c r="Y37" s="140" t="s">
        <v>38</v>
      </c>
      <c r="Z37" s="140">
        <v>1</v>
      </c>
      <c r="AA37" s="140" t="s">
        <v>39</v>
      </c>
      <c r="AB37" s="142" t="s">
        <v>46</v>
      </c>
      <c r="AD37" s="137">
        <f t="shared" si="1"/>
        <v>2.2035682992416232</v>
      </c>
    </row>
    <row r="38" spans="1:30">
      <c r="A38" s="138">
        <v>2384</v>
      </c>
      <c r="B38" s="139" t="str">
        <f t="shared" si="0"/>
        <v>Exist_KI_100MW_COA_UID2384</v>
      </c>
      <c r="C38" s="140" t="s">
        <v>27</v>
      </c>
      <c r="D38" s="140" t="s">
        <v>85</v>
      </c>
      <c r="E38" s="140" t="s">
        <v>29</v>
      </c>
      <c r="F38" s="140" t="s">
        <v>100</v>
      </c>
      <c r="G38" s="140" t="s">
        <v>70</v>
      </c>
      <c r="H38" s="140" t="s">
        <v>101</v>
      </c>
      <c r="I38" s="140">
        <v>1</v>
      </c>
      <c r="J38" s="140">
        <v>110</v>
      </c>
      <c r="K38" s="140">
        <v>100</v>
      </c>
      <c r="L38" s="140">
        <v>0.85</v>
      </c>
      <c r="M38" s="140">
        <v>110</v>
      </c>
      <c r="N38" s="140" t="s">
        <v>33</v>
      </c>
      <c r="O38" s="140" t="s">
        <v>63</v>
      </c>
      <c r="P38" s="140" t="s">
        <v>64</v>
      </c>
      <c r="Q38" s="200" t="s">
        <v>196</v>
      </c>
      <c r="R38" s="140" t="s">
        <v>36</v>
      </c>
      <c r="S38" s="141">
        <v>2017</v>
      </c>
      <c r="T38" s="140" t="s">
        <v>37</v>
      </c>
      <c r="U38" s="140">
        <v>150</v>
      </c>
      <c r="V38" s="140">
        <v>0.32205389588937661</v>
      </c>
      <c r="W38" s="140">
        <v>99</v>
      </c>
      <c r="X38" s="140">
        <v>2116</v>
      </c>
      <c r="Y38" s="140" t="s">
        <v>38</v>
      </c>
      <c r="Z38" s="140">
        <v>1</v>
      </c>
      <c r="AA38" s="140" t="s">
        <v>39</v>
      </c>
      <c r="AB38" s="142" t="s">
        <v>65</v>
      </c>
      <c r="AD38" s="137">
        <f t="shared" si="1"/>
        <v>32.205389588937663</v>
      </c>
    </row>
    <row r="39" spans="1:30">
      <c r="A39" s="138">
        <v>2385</v>
      </c>
      <c r="B39" s="139" t="str">
        <f t="shared" si="0"/>
        <v>Exist_KI_100MW_COA_UID2385</v>
      </c>
      <c r="C39" s="140" t="s">
        <v>27</v>
      </c>
      <c r="D39" s="140" t="s">
        <v>85</v>
      </c>
      <c r="E39" s="140" t="s">
        <v>29</v>
      </c>
      <c r="F39" s="140" t="s">
        <v>100</v>
      </c>
      <c r="G39" s="140" t="s">
        <v>70</v>
      </c>
      <c r="H39" s="140" t="s">
        <v>102</v>
      </c>
      <c r="I39" s="140">
        <v>1</v>
      </c>
      <c r="J39" s="140">
        <v>110</v>
      </c>
      <c r="K39" s="140">
        <v>100</v>
      </c>
      <c r="L39" s="140">
        <v>0.85</v>
      </c>
      <c r="M39" s="140">
        <v>110</v>
      </c>
      <c r="N39" s="140" t="s">
        <v>33</v>
      </c>
      <c r="O39" s="140" t="s">
        <v>63</v>
      </c>
      <c r="P39" s="140" t="s">
        <v>64</v>
      </c>
      <c r="Q39" s="200" t="s">
        <v>196</v>
      </c>
      <c r="R39" s="140" t="s">
        <v>36</v>
      </c>
      <c r="S39" s="141">
        <v>2017</v>
      </c>
      <c r="T39" s="140" t="s">
        <v>37</v>
      </c>
      <c r="U39" s="140">
        <v>150</v>
      </c>
      <c r="V39" s="140">
        <v>0.32205389588937661</v>
      </c>
      <c r="W39" s="140">
        <v>99</v>
      </c>
      <c r="X39" s="140">
        <v>2116</v>
      </c>
      <c r="Y39" s="140" t="s">
        <v>38</v>
      </c>
      <c r="Z39" s="140">
        <v>1</v>
      </c>
      <c r="AA39" s="140" t="s">
        <v>39</v>
      </c>
      <c r="AB39" s="142" t="s">
        <v>65</v>
      </c>
      <c r="AD39" s="137">
        <f t="shared" si="1"/>
        <v>32.205389588937663</v>
      </c>
    </row>
    <row r="40" spans="1:30">
      <c r="A40" s="138">
        <v>2386</v>
      </c>
      <c r="B40" s="139" t="str">
        <f t="shared" si="0"/>
        <v>Exist_KI_20MW_GAS_UID2386</v>
      </c>
      <c r="C40" s="140" t="s">
        <v>27</v>
      </c>
      <c r="D40" s="140" t="s">
        <v>85</v>
      </c>
      <c r="E40" s="140" t="s">
        <v>29</v>
      </c>
      <c r="F40" s="140" t="s">
        <v>103</v>
      </c>
      <c r="G40" s="140" t="s">
        <v>104</v>
      </c>
      <c r="H40" s="140" t="s">
        <v>105</v>
      </c>
      <c r="I40" s="140">
        <v>1</v>
      </c>
      <c r="J40" s="140">
        <v>20</v>
      </c>
      <c r="K40" s="140">
        <v>20</v>
      </c>
      <c r="L40" s="140">
        <v>0.85</v>
      </c>
      <c r="M40" s="140">
        <v>20</v>
      </c>
      <c r="N40" s="140" t="s">
        <v>33</v>
      </c>
      <c r="O40" s="140" t="s">
        <v>44</v>
      </c>
      <c r="P40" s="140" t="s">
        <v>45</v>
      </c>
      <c r="Q40" s="200" t="s">
        <v>197</v>
      </c>
      <c r="R40" s="140" t="s">
        <v>36</v>
      </c>
      <c r="S40" s="141">
        <v>1997</v>
      </c>
      <c r="T40" s="140" t="s">
        <v>37</v>
      </c>
      <c r="U40" s="140">
        <v>150</v>
      </c>
      <c r="V40" s="140">
        <v>0.41835470600421965</v>
      </c>
      <c r="W40" s="140">
        <v>50</v>
      </c>
      <c r="X40" s="140">
        <v>2047</v>
      </c>
      <c r="Y40" s="140" t="s">
        <v>38</v>
      </c>
      <c r="Z40" s="140">
        <v>21</v>
      </c>
      <c r="AA40" s="140" t="s">
        <v>39</v>
      </c>
      <c r="AB40" s="142" t="s">
        <v>46</v>
      </c>
      <c r="AD40" s="137">
        <f t="shared" si="1"/>
        <v>8.367094120084392</v>
      </c>
    </row>
    <row r="41" spans="1:30">
      <c r="A41" s="138">
        <v>2387</v>
      </c>
      <c r="B41" s="139" t="str">
        <f t="shared" si="0"/>
        <v>Exist_KI_20MW_GAS_UID2387</v>
      </c>
      <c r="C41" s="140" t="s">
        <v>27</v>
      </c>
      <c r="D41" s="140" t="s">
        <v>85</v>
      </c>
      <c r="E41" s="140" t="s">
        <v>29</v>
      </c>
      <c r="F41" s="140" t="s">
        <v>103</v>
      </c>
      <c r="G41" s="140" t="s">
        <v>104</v>
      </c>
      <c r="H41" s="140" t="s">
        <v>106</v>
      </c>
      <c r="I41" s="140">
        <v>1</v>
      </c>
      <c r="J41" s="140">
        <v>20</v>
      </c>
      <c r="K41" s="140">
        <v>20</v>
      </c>
      <c r="L41" s="140">
        <v>0.85</v>
      </c>
      <c r="M41" s="140">
        <v>20</v>
      </c>
      <c r="N41" s="140" t="s">
        <v>33</v>
      </c>
      <c r="O41" s="140" t="s">
        <v>44</v>
      </c>
      <c r="P41" s="140" t="s">
        <v>45</v>
      </c>
      <c r="Q41" s="200" t="s">
        <v>197</v>
      </c>
      <c r="R41" s="140" t="s">
        <v>36</v>
      </c>
      <c r="S41" s="141">
        <v>1997</v>
      </c>
      <c r="T41" s="140" t="s">
        <v>37</v>
      </c>
      <c r="U41" s="140">
        <v>150</v>
      </c>
      <c r="V41" s="140">
        <v>0.41835470600421965</v>
      </c>
      <c r="W41" s="140">
        <v>50</v>
      </c>
      <c r="X41" s="140">
        <v>2047</v>
      </c>
      <c r="Y41" s="140" t="s">
        <v>38</v>
      </c>
      <c r="Z41" s="140">
        <v>21</v>
      </c>
      <c r="AA41" s="140" t="s">
        <v>39</v>
      </c>
      <c r="AB41" s="142" t="s">
        <v>46</v>
      </c>
      <c r="AD41" s="137">
        <f t="shared" si="1"/>
        <v>8.367094120084392</v>
      </c>
    </row>
    <row r="42" spans="1:30">
      <c r="A42" s="138">
        <v>2388</v>
      </c>
      <c r="B42" s="139" t="str">
        <f t="shared" si="0"/>
        <v>Exist_KI_14MW_GAS_UID2388</v>
      </c>
      <c r="C42" s="140" t="s">
        <v>27</v>
      </c>
      <c r="D42" s="140" t="s">
        <v>85</v>
      </c>
      <c r="E42" s="140" t="s">
        <v>29</v>
      </c>
      <c r="F42" s="140" t="s">
        <v>103</v>
      </c>
      <c r="G42" s="140" t="s">
        <v>104</v>
      </c>
      <c r="H42" s="140" t="s">
        <v>107</v>
      </c>
      <c r="I42" s="140">
        <v>1</v>
      </c>
      <c r="J42" s="140">
        <v>20</v>
      </c>
      <c r="K42" s="140">
        <v>14</v>
      </c>
      <c r="L42" s="140">
        <v>0.85</v>
      </c>
      <c r="M42" s="140">
        <v>20</v>
      </c>
      <c r="N42" s="140" t="s">
        <v>33</v>
      </c>
      <c r="O42" s="140" t="s">
        <v>44</v>
      </c>
      <c r="P42" s="140" t="s">
        <v>45</v>
      </c>
      <c r="Q42" s="200" t="s">
        <v>197</v>
      </c>
      <c r="R42" s="140" t="s">
        <v>36</v>
      </c>
      <c r="S42" s="141">
        <v>1998</v>
      </c>
      <c r="T42" s="140" t="s">
        <v>37</v>
      </c>
      <c r="U42" s="140">
        <v>150</v>
      </c>
      <c r="V42" s="140">
        <v>0.37627511165842636</v>
      </c>
      <c r="W42" s="140">
        <v>50</v>
      </c>
      <c r="X42" s="140">
        <v>2048</v>
      </c>
      <c r="Y42" s="140" t="s">
        <v>38</v>
      </c>
      <c r="Z42" s="140">
        <v>20</v>
      </c>
      <c r="AA42" s="140" t="s">
        <v>39</v>
      </c>
      <c r="AB42" s="142" t="s">
        <v>46</v>
      </c>
      <c r="AD42" s="137">
        <f t="shared" si="1"/>
        <v>5.2678515632179694</v>
      </c>
    </row>
    <row r="43" spans="1:30">
      <c r="A43" s="138">
        <v>2389</v>
      </c>
      <c r="B43" s="139" t="str">
        <f t="shared" si="0"/>
        <v>Exist_KI_65MW_GAS_UID2389</v>
      </c>
      <c r="C43" s="140" t="s">
        <v>27</v>
      </c>
      <c r="D43" s="140" t="s">
        <v>85</v>
      </c>
      <c r="E43" s="140" t="s">
        <v>29</v>
      </c>
      <c r="F43" s="140" t="s">
        <v>103</v>
      </c>
      <c r="G43" s="140" t="s">
        <v>42</v>
      </c>
      <c r="H43" s="140" t="s">
        <v>108</v>
      </c>
      <c r="I43" s="140">
        <v>1</v>
      </c>
      <c r="J43" s="140">
        <v>70</v>
      </c>
      <c r="K43" s="140">
        <v>65</v>
      </c>
      <c r="L43" s="140">
        <v>0.85</v>
      </c>
      <c r="M43" s="140">
        <v>70</v>
      </c>
      <c r="N43" s="140" t="s">
        <v>33</v>
      </c>
      <c r="O43" s="140" t="s">
        <v>44</v>
      </c>
      <c r="P43" s="140" t="s">
        <v>45</v>
      </c>
      <c r="Q43" s="200" t="s">
        <v>197</v>
      </c>
      <c r="R43" s="140" t="s">
        <v>36</v>
      </c>
      <c r="S43" s="141">
        <v>2014</v>
      </c>
      <c r="T43" s="140" t="s">
        <v>37</v>
      </c>
      <c r="U43" s="140">
        <v>150</v>
      </c>
      <c r="V43" s="140">
        <v>0.27368854818237726</v>
      </c>
      <c r="W43" s="140">
        <v>45</v>
      </c>
      <c r="X43" s="140">
        <v>2059</v>
      </c>
      <c r="Y43" s="140" t="s">
        <v>38</v>
      </c>
      <c r="Z43" s="140">
        <v>4</v>
      </c>
      <c r="AA43" s="140" t="s">
        <v>39</v>
      </c>
      <c r="AB43" s="142" t="s">
        <v>46</v>
      </c>
      <c r="AD43" s="137">
        <f t="shared" si="1"/>
        <v>17.789755631854522</v>
      </c>
    </row>
    <row r="44" spans="1:30">
      <c r="A44" s="138">
        <v>2390</v>
      </c>
      <c r="B44" s="139" t="str">
        <f t="shared" si="0"/>
        <v>Exist_KI_65MW_GAS_UID2390</v>
      </c>
      <c r="C44" s="140" t="s">
        <v>27</v>
      </c>
      <c r="D44" s="140" t="s">
        <v>85</v>
      </c>
      <c r="E44" s="140" t="s">
        <v>29</v>
      </c>
      <c r="F44" s="140" t="s">
        <v>103</v>
      </c>
      <c r="G44" s="140" t="s">
        <v>42</v>
      </c>
      <c r="H44" s="140" t="s">
        <v>109</v>
      </c>
      <c r="I44" s="140">
        <v>1</v>
      </c>
      <c r="J44" s="140">
        <v>70</v>
      </c>
      <c r="K44" s="140">
        <v>65</v>
      </c>
      <c r="L44" s="140">
        <v>0.85</v>
      </c>
      <c r="M44" s="140">
        <v>70</v>
      </c>
      <c r="N44" s="140" t="s">
        <v>33</v>
      </c>
      <c r="O44" s="140" t="s">
        <v>44</v>
      </c>
      <c r="P44" s="140" t="s">
        <v>45</v>
      </c>
      <c r="Q44" s="200" t="s">
        <v>197</v>
      </c>
      <c r="R44" s="140" t="s">
        <v>36</v>
      </c>
      <c r="S44" s="141">
        <v>2014</v>
      </c>
      <c r="T44" s="140" t="s">
        <v>37</v>
      </c>
      <c r="U44" s="140">
        <v>150</v>
      </c>
      <c r="V44" s="140">
        <v>0.27368854818237726</v>
      </c>
      <c r="W44" s="140">
        <v>45</v>
      </c>
      <c r="X44" s="140">
        <v>2059</v>
      </c>
      <c r="Y44" s="140" t="s">
        <v>38</v>
      </c>
      <c r="Z44" s="140">
        <v>4</v>
      </c>
      <c r="AA44" s="140" t="s">
        <v>39</v>
      </c>
      <c r="AB44" s="142" t="s">
        <v>46</v>
      </c>
      <c r="AD44" s="137">
        <f t="shared" si="1"/>
        <v>17.789755631854522</v>
      </c>
    </row>
    <row r="45" spans="1:30">
      <c r="A45" s="138">
        <v>2391</v>
      </c>
      <c r="B45" s="139" t="str">
        <f t="shared" si="0"/>
        <v>Exist_KI_17MW_GAS_UID2391</v>
      </c>
      <c r="C45" s="140" t="s">
        <v>27</v>
      </c>
      <c r="D45" s="140" t="s">
        <v>85</v>
      </c>
      <c r="E45" s="140" t="s">
        <v>29</v>
      </c>
      <c r="F45" s="140" t="s">
        <v>103</v>
      </c>
      <c r="G45" s="140" t="s">
        <v>42</v>
      </c>
      <c r="H45" s="140" t="s">
        <v>110</v>
      </c>
      <c r="I45" s="140">
        <v>1</v>
      </c>
      <c r="J45" s="140">
        <v>20</v>
      </c>
      <c r="K45" s="140">
        <v>17</v>
      </c>
      <c r="L45" s="140">
        <v>0.85</v>
      </c>
      <c r="M45" s="140">
        <v>20</v>
      </c>
      <c r="N45" s="140" t="s">
        <v>33</v>
      </c>
      <c r="O45" s="140" t="s">
        <v>44</v>
      </c>
      <c r="P45" s="140" t="s">
        <v>45</v>
      </c>
      <c r="Q45" s="200" t="s">
        <v>197</v>
      </c>
      <c r="R45" s="140" t="s">
        <v>36</v>
      </c>
      <c r="S45" s="141">
        <v>2009</v>
      </c>
      <c r="T45" s="140" t="s">
        <v>37</v>
      </c>
      <c r="U45" s="140">
        <v>20</v>
      </c>
      <c r="V45" s="140">
        <v>0.29874067698209689</v>
      </c>
      <c r="W45" s="140">
        <v>45</v>
      </c>
      <c r="X45" s="140">
        <v>2054</v>
      </c>
      <c r="Y45" s="140" t="s">
        <v>38</v>
      </c>
      <c r="Z45" s="140">
        <v>9</v>
      </c>
      <c r="AA45" s="140" t="s">
        <v>39</v>
      </c>
      <c r="AB45" s="142" t="s">
        <v>46</v>
      </c>
      <c r="AD45" s="137">
        <f t="shared" si="1"/>
        <v>5.0785915086956468</v>
      </c>
    </row>
    <row r="46" spans="1:30">
      <c r="A46" s="138">
        <v>2392</v>
      </c>
      <c r="B46" s="139" t="str">
        <f t="shared" si="0"/>
        <v>Exist_KI_17MW_GAS_UID2392</v>
      </c>
      <c r="C46" s="140" t="s">
        <v>27</v>
      </c>
      <c r="D46" s="140" t="s">
        <v>85</v>
      </c>
      <c r="E46" s="140" t="s">
        <v>29</v>
      </c>
      <c r="F46" s="140" t="s">
        <v>103</v>
      </c>
      <c r="G46" s="140" t="s">
        <v>42</v>
      </c>
      <c r="H46" s="140" t="s">
        <v>111</v>
      </c>
      <c r="I46" s="140">
        <v>1</v>
      </c>
      <c r="J46" s="140">
        <v>20</v>
      </c>
      <c r="K46" s="140">
        <v>17</v>
      </c>
      <c r="L46" s="140">
        <v>0.85</v>
      </c>
      <c r="M46" s="140">
        <v>20</v>
      </c>
      <c r="N46" s="140" t="s">
        <v>33</v>
      </c>
      <c r="O46" s="140" t="s">
        <v>44</v>
      </c>
      <c r="P46" s="140" t="s">
        <v>45</v>
      </c>
      <c r="Q46" s="200" t="s">
        <v>197</v>
      </c>
      <c r="R46" s="140" t="s">
        <v>36</v>
      </c>
      <c r="S46" s="141">
        <v>2009</v>
      </c>
      <c r="T46" s="140" t="s">
        <v>37</v>
      </c>
      <c r="U46" s="140">
        <v>20</v>
      </c>
      <c r="V46" s="140">
        <v>0.29874067698209689</v>
      </c>
      <c r="W46" s="140">
        <v>45</v>
      </c>
      <c r="X46" s="140">
        <v>2054</v>
      </c>
      <c r="Y46" s="140" t="s">
        <v>38</v>
      </c>
      <c r="Z46" s="140">
        <v>9</v>
      </c>
      <c r="AA46" s="140" t="s">
        <v>39</v>
      </c>
      <c r="AB46" s="142" t="s">
        <v>46</v>
      </c>
      <c r="AD46" s="137">
        <f t="shared" si="1"/>
        <v>5.0785915086956468</v>
      </c>
    </row>
    <row r="47" spans="1:30">
      <c r="A47" s="138">
        <v>2393</v>
      </c>
      <c r="B47" s="139" t="str">
        <f t="shared" si="0"/>
        <v>Exist_KI_0.7MW_OIL_UID2393</v>
      </c>
      <c r="C47" s="140" t="s">
        <v>27</v>
      </c>
      <c r="D47" s="140" t="s">
        <v>85</v>
      </c>
      <c r="E47" s="140" t="s">
        <v>29</v>
      </c>
      <c r="F47" s="140" t="s">
        <v>112</v>
      </c>
      <c r="G47" s="140" t="s">
        <v>31</v>
      </c>
      <c r="H47" s="140" t="s">
        <v>113</v>
      </c>
      <c r="I47" s="140">
        <v>1</v>
      </c>
      <c r="J47" s="140">
        <v>1</v>
      </c>
      <c r="K47" s="140">
        <v>0.7</v>
      </c>
      <c r="L47" s="140">
        <v>0.85</v>
      </c>
      <c r="M47" s="140">
        <v>1</v>
      </c>
      <c r="N47" s="140" t="s">
        <v>33</v>
      </c>
      <c r="O47" s="140" t="s">
        <v>34</v>
      </c>
      <c r="P47" s="140" t="s">
        <v>35</v>
      </c>
      <c r="Q47" s="200" t="s">
        <v>198</v>
      </c>
      <c r="R47" s="140" t="s">
        <v>36</v>
      </c>
      <c r="S47" s="141">
        <v>2005</v>
      </c>
      <c r="T47" s="140" t="s">
        <v>37</v>
      </c>
      <c r="U47" s="140">
        <v>20</v>
      </c>
      <c r="V47" s="140">
        <v>0.31338197955563979</v>
      </c>
      <c r="W47" s="140">
        <v>30</v>
      </c>
      <c r="X47" s="140">
        <v>2035</v>
      </c>
      <c r="Y47" s="140" t="s">
        <v>38</v>
      </c>
      <c r="Z47" s="140">
        <v>13</v>
      </c>
      <c r="AA47" s="140" t="s">
        <v>39</v>
      </c>
      <c r="AB47" s="142" t="s">
        <v>40</v>
      </c>
      <c r="AD47" s="137">
        <f t="shared" si="1"/>
        <v>0.21936738568894784</v>
      </c>
    </row>
    <row r="48" spans="1:30">
      <c r="A48" s="138">
        <v>2394</v>
      </c>
      <c r="B48" s="139" t="str">
        <f t="shared" si="0"/>
        <v>Exist_KI_0.8MW_OIL_UID2394</v>
      </c>
      <c r="C48" s="140" t="s">
        <v>27</v>
      </c>
      <c r="D48" s="140" t="s">
        <v>85</v>
      </c>
      <c r="E48" s="140" t="s">
        <v>29</v>
      </c>
      <c r="F48" s="140" t="s">
        <v>112</v>
      </c>
      <c r="G48" s="140" t="s">
        <v>31</v>
      </c>
      <c r="H48" s="140" t="s">
        <v>114</v>
      </c>
      <c r="I48" s="140">
        <v>1</v>
      </c>
      <c r="J48" s="140">
        <v>0.94</v>
      </c>
      <c r="K48" s="140">
        <v>0.75</v>
      </c>
      <c r="L48" s="140">
        <v>0.85</v>
      </c>
      <c r="M48" s="140">
        <v>0.94</v>
      </c>
      <c r="N48" s="140" t="s">
        <v>33</v>
      </c>
      <c r="O48" s="140" t="s">
        <v>34</v>
      </c>
      <c r="P48" s="140" t="s">
        <v>35</v>
      </c>
      <c r="Q48" s="200" t="s">
        <v>198</v>
      </c>
      <c r="R48" s="140" t="s">
        <v>36</v>
      </c>
      <c r="S48" s="141">
        <v>1996</v>
      </c>
      <c r="T48" s="140" t="s">
        <v>37</v>
      </c>
      <c r="U48" s="140">
        <v>20</v>
      </c>
      <c r="V48" s="140">
        <v>0.31338197955563979</v>
      </c>
      <c r="W48" s="140">
        <v>30</v>
      </c>
      <c r="X48" s="140">
        <v>2026</v>
      </c>
      <c r="Y48" s="140" t="s">
        <v>38</v>
      </c>
      <c r="Z48" s="140">
        <v>22</v>
      </c>
      <c r="AA48" s="140" t="s">
        <v>39</v>
      </c>
      <c r="AB48" s="142" t="s">
        <v>40</v>
      </c>
      <c r="AD48" s="137">
        <f t="shared" si="1"/>
        <v>0.23503648466672983</v>
      </c>
    </row>
    <row r="49" spans="1:30">
      <c r="A49" s="138">
        <v>2395</v>
      </c>
      <c r="B49" s="139" t="str">
        <f t="shared" si="0"/>
        <v>Exist_KI_0.3MW_OIL_UID2395</v>
      </c>
      <c r="C49" s="140" t="s">
        <v>27</v>
      </c>
      <c r="D49" s="140" t="s">
        <v>85</v>
      </c>
      <c r="E49" s="140" t="s">
        <v>29</v>
      </c>
      <c r="F49" s="140" t="s">
        <v>112</v>
      </c>
      <c r="G49" s="140" t="s">
        <v>31</v>
      </c>
      <c r="H49" s="140" t="s">
        <v>115</v>
      </c>
      <c r="I49" s="140">
        <v>1</v>
      </c>
      <c r="J49" s="140">
        <v>0.4</v>
      </c>
      <c r="K49" s="140">
        <v>0.32</v>
      </c>
      <c r="L49" s="140">
        <v>0.85</v>
      </c>
      <c r="M49" s="140">
        <v>0.4</v>
      </c>
      <c r="N49" s="140" t="s">
        <v>33</v>
      </c>
      <c r="O49" s="140" t="s">
        <v>34</v>
      </c>
      <c r="P49" s="140" t="s">
        <v>35</v>
      </c>
      <c r="Q49" s="200" t="s">
        <v>198</v>
      </c>
      <c r="R49" s="140" t="s">
        <v>36</v>
      </c>
      <c r="S49" s="141">
        <v>2002</v>
      </c>
      <c r="T49" s="140" t="s">
        <v>37</v>
      </c>
      <c r="U49" s="140">
        <v>20</v>
      </c>
      <c r="V49" s="140">
        <v>0.31338197955563979</v>
      </c>
      <c r="W49" s="140">
        <v>30</v>
      </c>
      <c r="X49" s="140">
        <v>2032</v>
      </c>
      <c r="Y49" s="140" t="s">
        <v>38</v>
      </c>
      <c r="Z49" s="140">
        <v>16</v>
      </c>
      <c r="AA49" s="140" t="s">
        <v>39</v>
      </c>
      <c r="AB49" s="142" t="s">
        <v>40</v>
      </c>
      <c r="AD49" s="137">
        <f t="shared" si="1"/>
        <v>0.10028223345780474</v>
      </c>
    </row>
    <row r="50" spans="1:30">
      <c r="A50" s="138">
        <v>2396</v>
      </c>
      <c r="B50" s="139" t="str">
        <f t="shared" si="0"/>
        <v>Exist_KI_0.3MW_OIL_UID2396</v>
      </c>
      <c r="C50" s="140" t="s">
        <v>27</v>
      </c>
      <c r="D50" s="140" t="s">
        <v>85</v>
      </c>
      <c r="E50" s="140" t="s">
        <v>29</v>
      </c>
      <c r="F50" s="140" t="s">
        <v>112</v>
      </c>
      <c r="G50" s="140" t="s">
        <v>31</v>
      </c>
      <c r="H50" s="140" t="s">
        <v>116</v>
      </c>
      <c r="I50" s="140">
        <v>1</v>
      </c>
      <c r="J50" s="140">
        <v>0.4</v>
      </c>
      <c r="K50" s="140">
        <v>0.32</v>
      </c>
      <c r="L50" s="140">
        <v>0.85</v>
      </c>
      <c r="M50" s="140">
        <v>0.4</v>
      </c>
      <c r="N50" s="140" t="s">
        <v>33</v>
      </c>
      <c r="O50" s="140" t="s">
        <v>34</v>
      </c>
      <c r="P50" s="140" t="s">
        <v>35</v>
      </c>
      <c r="Q50" s="200" t="s">
        <v>198</v>
      </c>
      <c r="R50" s="140" t="s">
        <v>36</v>
      </c>
      <c r="S50" s="141">
        <v>2002</v>
      </c>
      <c r="T50" s="140" t="s">
        <v>37</v>
      </c>
      <c r="U50" s="140">
        <v>20</v>
      </c>
      <c r="V50" s="140">
        <v>0.31338197955563979</v>
      </c>
      <c r="W50" s="140">
        <v>30</v>
      </c>
      <c r="X50" s="140">
        <v>2032</v>
      </c>
      <c r="Y50" s="140" t="s">
        <v>38</v>
      </c>
      <c r="Z50" s="140">
        <v>16</v>
      </c>
      <c r="AA50" s="140" t="s">
        <v>39</v>
      </c>
      <c r="AB50" s="142" t="s">
        <v>40</v>
      </c>
      <c r="AD50" s="137">
        <f t="shared" si="1"/>
        <v>0.10028223345780474</v>
      </c>
    </row>
    <row r="51" spans="1:30">
      <c r="A51" s="138">
        <v>2397</v>
      </c>
      <c r="B51" s="139" t="str">
        <f t="shared" si="0"/>
        <v>Exist_KI_0.2MW_OIL_UID2397</v>
      </c>
      <c r="C51" s="140" t="s">
        <v>27</v>
      </c>
      <c r="D51" s="140" t="s">
        <v>85</v>
      </c>
      <c r="E51" s="140" t="s">
        <v>29</v>
      </c>
      <c r="F51" s="140" t="s">
        <v>112</v>
      </c>
      <c r="G51" s="140" t="s">
        <v>31</v>
      </c>
      <c r="H51" s="140" t="s">
        <v>117</v>
      </c>
      <c r="I51" s="140">
        <v>1</v>
      </c>
      <c r="J51" s="140">
        <v>0.5</v>
      </c>
      <c r="K51" s="140">
        <v>0.2</v>
      </c>
      <c r="L51" s="140">
        <v>0.85</v>
      </c>
      <c r="M51" s="140">
        <v>0.5</v>
      </c>
      <c r="N51" s="140" t="s">
        <v>33</v>
      </c>
      <c r="O51" s="140" t="s">
        <v>34</v>
      </c>
      <c r="P51" s="140" t="s">
        <v>35</v>
      </c>
      <c r="Q51" s="200" t="s">
        <v>198</v>
      </c>
      <c r="R51" s="140" t="s">
        <v>36</v>
      </c>
      <c r="S51" s="141">
        <v>2002</v>
      </c>
      <c r="T51" s="140" t="s">
        <v>37</v>
      </c>
      <c r="U51" s="140">
        <v>20</v>
      </c>
      <c r="V51" s="140">
        <v>0.31338197955563979</v>
      </c>
      <c r="W51" s="140">
        <v>30</v>
      </c>
      <c r="X51" s="140">
        <v>2032</v>
      </c>
      <c r="Y51" s="140" t="s">
        <v>38</v>
      </c>
      <c r="Z51" s="140">
        <v>16</v>
      </c>
      <c r="AA51" s="140" t="s">
        <v>39</v>
      </c>
      <c r="AB51" s="142" t="s">
        <v>40</v>
      </c>
      <c r="AD51" s="137">
        <f t="shared" si="1"/>
        <v>6.2676395911127961E-2</v>
      </c>
    </row>
    <row r="52" spans="1:30">
      <c r="A52" s="138">
        <v>2398</v>
      </c>
      <c r="B52" s="139" t="str">
        <f t="shared" si="0"/>
        <v>Exist_KI_0.5MW_OIL_UID2398</v>
      </c>
      <c r="C52" s="140" t="s">
        <v>27</v>
      </c>
      <c r="D52" s="140" t="s">
        <v>85</v>
      </c>
      <c r="E52" s="140" t="s">
        <v>29</v>
      </c>
      <c r="F52" s="140" t="s">
        <v>112</v>
      </c>
      <c r="G52" s="140" t="s">
        <v>31</v>
      </c>
      <c r="H52" s="140" t="s">
        <v>118</v>
      </c>
      <c r="I52" s="140">
        <v>1</v>
      </c>
      <c r="J52" s="140">
        <v>0.8</v>
      </c>
      <c r="K52" s="140">
        <v>0.5</v>
      </c>
      <c r="L52" s="140">
        <v>0.85</v>
      </c>
      <c r="M52" s="140">
        <v>0.8</v>
      </c>
      <c r="N52" s="140" t="s">
        <v>33</v>
      </c>
      <c r="O52" s="140" t="s">
        <v>34</v>
      </c>
      <c r="P52" s="140" t="s">
        <v>35</v>
      </c>
      <c r="Q52" s="200" t="s">
        <v>198</v>
      </c>
      <c r="R52" s="140" t="s">
        <v>36</v>
      </c>
      <c r="S52" s="141">
        <v>2004</v>
      </c>
      <c r="T52" s="140" t="s">
        <v>37</v>
      </c>
      <c r="U52" s="140">
        <v>20</v>
      </c>
      <c r="V52" s="140">
        <v>0.31338197955563979</v>
      </c>
      <c r="W52" s="140">
        <v>30</v>
      </c>
      <c r="X52" s="140">
        <v>2034</v>
      </c>
      <c r="Y52" s="140" t="s">
        <v>38</v>
      </c>
      <c r="Z52" s="140">
        <v>14</v>
      </c>
      <c r="AA52" s="140" t="s">
        <v>39</v>
      </c>
      <c r="AB52" s="142" t="s">
        <v>40</v>
      </c>
      <c r="AD52" s="137">
        <f t="shared" si="1"/>
        <v>0.15669098977781989</v>
      </c>
    </row>
    <row r="53" spans="1:30">
      <c r="A53" s="138">
        <v>2400</v>
      </c>
      <c r="B53" s="139" t="str">
        <f t="shared" si="0"/>
        <v>Exist_KI_0.3MW_OIL_UID2400</v>
      </c>
      <c r="C53" s="140" t="s">
        <v>27</v>
      </c>
      <c r="D53" s="140" t="s">
        <v>85</v>
      </c>
      <c r="E53" s="140" t="s">
        <v>29</v>
      </c>
      <c r="F53" s="140" t="s">
        <v>119</v>
      </c>
      <c r="G53" s="140" t="s">
        <v>31</v>
      </c>
      <c r="H53" s="140" t="s">
        <v>120</v>
      </c>
      <c r="I53" s="140">
        <v>1</v>
      </c>
      <c r="J53" s="140">
        <v>0.4</v>
      </c>
      <c r="K53" s="140">
        <v>0.25</v>
      </c>
      <c r="L53" s="140">
        <v>0.85</v>
      </c>
      <c r="M53" s="140">
        <v>0.4</v>
      </c>
      <c r="N53" s="140" t="s">
        <v>33</v>
      </c>
      <c r="O53" s="140" t="s">
        <v>34</v>
      </c>
      <c r="P53" s="140" t="s">
        <v>35</v>
      </c>
      <c r="Q53" s="200" t="s">
        <v>198</v>
      </c>
      <c r="R53" s="140" t="s">
        <v>36</v>
      </c>
      <c r="S53" s="141">
        <v>2001</v>
      </c>
      <c r="T53" s="140" t="s">
        <v>37</v>
      </c>
      <c r="U53" s="140">
        <v>20</v>
      </c>
      <c r="V53" s="140">
        <v>0.31338197955563979</v>
      </c>
      <c r="W53" s="140">
        <v>30</v>
      </c>
      <c r="X53" s="140">
        <v>2031</v>
      </c>
      <c r="Y53" s="140" t="s">
        <v>38</v>
      </c>
      <c r="Z53" s="140">
        <v>17</v>
      </c>
      <c r="AA53" s="140" t="s">
        <v>39</v>
      </c>
      <c r="AB53" s="142" t="s">
        <v>40</v>
      </c>
      <c r="AD53" s="137">
        <f t="shared" si="1"/>
        <v>7.8345494888909947E-2</v>
      </c>
    </row>
    <row r="54" spans="1:30">
      <c r="A54" s="138">
        <v>2402</v>
      </c>
      <c r="B54" s="139" t="str">
        <f t="shared" si="0"/>
        <v>Exist_KI_0.8MW_OIL_UID2402</v>
      </c>
      <c r="C54" s="140" t="s">
        <v>27</v>
      </c>
      <c r="D54" s="140" t="s">
        <v>85</v>
      </c>
      <c r="E54" s="140" t="s">
        <v>29</v>
      </c>
      <c r="F54" s="140" t="s">
        <v>119</v>
      </c>
      <c r="G54" s="140" t="s">
        <v>31</v>
      </c>
      <c r="H54" s="140" t="s">
        <v>121</v>
      </c>
      <c r="I54" s="140">
        <v>1</v>
      </c>
      <c r="J54" s="140">
        <v>0.98</v>
      </c>
      <c r="K54" s="140">
        <v>0.75</v>
      </c>
      <c r="L54" s="140">
        <v>0.85</v>
      </c>
      <c r="M54" s="140">
        <v>0.98</v>
      </c>
      <c r="N54" s="140" t="s">
        <v>33</v>
      </c>
      <c r="O54" s="140" t="s">
        <v>34</v>
      </c>
      <c r="P54" s="140" t="s">
        <v>35</v>
      </c>
      <c r="Q54" s="200" t="s">
        <v>198</v>
      </c>
      <c r="R54" s="140" t="s">
        <v>36</v>
      </c>
      <c r="S54" s="141">
        <v>1996</v>
      </c>
      <c r="T54" s="140" t="s">
        <v>37</v>
      </c>
      <c r="U54" s="140">
        <v>20</v>
      </c>
      <c r="V54" s="140">
        <v>0.31338197955563979</v>
      </c>
      <c r="W54" s="140">
        <v>30</v>
      </c>
      <c r="X54" s="140">
        <v>2026</v>
      </c>
      <c r="Y54" s="140" t="s">
        <v>38</v>
      </c>
      <c r="Z54" s="140">
        <v>22</v>
      </c>
      <c r="AA54" s="140" t="s">
        <v>39</v>
      </c>
      <c r="AB54" s="142" t="s">
        <v>40</v>
      </c>
      <c r="AD54" s="137">
        <f t="shared" si="1"/>
        <v>0.23503648466672983</v>
      </c>
    </row>
    <row r="55" spans="1:30">
      <c r="A55" s="138">
        <v>2403</v>
      </c>
      <c r="B55" s="139" t="str">
        <f t="shared" si="0"/>
        <v>Exist_KI_0.8MW_OIL_UID2403</v>
      </c>
      <c r="C55" s="140" t="s">
        <v>27</v>
      </c>
      <c r="D55" s="140" t="s">
        <v>85</v>
      </c>
      <c r="E55" s="140" t="s">
        <v>29</v>
      </c>
      <c r="F55" s="140" t="s">
        <v>119</v>
      </c>
      <c r="G55" s="140" t="s">
        <v>31</v>
      </c>
      <c r="H55" s="140" t="s">
        <v>122</v>
      </c>
      <c r="I55" s="140">
        <v>1</v>
      </c>
      <c r="J55" s="140">
        <v>1.2</v>
      </c>
      <c r="K55" s="140">
        <v>0.75</v>
      </c>
      <c r="L55" s="140">
        <v>0.85</v>
      </c>
      <c r="M55" s="140">
        <v>1.2</v>
      </c>
      <c r="N55" s="140" t="s">
        <v>33</v>
      </c>
      <c r="O55" s="140" t="s">
        <v>34</v>
      </c>
      <c r="P55" s="140" t="s">
        <v>35</v>
      </c>
      <c r="Q55" s="200" t="s">
        <v>198</v>
      </c>
      <c r="R55" s="140" t="s">
        <v>36</v>
      </c>
      <c r="S55" s="141">
        <v>1998</v>
      </c>
      <c r="T55" s="140" t="s">
        <v>37</v>
      </c>
      <c r="U55" s="140">
        <v>20</v>
      </c>
      <c r="V55" s="140">
        <v>0.31338197955563979</v>
      </c>
      <c r="W55" s="140">
        <v>30</v>
      </c>
      <c r="X55" s="140">
        <v>2028</v>
      </c>
      <c r="Y55" s="140" t="s">
        <v>38</v>
      </c>
      <c r="Z55" s="140">
        <v>20</v>
      </c>
      <c r="AA55" s="140" t="s">
        <v>39</v>
      </c>
      <c r="AB55" s="142" t="s">
        <v>40</v>
      </c>
      <c r="AD55" s="137">
        <f t="shared" si="1"/>
        <v>0.23503648466672983</v>
      </c>
    </row>
    <row r="56" spans="1:30">
      <c r="A56" s="138">
        <v>2404</v>
      </c>
      <c r="B56" s="139" t="str">
        <f t="shared" si="0"/>
        <v>Exist_KI_0.4MW_OIL_UID2404</v>
      </c>
      <c r="C56" s="140" t="s">
        <v>27</v>
      </c>
      <c r="D56" s="140" t="s">
        <v>85</v>
      </c>
      <c r="E56" s="140" t="s">
        <v>29</v>
      </c>
      <c r="F56" s="140" t="s">
        <v>119</v>
      </c>
      <c r="G56" s="140" t="s">
        <v>31</v>
      </c>
      <c r="H56" s="140" t="s">
        <v>123</v>
      </c>
      <c r="I56" s="140">
        <v>1</v>
      </c>
      <c r="J56" s="140">
        <v>0.5</v>
      </c>
      <c r="K56" s="140">
        <v>0.35</v>
      </c>
      <c r="L56" s="140">
        <v>0.85</v>
      </c>
      <c r="M56" s="140">
        <v>0.5</v>
      </c>
      <c r="N56" s="140" t="s">
        <v>33</v>
      </c>
      <c r="O56" s="140" t="s">
        <v>34</v>
      </c>
      <c r="P56" s="140" t="s">
        <v>35</v>
      </c>
      <c r="Q56" s="200" t="s">
        <v>198</v>
      </c>
      <c r="R56" s="140" t="s">
        <v>36</v>
      </c>
      <c r="S56" s="141">
        <v>1998</v>
      </c>
      <c r="T56" s="140" t="s">
        <v>37</v>
      </c>
      <c r="U56" s="140">
        <v>20</v>
      </c>
      <c r="V56" s="140">
        <v>0.31338197955563979</v>
      </c>
      <c r="W56" s="140">
        <v>30</v>
      </c>
      <c r="X56" s="140">
        <v>2028</v>
      </c>
      <c r="Y56" s="140" t="s">
        <v>38</v>
      </c>
      <c r="Z56" s="140">
        <v>20</v>
      </c>
      <c r="AA56" s="140" t="s">
        <v>39</v>
      </c>
      <c r="AB56" s="142" t="s">
        <v>40</v>
      </c>
      <c r="AD56" s="137">
        <f t="shared" si="1"/>
        <v>0.10968369284447392</v>
      </c>
    </row>
    <row r="57" spans="1:30">
      <c r="A57" s="138">
        <v>2405</v>
      </c>
      <c r="B57" s="139" t="str">
        <f t="shared" si="0"/>
        <v>Exist_KI_0.4MW_OIL_UID2405</v>
      </c>
      <c r="C57" s="140" t="s">
        <v>27</v>
      </c>
      <c r="D57" s="140" t="s">
        <v>85</v>
      </c>
      <c r="E57" s="140" t="s">
        <v>29</v>
      </c>
      <c r="F57" s="140" t="s">
        <v>119</v>
      </c>
      <c r="G57" s="140" t="s">
        <v>31</v>
      </c>
      <c r="H57" s="140" t="s">
        <v>124</v>
      </c>
      <c r="I57" s="140">
        <v>1</v>
      </c>
      <c r="J57" s="140">
        <v>0.5</v>
      </c>
      <c r="K57" s="140">
        <v>0.35</v>
      </c>
      <c r="L57" s="140">
        <v>0.85</v>
      </c>
      <c r="M57" s="140">
        <v>0.5</v>
      </c>
      <c r="N57" s="140" t="s">
        <v>33</v>
      </c>
      <c r="O57" s="140" t="s">
        <v>34</v>
      </c>
      <c r="P57" s="140" t="s">
        <v>35</v>
      </c>
      <c r="Q57" s="200" t="s">
        <v>198</v>
      </c>
      <c r="R57" s="140" t="s">
        <v>36</v>
      </c>
      <c r="S57" s="141">
        <v>1998</v>
      </c>
      <c r="T57" s="140" t="s">
        <v>37</v>
      </c>
      <c r="U57" s="140">
        <v>20</v>
      </c>
      <c r="V57" s="140">
        <v>0.31338197955563979</v>
      </c>
      <c r="W57" s="140">
        <v>30</v>
      </c>
      <c r="X57" s="140">
        <v>2028</v>
      </c>
      <c r="Y57" s="140" t="s">
        <v>38</v>
      </c>
      <c r="Z57" s="140">
        <v>20</v>
      </c>
      <c r="AA57" s="140" t="s">
        <v>39</v>
      </c>
      <c r="AB57" s="142" t="s">
        <v>40</v>
      </c>
      <c r="AD57" s="137">
        <f t="shared" si="1"/>
        <v>0.10968369284447392</v>
      </c>
    </row>
    <row r="58" spans="1:30">
      <c r="A58" s="138">
        <v>2406</v>
      </c>
      <c r="B58" s="139" t="str">
        <f t="shared" si="0"/>
        <v>Exist_KI_0.4MW_OIL_UID2406</v>
      </c>
      <c r="C58" s="140" t="s">
        <v>27</v>
      </c>
      <c r="D58" s="140" t="s">
        <v>85</v>
      </c>
      <c r="E58" s="140" t="s">
        <v>29</v>
      </c>
      <c r="F58" s="140" t="s">
        <v>119</v>
      </c>
      <c r="G58" s="140" t="s">
        <v>31</v>
      </c>
      <c r="H58" s="140" t="s">
        <v>125</v>
      </c>
      <c r="I58" s="140">
        <v>1</v>
      </c>
      <c r="J58" s="140">
        <v>0.5</v>
      </c>
      <c r="K58" s="140">
        <v>0.35</v>
      </c>
      <c r="L58" s="140">
        <v>0.85</v>
      </c>
      <c r="M58" s="140">
        <v>0.5</v>
      </c>
      <c r="N58" s="140" t="s">
        <v>33</v>
      </c>
      <c r="O58" s="140" t="s">
        <v>34</v>
      </c>
      <c r="P58" s="140" t="s">
        <v>35</v>
      </c>
      <c r="Q58" s="200" t="s">
        <v>198</v>
      </c>
      <c r="R58" s="140" t="s">
        <v>36</v>
      </c>
      <c r="S58" s="141">
        <v>1998</v>
      </c>
      <c r="T58" s="140" t="s">
        <v>37</v>
      </c>
      <c r="U58" s="140">
        <v>20</v>
      </c>
      <c r="V58" s="140">
        <v>0.31338197955563979</v>
      </c>
      <c r="W58" s="140">
        <v>30</v>
      </c>
      <c r="X58" s="140">
        <v>2028</v>
      </c>
      <c r="Y58" s="140" t="s">
        <v>38</v>
      </c>
      <c r="Z58" s="140">
        <v>20</v>
      </c>
      <c r="AA58" s="140" t="s">
        <v>39</v>
      </c>
      <c r="AB58" s="142" t="s">
        <v>40</v>
      </c>
      <c r="AD58" s="137">
        <f t="shared" si="1"/>
        <v>0.10968369284447392</v>
      </c>
    </row>
    <row r="59" spans="1:30">
      <c r="A59" s="138">
        <v>2435</v>
      </c>
      <c r="B59" s="139" t="str">
        <f t="shared" si="0"/>
        <v>Exist_KS_20MW_OIL_UID2435</v>
      </c>
      <c r="C59" s="140" t="s">
        <v>27</v>
      </c>
      <c r="D59" s="140" t="s">
        <v>28</v>
      </c>
      <c r="E59" s="140" t="s">
        <v>29</v>
      </c>
      <c r="F59" s="140" t="s">
        <v>30</v>
      </c>
      <c r="G59" s="140" t="s">
        <v>31</v>
      </c>
      <c r="H59" s="140" t="s">
        <v>126</v>
      </c>
      <c r="I59" s="140">
        <v>1</v>
      </c>
      <c r="J59" s="140">
        <v>20</v>
      </c>
      <c r="K59" s="140">
        <v>20</v>
      </c>
      <c r="L59" s="140">
        <v>0.85</v>
      </c>
      <c r="M59" s="140">
        <v>20</v>
      </c>
      <c r="N59" s="140" t="s">
        <v>33</v>
      </c>
      <c r="O59" s="140" t="s">
        <v>34</v>
      </c>
      <c r="P59" s="140" t="s">
        <v>35</v>
      </c>
      <c r="Q59" s="200" t="s">
        <v>198</v>
      </c>
      <c r="R59" s="140" t="s">
        <v>36</v>
      </c>
      <c r="S59" s="141">
        <v>2016</v>
      </c>
      <c r="T59" s="140" t="s">
        <v>127</v>
      </c>
      <c r="U59" s="140">
        <v>150</v>
      </c>
      <c r="V59" s="140">
        <v>0.31338197955563979</v>
      </c>
      <c r="W59" s="140">
        <v>30</v>
      </c>
      <c r="X59" s="140">
        <v>2046</v>
      </c>
      <c r="Y59" s="140" t="s">
        <v>38</v>
      </c>
      <c r="Z59" s="140">
        <v>2</v>
      </c>
      <c r="AA59" s="140" t="s">
        <v>39</v>
      </c>
      <c r="AB59" s="142" t="s">
        <v>40</v>
      </c>
      <c r="AD59" s="137">
        <f t="shared" si="1"/>
        <v>6.267639591112796</v>
      </c>
    </row>
    <row r="60" spans="1:30">
      <c r="A60" s="138">
        <v>2436</v>
      </c>
      <c r="B60" s="139" t="str">
        <f t="shared" si="0"/>
        <v>Exist_KS_20MW_OIL_UID2436</v>
      </c>
      <c r="C60" s="140" t="s">
        <v>27</v>
      </c>
      <c r="D60" s="140" t="s">
        <v>28</v>
      </c>
      <c r="E60" s="140" t="s">
        <v>29</v>
      </c>
      <c r="F60" s="140" t="s">
        <v>30</v>
      </c>
      <c r="G60" s="140" t="s">
        <v>31</v>
      </c>
      <c r="H60" s="140" t="s">
        <v>128</v>
      </c>
      <c r="I60" s="140">
        <v>1</v>
      </c>
      <c r="J60" s="140">
        <v>20</v>
      </c>
      <c r="K60" s="140">
        <v>20</v>
      </c>
      <c r="L60" s="140">
        <v>0.85</v>
      </c>
      <c r="M60" s="140">
        <v>20</v>
      </c>
      <c r="N60" s="140" t="s">
        <v>33</v>
      </c>
      <c r="O60" s="140" t="s">
        <v>34</v>
      </c>
      <c r="P60" s="140" t="s">
        <v>35</v>
      </c>
      <c r="Q60" s="200" t="s">
        <v>198</v>
      </c>
      <c r="R60" s="140" t="s">
        <v>36</v>
      </c>
      <c r="S60" s="141">
        <v>2016</v>
      </c>
      <c r="T60" s="140" t="s">
        <v>127</v>
      </c>
      <c r="U60" s="140">
        <v>20</v>
      </c>
      <c r="V60" s="140">
        <v>0.31338197955563979</v>
      </c>
      <c r="W60" s="140">
        <v>30</v>
      </c>
      <c r="X60" s="140">
        <v>2046</v>
      </c>
      <c r="Y60" s="140" t="s">
        <v>38</v>
      </c>
      <c r="Z60" s="140">
        <v>2</v>
      </c>
      <c r="AA60" s="140" t="s">
        <v>39</v>
      </c>
      <c r="AB60" s="142" t="s">
        <v>40</v>
      </c>
      <c r="AD60" s="137">
        <f t="shared" si="1"/>
        <v>6.267639591112796</v>
      </c>
    </row>
    <row r="61" spans="1:30">
      <c r="A61" s="138">
        <v>2437</v>
      </c>
      <c r="B61" s="139" t="str">
        <f t="shared" si="0"/>
        <v>Exist_KT_6MW_OIL_UID2437</v>
      </c>
      <c r="C61" s="140" t="s">
        <v>27</v>
      </c>
      <c r="D61" s="140" t="s">
        <v>53</v>
      </c>
      <c r="E61" s="140" t="s">
        <v>29</v>
      </c>
      <c r="F61" s="140" t="s">
        <v>75</v>
      </c>
      <c r="G61" s="140" t="s">
        <v>31</v>
      </c>
      <c r="H61" s="140" t="s">
        <v>129</v>
      </c>
      <c r="I61" s="140">
        <v>1</v>
      </c>
      <c r="J61" s="140">
        <v>6</v>
      </c>
      <c r="K61" s="140">
        <v>6</v>
      </c>
      <c r="L61" s="140">
        <v>0.85</v>
      </c>
      <c r="M61" s="140">
        <v>6</v>
      </c>
      <c r="N61" s="140" t="s">
        <v>33</v>
      </c>
      <c r="O61" s="140" t="s">
        <v>34</v>
      </c>
      <c r="P61" s="140" t="s">
        <v>35</v>
      </c>
      <c r="Q61" s="200" t="s">
        <v>198</v>
      </c>
      <c r="R61" s="140" t="s">
        <v>36</v>
      </c>
      <c r="S61" s="141">
        <v>2008</v>
      </c>
      <c r="T61" s="140" t="s">
        <v>127</v>
      </c>
      <c r="U61" s="140">
        <v>20</v>
      </c>
      <c r="V61" s="140">
        <v>0.31338197955563979</v>
      </c>
      <c r="W61" s="140">
        <v>30</v>
      </c>
      <c r="X61" s="140">
        <v>2038</v>
      </c>
      <c r="Y61" s="140" t="s">
        <v>38</v>
      </c>
      <c r="Z61" s="140">
        <v>10</v>
      </c>
      <c r="AA61" s="140" t="s">
        <v>39</v>
      </c>
      <c r="AB61" s="142" t="s">
        <v>40</v>
      </c>
      <c r="AD61" s="137">
        <f t="shared" si="1"/>
        <v>1.8802918773338386</v>
      </c>
    </row>
    <row r="62" spans="1:30">
      <c r="A62" s="138">
        <v>2439</v>
      </c>
      <c r="B62" s="139" t="str">
        <f t="shared" si="0"/>
        <v>Exist_KI_10MW_OIL_UID2439</v>
      </c>
      <c r="C62" s="140" t="s">
        <v>27</v>
      </c>
      <c r="D62" s="140" t="s">
        <v>85</v>
      </c>
      <c r="E62" s="140" t="s">
        <v>29</v>
      </c>
      <c r="F62" s="140" t="s">
        <v>100</v>
      </c>
      <c r="G62" s="140" t="s">
        <v>31</v>
      </c>
      <c r="H62" s="140" t="s">
        <v>130</v>
      </c>
      <c r="I62" s="140">
        <v>1</v>
      </c>
      <c r="J62" s="140">
        <v>14.5</v>
      </c>
      <c r="K62" s="140">
        <v>10</v>
      </c>
      <c r="L62" s="140">
        <v>0.85</v>
      </c>
      <c r="M62" s="140">
        <v>14.5</v>
      </c>
      <c r="N62" s="140" t="s">
        <v>33</v>
      </c>
      <c r="O62" s="143" t="s">
        <v>88</v>
      </c>
      <c r="P62" s="140" t="s">
        <v>35</v>
      </c>
      <c r="Q62" s="200" t="s">
        <v>198</v>
      </c>
      <c r="R62" s="140" t="s">
        <v>36</v>
      </c>
      <c r="S62" s="141">
        <v>2010</v>
      </c>
      <c r="T62" s="140" t="s">
        <v>127</v>
      </c>
      <c r="U62" s="140">
        <v>20</v>
      </c>
      <c r="V62" s="140">
        <v>0.31338197955563979</v>
      </c>
      <c r="W62" s="140">
        <v>30</v>
      </c>
      <c r="X62" s="140">
        <v>2040</v>
      </c>
      <c r="Y62" s="140" t="s">
        <v>38</v>
      </c>
      <c r="Z62" s="140">
        <v>8</v>
      </c>
      <c r="AA62" s="140" t="s">
        <v>39</v>
      </c>
      <c r="AB62" s="142" t="s">
        <v>40</v>
      </c>
      <c r="AD62" s="137">
        <f t="shared" si="1"/>
        <v>3.133819795556398</v>
      </c>
    </row>
    <row r="63" spans="1:30">
      <c r="A63" s="138">
        <v>2440</v>
      </c>
      <c r="B63" s="139" t="str">
        <f t="shared" si="0"/>
        <v>Exist_KI_10MW_OIL_UID2440</v>
      </c>
      <c r="C63" s="140" t="s">
        <v>27</v>
      </c>
      <c r="D63" s="140" t="s">
        <v>85</v>
      </c>
      <c r="E63" s="140" t="s">
        <v>29</v>
      </c>
      <c r="F63" s="140" t="s">
        <v>100</v>
      </c>
      <c r="G63" s="140" t="s">
        <v>31</v>
      </c>
      <c r="H63" s="140" t="s">
        <v>131</v>
      </c>
      <c r="I63" s="140">
        <v>1</v>
      </c>
      <c r="J63" s="140">
        <v>14.5</v>
      </c>
      <c r="K63" s="140">
        <v>10</v>
      </c>
      <c r="L63" s="140">
        <v>0.85</v>
      </c>
      <c r="M63" s="140">
        <v>14.5</v>
      </c>
      <c r="N63" s="140" t="s">
        <v>33</v>
      </c>
      <c r="O63" s="143" t="s">
        <v>88</v>
      </c>
      <c r="P63" s="140" t="s">
        <v>35</v>
      </c>
      <c r="Q63" s="200" t="s">
        <v>198</v>
      </c>
      <c r="R63" s="140" t="s">
        <v>36</v>
      </c>
      <c r="S63" s="141">
        <v>2010</v>
      </c>
      <c r="T63" s="140" t="s">
        <v>127</v>
      </c>
      <c r="U63" s="140">
        <v>20</v>
      </c>
      <c r="V63" s="140">
        <v>0.31338197955563979</v>
      </c>
      <c r="W63" s="140">
        <v>30</v>
      </c>
      <c r="X63" s="140">
        <v>2040</v>
      </c>
      <c r="Y63" s="140" t="s">
        <v>38</v>
      </c>
      <c r="Z63" s="140">
        <v>8</v>
      </c>
      <c r="AA63" s="140" t="s">
        <v>39</v>
      </c>
      <c r="AB63" s="142" t="s">
        <v>40</v>
      </c>
      <c r="AD63" s="137">
        <f t="shared" si="1"/>
        <v>3.133819795556398</v>
      </c>
    </row>
    <row r="64" spans="1:30">
      <c r="A64" s="138">
        <v>2441</v>
      </c>
      <c r="B64" s="139" t="str">
        <f t="shared" si="0"/>
        <v>Exist_KI_6MW_GAS_UID2441</v>
      </c>
      <c r="C64" s="140" t="s">
        <v>27</v>
      </c>
      <c r="D64" s="140" t="s">
        <v>85</v>
      </c>
      <c r="E64" s="140" t="s">
        <v>29</v>
      </c>
      <c r="F64" s="140" t="s">
        <v>103</v>
      </c>
      <c r="G64" s="140" t="s">
        <v>55</v>
      </c>
      <c r="H64" s="140" t="s">
        <v>132</v>
      </c>
      <c r="I64" s="140">
        <v>1</v>
      </c>
      <c r="J64" s="140">
        <v>9.6</v>
      </c>
      <c r="K64" s="140">
        <v>6</v>
      </c>
      <c r="L64" s="140">
        <v>0.85</v>
      </c>
      <c r="M64" s="140">
        <v>9.6</v>
      </c>
      <c r="N64" s="140" t="s">
        <v>33</v>
      </c>
      <c r="O64" s="140" t="s">
        <v>44</v>
      </c>
      <c r="P64" s="140" t="s">
        <v>45</v>
      </c>
      <c r="Q64" s="200" t="s">
        <v>197</v>
      </c>
      <c r="R64" s="140" t="s">
        <v>36</v>
      </c>
      <c r="S64" s="141">
        <v>2008</v>
      </c>
      <c r="T64" s="140" t="s">
        <v>127</v>
      </c>
      <c r="U64" s="140">
        <v>20</v>
      </c>
      <c r="V64" s="140">
        <v>0.28529319604764514</v>
      </c>
      <c r="W64" s="140">
        <v>45</v>
      </c>
      <c r="X64" s="140">
        <v>2053</v>
      </c>
      <c r="Y64" s="140" t="s">
        <v>38</v>
      </c>
      <c r="Z64" s="140">
        <v>10</v>
      </c>
      <c r="AA64" s="140" t="s">
        <v>39</v>
      </c>
      <c r="AB64" s="142" t="s">
        <v>46</v>
      </c>
      <c r="AD64" s="137">
        <f t="shared" si="1"/>
        <v>1.7117591762858708</v>
      </c>
    </row>
    <row r="65" spans="1:30">
      <c r="A65" s="138">
        <v>2442</v>
      </c>
      <c r="B65" s="139" t="str">
        <f t="shared" si="0"/>
        <v>Exist_KI_0.4MW_OIL_UID2442</v>
      </c>
      <c r="C65" s="140" t="s">
        <v>27</v>
      </c>
      <c r="D65" s="140" t="s">
        <v>85</v>
      </c>
      <c r="E65" s="140" t="s">
        <v>29</v>
      </c>
      <c r="F65" s="140" t="s">
        <v>112</v>
      </c>
      <c r="G65" s="140" t="s">
        <v>31</v>
      </c>
      <c r="H65" s="140" t="s">
        <v>133</v>
      </c>
      <c r="I65" s="140">
        <v>1</v>
      </c>
      <c r="J65" s="140">
        <v>0.5</v>
      </c>
      <c r="K65" s="140">
        <v>0.35</v>
      </c>
      <c r="L65" s="140">
        <v>0.85</v>
      </c>
      <c r="M65" s="140">
        <v>0.5</v>
      </c>
      <c r="N65" s="140" t="s">
        <v>33</v>
      </c>
      <c r="O65" s="140" t="s">
        <v>34</v>
      </c>
      <c r="P65" s="140" t="s">
        <v>35</v>
      </c>
      <c r="Q65" s="200" t="s">
        <v>198</v>
      </c>
      <c r="R65" s="140" t="s">
        <v>36</v>
      </c>
      <c r="S65" s="141">
        <v>2002</v>
      </c>
      <c r="T65" s="140" t="s">
        <v>127</v>
      </c>
      <c r="U65" s="140">
        <v>20</v>
      </c>
      <c r="V65" s="140">
        <v>0.31338197955563979</v>
      </c>
      <c r="W65" s="140">
        <v>30</v>
      </c>
      <c r="X65" s="140">
        <v>2032</v>
      </c>
      <c r="Y65" s="140" t="s">
        <v>38</v>
      </c>
      <c r="Z65" s="140">
        <v>16</v>
      </c>
      <c r="AA65" s="140" t="s">
        <v>39</v>
      </c>
      <c r="AB65" s="142" t="s">
        <v>40</v>
      </c>
      <c r="AD65" s="137">
        <f t="shared" si="1"/>
        <v>0.10968369284447392</v>
      </c>
    </row>
    <row r="66" spans="1:30">
      <c r="A66" s="138">
        <v>2443</v>
      </c>
      <c r="B66" s="139" t="str">
        <f t="shared" si="0"/>
        <v>Exist_KI_0.4MW_OIL_UID2443</v>
      </c>
      <c r="C66" s="140" t="s">
        <v>27</v>
      </c>
      <c r="D66" s="140" t="s">
        <v>85</v>
      </c>
      <c r="E66" s="140" t="s">
        <v>29</v>
      </c>
      <c r="F66" s="140" t="s">
        <v>112</v>
      </c>
      <c r="G66" s="140" t="s">
        <v>31</v>
      </c>
      <c r="H66" s="140" t="s">
        <v>134</v>
      </c>
      <c r="I66" s="140">
        <v>1</v>
      </c>
      <c r="J66" s="140">
        <v>0.5</v>
      </c>
      <c r="K66" s="140">
        <v>0.35</v>
      </c>
      <c r="L66" s="140">
        <v>0.85</v>
      </c>
      <c r="M66" s="140">
        <v>0.5</v>
      </c>
      <c r="N66" s="140" t="s">
        <v>33</v>
      </c>
      <c r="O66" s="140" t="s">
        <v>34</v>
      </c>
      <c r="P66" s="140" t="s">
        <v>35</v>
      </c>
      <c r="Q66" s="200" t="s">
        <v>198</v>
      </c>
      <c r="R66" s="140" t="s">
        <v>36</v>
      </c>
      <c r="S66" s="141">
        <v>2002</v>
      </c>
      <c r="T66" s="140" t="s">
        <v>127</v>
      </c>
      <c r="U66" s="140">
        <v>20</v>
      </c>
      <c r="V66" s="140">
        <v>0.31338197955563979</v>
      </c>
      <c r="W66" s="140">
        <v>30</v>
      </c>
      <c r="X66" s="140">
        <v>2032</v>
      </c>
      <c r="Y66" s="140" t="s">
        <v>38</v>
      </c>
      <c r="Z66" s="140">
        <v>16</v>
      </c>
      <c r="AA66" s="140" t="s">
        <v>39</v>
      </c>
      <c r="AB66" s="142" t="s">
        <v>40</v>
      </c>
      <c r="AD66" s="137">
        <f t="shared" si="1"/>
        <v>0.10968369284447392</v>
      </c>
    </row>
    <row r="67" spans="1:30">
      <c r="A67" s="138">
        <v>2444</v>
      </c>
      <c r="B67" s="139" t="str">
        <f t="shared" ref="B67:B110" si="2">"Exist_"&amp;RIGHT(D67,2)&amp;"_"&amp;ROUND(K67,1)&amp;"MW"&amp;"_"&amp;Q67&amp;"_"&amp;"UID"&amp;A67</f>
        <v>Exist_KI_0.4MW_OIL_UID2444</v>
      </c>
      <c r="C67" s="140" t="s">
        <v>27</v>
      </c>
      <c r="D67" s="140" t="s">
        <v>85</v>
      </c>
      <c r="E67" s="140" t="s">
        <v>29</v>
      </c>
      <c r="F67" s="140" t="s">
        <v>112</v>
      </c>
      <c r="G67" s="140" t="s">
        <v>31</v>
      </c>
      <c r="H67" s="140" t="s">
        <v>135</v>
      </c>
      <c r="I67" s="140">
        <v>1</v>
      </c>
      <c r="J67" s="140">
        <v>0.5</v>
      </c>
      <c r="K67" s="140">
        <v>0.4</v>
      </c>
      <c r="L67" s="140">
        <v>0.85</v>
      </c>
      <c r="M67" s="140">
        <v>0.5</v>
      </c>
      <c r="N67" s="140" t="s">
        <v>33</v>
      </c>
      <c r="O67" s="140" t="s">
        <v>34</v>
      </c>
      <c r="P67" s="140" t="s">
        <v>35</v>
      </c>
      <c r="Q67" s="200" t="s">
        <v>198</v>
      </c>
      <c r="R67" s="140" t="s">
        <v>36</v>
      </c>
      <c r="S67" s="141">
        <v>2002</v>
      </c>
      <c r="T67" s="140" t="s">
        <v>127</v>
      </c>
      <c r="U67" s="140">
        <v>20</v>
      </c>
      <c r="V67" s="140">
        <v>0.31338197955563979</v>
      </c>
      <c r="W67" s="140">
        <v>30</v>
      </c>
      <c r="X67" s="140">
        <v>2032</v>
      </c>
      <c r="Y67" s="140" t="s">
        <v>38</v>
      </c>
      <c r="Z67" s="140">
        <v>16</v>
      </c>
      <c r="AA67" s="140" t="s">
        <v>39</v>
      </c>
      <c r="AB67" s="142" t="s">
        <v>40</v>
      </c>
      <c r="AD67" s="137">
        <f t="shared" ref="AD67:AD110" si="3">V67*K67</f>
        <v>0.12535279182225592</v>
      </c>
    </row>
    <row r="68" spans="1:30">
      <c r="A68" s="138">
        <v>2445</v>
      </c>
      <c r="B68" s="139" t="str">
        <f t="shared" si="2"/>
        <v>Exist_KI_0.4MW_OIL_UID2445</v>
      </c>
      <c r="C68" s="140" t="s">
        <v>27</v>
      </c>
      <c r="D68" s="140" t="s">
        <v>85</v>
      </c>
      <c r="E68" s="140" t="s">
        <v>29</v>
      </c>
      <c r="F68" s="140" t="s">
        <v>112</v>
      </c>
      <c r="G68" s="140" t="s">
        <v>31</v>
      </c>
      <c r="H68" s="140" t="s">
        <v>136</v>
      </c>
      <c r="I68" s="140">
        <v>1</v>
      </c>
      <c r="J68" s="140">
        <v>0.5</v>
      </c>
      <c r="K68" s="140">
        <v>0.4</v>
      </c>
      <c r="L68" s="140">
        <v>0.85</v>
      </c>
      <c r="M68" s="140">
        <v>0.5</v>
      </c>
      <c r="N68" s="140" t="s">
        <v>33</v>
      </c>
      <c r="O68" s="140" t="s">
        <v>34</v>
      </c>
      <c r="P68" s="140" t="s">
        <v>35</v>
      </c>
      <c r="Q68" s="200" t="s">
        <v>198</v>
      </c>
      <c r="R68" s="140" t="s">
        <v>36</v>
      </c>
      <c r="S68" s="141">
        <v>2002</v>
      </c>
      <c r="T68" s="140" t="s">
        <v>127</v>
      </c>
      <c r="U68" s="140">
        <v>20</v>
      </c>
      <c r="V68" s="140">
        <v>0.31338197955563979</v>
      </c>
      <c r="W68" s="140">
        <v>30</v>
      </c>
      <c r="X68" s="140">
        <v>2032</v>
      </c>
      <c r="Y68" s="140" t="s">
        <v>38</v>
      </c>
      <c r="Z68" s="140">
        <v>16</v>
      </c>
      <c r="AA68" s="140" t="s">
        <v>39</v>
      </c>
      <c r="AB68" s="142" t="s">
        <v>40</v>
      </c>
      <c r="AD68" s="137">
        <f t="shared" si="3"/>
        <v>0.12535279182225592</v>
      </c>
    </row>
    <row r="69" spans="1:30">
      <c r="A69" s="138">
        <v>2446</v>
      </c>
      <c r="B69" s="139" t="str">
        <f t="shared" si="2"/>
        <v>Exist_KI_12MW_OIL_UID2446</v>
      </c>
      <c r="C69" s="140" t="s">
        <v>27</v>
      </c>
      <c r="D69" s="140" t="s">
        <v>85</v>
      </c>
      <c r="E69" s="140" t="s">
        <v>29</v>
      </c>
      <c r="F69" s="140" t="s">
        <v>112</v>
      </c>
      <c r="G69" s="140" t="s">
        <v>31</v>
      </c>
      <c r="H69" s="140" t="s">
        <v>137</v>
      </c>
      <c r="I69" s="140">
        <v>1</v>
      </c>
      <c r="J69" s="140">
        <v>12</v>
      </c>
      <c r="K69" s="140">
        <v>12</v>
      </c>
      <c r="L69" s="140">
        <v>0.85</v>
      </c>
      <c r="M69" s="140">
        <v>12</v>
      </c>
      <c r="N69" s="140" t="s">
        <v>33</v>
      </c>
      <c r="O69" s="140" t="s">
        <v>34</v>
      </c>
      <c r="P69" s="140" t="s">
        <v>35</v>
      </c>
      <c r="Q69" s="200" t="s">
        <v>198</v>
      </c>
      <c r="R69" s="140" t="s">
        <v>36</v>
      </c>
      <c r="S69" s="141">
        <v>2016</v>
      </c>
      <c r="T69" s="140" t="s">
        <v>127</v>
      </c>
      <c r="U69" s="140">
        <v>20</v>
      </c>
      <c r="V69" s="140">
        <v>0.31338197955563979</v>
      </c>
      <c r="W69" s="140">
        <v>30</v>
      </c>
      <c r="X69" s="140">
        <v>2046</v>
      </c>
      <c r="Y69" s="140" t="s">
        <v>38</v>
      </c>
      <c r="Z69" s="140">
        <v>2</v>
      </c>
      <c r="AA69" s="140" t="s">
        <v>39</v>
      </c>
      <c r="AB69" s="142" t="s">
        <v>40</v>
      </c>
      <c r="AD69" s="137">
        <f t="shared" si="3"/>
        <v>3.7605837546676772</v>
      </c>
    </row>
    <row r="70" spans="1:30">
      <c r="A70" s="138">
        <v>2447</v>
      </c>
      <c r="B70" s="139" t="str">
        <f t="shared" si="2"/>
        <v>Exist_KI_4MW_OIL_UID2447</v>
      </c>
      <c r="C70" s="140" t="s">
        <v>27</v>
      </c>
      <c r="D70" s="140" t="s">
        <v>85</v>
      </c>
      <c r="E70" s="140" t="s">
        <v>29</v>
      </c>
      <c r="F70" s="140" t="s">
        <v>112</v>
      </c>
      <c r="G70" s="140" t="s">
        <v>31</v>
      </c>
      <c r="H70" s="140" t="s">
        <v>138</v>
      </c>
      <c r="I70" s="140">
        <v>1</v>
      </c>
      <c r="J70" s="140">
        <v>4</v>
      </c>
      <c r="K70" s="140">
        <v>4</v>
      </c>
      <c r="L70" s="140">
        <v>0.85</v>
      </c>
      <c r="M70" s="140">
        <v>4</v>
      </c>
      <c r="N70" s="140" t="s">
        <v>33</v>
      </c>
      <c r="O70" s="140" t="s">
        <v>34</v>
      </c>
      <c r="P70" s="140" t="s">
        <v>35</v>
      </c>
      <c r="Q70" s="200" t="s">
        <v>198</v>
      </c>
      <c r="R70" s="140" t="s">
        <v>36</v>
      </c>
      <c r="S70" s="141">
        <v>2016</v>
      </c>
      <c r="T70" s="140" t="s">
        <v>127</v>
      </c>
      <c r="U70" s="140">
        <v>20</v>
      </c>
      <c r="V70" s="140">
        <v>0.31338197955563979</v>
      </c>
      <c r="W70" s="140">
        <v>30</v>
      </c>
      <c r="X70" s="140">
        <v>2046</v>
      </c>
      <c r="Y70" s="140" t="s">
        <v>38</v>
      </c>
      <c r="Z70" s="140">
        <v>2</v>
      </c>
      <c r="AA70" s="140" t="s">
        <v>39</v>
      </c>
      <c r="AB70" s="142" t="s">
        <v>40</v>
      </c>
      <c r="AD70" s="137">
        <f t="shared" si="3"/>
        <v>1.2535279182225592</v>
      </c>
    </row>
    <row r="71" spans="1:30">
      <c r="A71" s="138">
        <v>2448</v>
      </c>
      <c r="B71" s="139" t="str">
        <f t="shared" si="2"/>
        <v>Exist_KI_0.8MW_GAS_UID2448</v>
      </c>
      <c r="C71" s="140" t="s">
        <v>27</v>
      </c>
      <c r="D71" s="140" t="s">
        <v>85</v>
      </c>
      <c r="E71" s="140" t="s">
        <v>29</v>
      </c>
      <c r="F71" s="140" t="s">
        <v>119</v>
      </c>
      <c r="G71" s="140" t="s">
        <v>55</v>
      </c>
      <c r="H71" s="140" t="s">
        <v>139</v>
      </c>
      <c r="I71" s="140">
        <v>1</v>
      </c>
      <c r="J71" s="140">
        <v>1</v>
      </c>
      <c r="K71" s="140">
        <v>0.8</v>
      </c>
      <c r="L71" s="140">
        <v>0.85</v>
      </c>
      <c r="M71" s="140">
        <v>1</v>
      </c>
      <c r="N71" s="140" t="s">
        <v>33</v>
      </c>
      <c r="O71" s="140" t="s">
        <v>44</v>
      </c>
      <c r="P71" s="140" t="s">
        <v>45</v>
      </c>
      <c r="Q71" s="200" t="s">
        <v>197</v>
      </c>
      <c r="R71" s="140" t="s">
        <v>36</v>
      </c>
      <c r="S71" s="141">
        <v>2010</v>
      </c>
      <c r="T71" s="140" t="s">
        <v>127</v>
      </c>
      <c r="U71" s="140">
        <v>20</v>
      </c>
      <c r="V71" s="140">
        <v>0.30114524845811375</v>
      </c>
      <c r="W71" s="140">
        <v>45</v>
      </c>
      <c r="X71" s="140">
        <v>2055</v>
      </c>
      <c r="Y71" s="140" t="s">
        <v>38</v>
      </c>
      <c r="Z71" s="140">
        <v>8</v>
      </c>
      <c r="AA71" s="140" t="s">
        <v>39</v>
      </c>
      <c r="AB71" s="142" t="s">
        <v>46</v>
      </c>
      <c r="AD71" s="137">
        <f t="shared" si="3"/>
        <v>0.24091619876649101</v>
      </c>
    </row>
    <row r="72" spans="1:30">
      <c r="A72" s="138">
        <v>2449</v>
      </c>
      <c r="B72" s="139" t="str">
        <f t="shared" si="2"/>
        <v>Exist_KI_0.8MW_GAS_UID2449</v>
      </c>
      <c r="C72" s="140" t="s">
        <v>27</v>
      </c>
      <c r="D72" s="140" t="s">
        <v>85</v>
      </c>
      <c r="E72" s="140" t="s">
        <v>29</v>
      </c>
      <c r="F72" s="140" t="s">
        <v>119</v>
      </c>
      <c r="G72" s="140" t="s">
        <v>55</v>
      </c>
      <c r="H72" s="140" t="s">
        <v>140</v>
      </c>
      <c r="I72" s="140">
        <v>1</v>
      </c>
      <c r="J72" s="140">
        <v>1</v>
      </c>
      <c r="K72" s="140">
        <v>0.8</v>
      </c>
      <c r="L72" s="140">
        <v>0.85</v>
      </c>
      <c r="M72" s="140">
        <v>1</v>
      </c>
      <c r="N72" s="140" t="s">
        <v>33</v>
      </c>
      <c r="O72" s="140" t="s">
        <v>44</v>
      </c>
      <c r="P72" s="140" t="s">
        <v>45</v>
      </c>
      <c r="Q72" s="200" t="s">
        <v>197</v>
      </c>
      <c r="R72" s="140" t="s">
        <v>36</v>
      </c>
      <c r="S72" s="141">
        <v>2010</v>
      </c>
      <c r="T72" s="140" t="s">
        <v>127</v>
      </c>
      <c r="U72" s="140">
        <v>20</v>
      </c>
      <c r="V72" s="140">
        <v>0.30114524845811375</v>
      </c>
      <c r="W72" s="140">
        <v>45</v>
      </c>
      <c r="X72" s="140">
        <v>2055</v>
      </c>
      <c r="Y72" s="140" t="s">
        <v>38</v>
      </c>
      <c r="Z72" s="140">
        <v>8</v>
      </c>
      <c r="AA72" s="140" t="s">
        <v>39</v>
      </c>
      <c r="AB72" s="142" t="s">
        <v>46</v>
      </c>
      <c r="AD72" s="137">
        <f t="shared" si="3"/>
        <v>0.24091619876649101</v>
      </c>
    </row>
    <row r="73" spans="1:30">
      <c r="A73" s="138">
        <v>2450</v>
      </c>
      <c r="B73" s="139" t="str">
        <f t="shared" si="2"/>
        <v>Exist_KI_0.8MW_GAS_UID2450</v>
      </c>
      <c r="C73" s="140" t="s">
        <v>27</v>
      </c>
      <c r="D73" s="140" t="s">
        <v>85</v>
      </c>
      <c r="E73" s="140" t="s">
        <v>29</v>
      </c>
      <c r="F73" s="140" t="s">
        <v>119</v>
      </c>
      <c r="G73" s="140" t="s">
        <v>55</v>
      </c>
      <c r="H73" s="140" t="s">
        <v>141</v>
      </c>
      <c r="I73" s="140">
        <v>1</v>
      </c>
      <c r="J73" s="140">
        <v>1</v>
      </c>
      <c r="K73" s="140">
        <v>0.8</v>
      </c>
      <c r="L73" s="140">
        <v>0.85</v>
      </c>
      <c r="M73" s="140">
        <v>1</v>
      </c>
      <c r="N73" s="140" t="s">
        <v>33</v>
      </c>
      <c r="O73" s="140" t="s">
        <v>44</v>
      </c>
      <c r="P73" s="140" t="s">
        <v>45</v>
      </c>
      <c r="Q73" s="200" t="s">
        <v>197</v>
      </c>
      <c r="R73" s="140" t="s">
        <v>36</v>
      </c>
      <c r="S73" s="141">
        <v>2010</v>
      </c>
      <c r="T73" s="140" t="s">
        <v>127</v>
      </c>
      <c r="U73" s="140">
        <v>20</v>
      </c>
      <c r="V73" s="140">
        <v>0.30114524845811375</v>
      </c>
      <c r="W73" s="140">
        <v>45</v>
      </c>
      <c r="X73" s="140">
        <v>2055</v>
      </c>
      <c r="Y73" s="140" t="s">
        <v>38</v>
      </c>
      <c r="Z73" s="140">
        <v>8</v>
      </c>
      <c r="AA73" s="140" t="s">
        <v>39</v>
      </c>
      <c r="AB73" s="142" t="s">
        <v>46</v>
      </c>
      <c r="AD73" s="137">
        <f t="shared" si="3"/>
        <v>0.24091619876649101</v>
      </c>
    </row>
    <row r="74" spans="1:30">
      <c r="A74" s="138">
        <v>2451</v>
      </c>
      <c r="B74" s="139" t="str">
        <f t="shared" si="2"/>
        <v>Exist_KI_0.8MW_GAS_UID2451</v>
      </c>
      <c r="C74" s="140" t="s">
        <v>27</v>
      </c>
      <c r="D74" s="140" t="s">
        <v>85</v>
      </c>
      <c r="E74" s="140" t="s">
        <v>29</v>
      </c>
      <c r="F74" s="140" t="s">
        <v>119</v>
      </c>
      <c r="G74" s="140" t="s">
        <v>55</v>
      </c>
      <c r="H74" s="140" t="s">
        <v>142</v>
      </c>
      <c r="I74" s="140">
        <v>1</v>
      </c>
      <c r="J74" s="140">
        <v>1</v>
      </c>
      <c r="K74" s="140">
        <v>0.8</v>
      </c>
      <c r="L74" s="140">
        <v>0.85</v>
      </c>
      <c r="M74" s="140">
        <v>1</v>
      </c>
      <c r="N74" s="140" t="s">
        <v>33</v>
      </c>
      <c r="O74" s="140" t="s">
        <v>44</v>
      </c>
      <c r="P74" s="140" t="s">
        <v>45</v>
      </c>
      <c r="Q74" s="200" t="s">
        <v>197</v>
      </c>
      <c r="R74" s="140" t="s">
        <v>36</v>
      </c>
      <c r="S74" s="141">
        <v>2010</v>
      </c>
      <c r="T74" s="140" t="s">
        <v>127</v>
      </c>
      <c r="U74" s="140">
        <v>20</v>
      </c>
      <c r="V74" s="140">
        <v>0.30114524845811375</v>
      </c>
      <c r="W74" s="140">
        <v>45</v>
      </c>
      <c r="X74" s="140">
        <v>2055</v>
      </c>
      <c r="Y74" s="140" t="s">
        <v>38</v>
      </c>
      <c r="Z74" s="140">
        <v>8</v>
      </c>
      <c r="AA74" s="140" t="s">
        <v>39</v>
      </c>
      <c r="AB74" s="142" t="s">
        <v>46</v>
      </c>
      <c r="AD74" s="137">
        <f t="shared" si="3"/>
        <v>0.24091619876649101</v>
      </c>
    </row>
    <row r="75" spans="1:30">
      <c r="A75" s="138">
        <v>2457</v>
      </c>
      <c r="B75" s="139" t="str">
        <f t="shared" si="2"/>
        <v>Exist_KI_11MW_COA_UID2457</v>
      </c>
      <c r="C75" s="140" t="s">
        <v>27</v>
      </c>
      <c r="D75" s="140" t="s">
        <v>85</v>
      </c>
      <c r="E75" s="140" t="s">
        <v>29</v>
      </c>
      <c r="F75" s="140" t="s">
        <v>100</v>
      </c>
      <c r="G75" s="140" t="s">
        <v>70</v>
      </c>
      <c r="H75" s="140" t="s">
        <v>143</v>
      </c>
      <c r="I75" s="140">
        <v>1</v>
      </c>
      <c r="J75" s="140">
        <v>15</v>
      </c>
      <c r="K75" s="140">
        <v>11</v>
      </c>
      <c r="L75" s="140">
        <v>0.85</v>
      </c>
      <c r="M75" s="140">
        <v>15</v>
      </c>
      <c r="N75" s="140" t="s">
        <v>33</v>
      </c>
      <c r="O75" s="140" t="s">
        <v>63</v>
      </c>
      <c r="P75" s="140" t="s">
        <v>64</v>
      </c>
      <c r="Q75" s="200" t="s">
        <v>196</v>
      </c>
      <c r="R75" s="140" t="s">
        <v>36</v>
      </c>
      <c r="S75" s="141">
        <v>2014</v>
      </c>
      <c r="T75" s="140" t="s">
        <v>144</v>
      </c>
      <c r="U75" s="140">
        <v>20</v>
      </c>
      <c r="V75" s="140">
        <v>0.31105134808669693</v>
      </c>
      <c r="W75" s="140">
        <v>99</v>
      </c>
      <c r="X75" s="140">
        <v>2113</v>
      </c>
      <c r="Y75" s="140" t="s">
        <v>145</v>
      </c>
      <c r="Z75" s="140">
        <v>4</v>
      </c>
      <c r="AA75" s="140" t="s">
        <v>39</v>
      </c>
      <c r="AB75" s="142" t="s">
        <v>65</v>
      </c>
      <c r="AD75" s="137">
        <f t="shared" si="3"/>
        <v>3.4215648289536662</v>
      </c>
    </row>
    <row r="76" spans="1:30">
      <c r="A76" s="138">
        <v>2458</v>
      </c>
      <c r="B76" s="139" t="str">
        <f t="shared" si="2"/>
        <v>Exist_KI_11MW_COA_UID2458</v>
      </c>
      <c r="C76" s="140" t="s">
        <v>27</v>
      </c>
      <c r="D76" s="140" t="s">
        <v>85</v>
      </c>
      <c r="E76" s="140" t="s">
        <v>29</v>
      </c>
      <c r="F76" s="140" t="s">
        <v>100</v>
      </c>
      <c r="G76" s="140" t="s">
        <v>70</v>
      </c>
      <c r="H76" s="140" t="s">
        <v>146</v>
      </c>
      <c r="I76" s="140">
        <v>1</v>
      </c>
      <c r="J76" s="140">
        <v>15</v>
      </c>
      <c r="K76" s="140">
        <v>11</v>
      </c>
      <c r="L76" s="140">
        <v>0.85</v>
      </c>
      <c r="M76" s="140">
        <v>15</v>
      </c>
      <c r="N76" s="140" t="s">
        <v>33</v>
      </c>
      <c r="O76" s="140" t="s">
        <v>63</v>
      </c>
      <c r="P76" s="140" t="s">
        <v>64</v>
      </c>
      <c r="Q76" s="200" t="s">
        <v>196</v>
      </c>
      <c r="R76" s="140" t="s">
        <v>36</v>
      </c>
      <c r="S76" s="141">
        <v>2014</v>
      </c>
      <c r="T76" s="140" t="s">
        <v>144</v>
      </c>
      <c r="U76" s="140">
        <v>20</v>
      </c>
      <c r="V76" s="140">
        <v>0.31105134808669693</v>
      </c>
      <c r="W76" s="140">
        <v>99</v>
      </c>
      <c r="X76" s="140">
        <v>2113</v>
      </c>
      <c r="Y76" s="140" t="s">
        <v>145</v>
      </c>
      <c r="Z76" s="140">
        <v>4</v>
      </c>
      <c r="AA76" s="140" t="s">
        <v>39</v>
      </c>
      <c r="AB76" s="142" t="s">
        <v>65</v>
      </c>
      <c r="AD76" s="137">
        <f t="shared" si="3"/>
        <v>3.4215648289536662</v>
      </c>
    </row>
    <row r="77" spans="1:30">
      <c r="A77" s="138">
        <v>2463</v>
      </c>
      <c r="B77" s="139" t="str">
        <f t="shared" si="2"/>
        <v>Exist_KI_8MW_OIL_UID2463</v>
      </c>
      <c r="C77" s="140" t="s">
        <v>27</v>
      </c>
      <c r="D77" s="140" t="s">
        <v>85</v>
      </c>
      <c r="E77" s="140" t="s">
        <v>29</v>
      </c>
      <c r="F77" s="140" t="s">
        <v>100</v>
      </c>
      <c r="G77" s="140" t="s">
        <v>31</v>
      </c>
      <c r="H77" s="140" t="s">
        <v>147</v>
      </c>
      <c r="I77" s="140">
        <v>1</v>
      </c>
      <c r="J77" s="140">
        <v>8.9</v>
      </c>
      <c r="K77" s="140">
        <v>8</v>
      </c>
      <c r="L77" s="140">
        <v>0.85</v>
      </c>
      <c r="M77" s="140">
        <v>8.9</v>
      </c>
      <c r="N77" s="140" t="s">
        <v>33</v>
      </c>
      <c r="O77" s="143" t="s">
        <v>88</v>
      </c>
      <c r="P77" s="140" t="s">
        <v>35</v>
      </c>
      <c r="Q77" s="200" t="s">
        <v>198</v>
      </c>
      <c r="R77" s="140" t="s">
        <v>36</v>
      </c>
      <c r="S77" s="141">
        <v>2009</v>
      </c>
      <c r="T77" s="140" t="s">
        <v>37</v>
      </c>
      <c r="U77" s="140">
        <v>20</v>
      </c>
      <c r="V77" s="140">
        <v>0.31338197955563979</v>
      </c>
      <c r="W77" s="140">
        <v>30</v>
      </c>
      <c r="X77" s="140">
        <v>2039</v>
      </c>
      <c r="Y77" s="140" t="s">
        <v>148</v>
      </c>
      <c r="Z77" s="140">
        <v>9</v>
      </c>
      <c r="AA77" s="140" t="s">
        <v>39</v>
      </c>
      <c r="AB77" s="142" t="s">
        <v>40</v>
      </c>
      <c r="AD77" s="137">
        <f t="shared" si="3"/>
        <v>2.5070558364451183</v>
      </c>
    </row>
    <row r="78" spans="1:30">
      <c r="A78" s="138">
        <v>2464</v>
      </c>
      <c r="B78" s="139" t="str">
        <f t="shared" si="2"/>
        <v>Exist_KI_8MW_OIL_UID2464</v>
      </c>
      <c r="C78" s="140" t="s">
        <v>27</v>
      </c>
      <c r="D78" s="140" t="s">
        <v>85</v>
      </c>
      <c r="E78" s="140" t="s">
        <v>29</v>
      </c>
      <c r="F78" s="140" t="s">
        <v>100</v>
      </c>
      <c r="G78" s="140" t="s">
        <v>31</v>
      </c>
      <c r="H78" s="140" t="s">
        <v>149</v>
      </c>
      <c r="I78" s="140">
        <v>1</v>
      </c>
      <c r="J78" s="140">
        <v>8.9</v>
      </c>
      <c r="K78" s="140">
        <v>8</v>
      </c>
      <c r="L78" s="140">
        <v>0.85</v>
      </c>
      <c r="M78" s="140">
        <v>8.9</v>
      </c>
      <c r="N78" s="140" t="s">
        <v>33</v>
      </c>
      <c r="O78" s="143" t="s">
        <v>88</v>
      </c>
      <c r="P78" s="140" t="s">
        <v>35</v>
      </c>
      <c r="Q78" s="200" t="s">
        <v>198</v>
      </c>
      <c r="R78" s="140" t="s">
        <v>36</v>
      </c>
      <c r="S78" s="141">
        <v>2009</v>
      </c>
      <c r="T78" s="140" t="s">
        <v>37</v>
      </c>
      <c r="U78" s="140">
        <v>20</v>
      </c>
      <c r="V78" s="140">
        <v>0.31338197955563979</v>
      </c>
      <c r="W78" s="140">
        <v>30</v>
      </c>
      <c r="X78" s="140">
        <v>2039</v>
      </c>
      <c r="Y78" s="140" t="s">
        <v>148</v>
      </c>
      <c r="Z78" s="140">
        <v>9</v>
      </c>
      <c r="AA78" s="140" t="s">
        <v>39</v>
      </c>
      <c r="AB78" s="142" t="s">
        <v>40</v>
      </c>
      <c r="AD78" s="137">
        <f t="shared" si="3"/>
        <v>2.5070558364451183</v>
      </c>
    </row>
    <row r="79" spans="1:30">
      <c r="A79" s="138">
        <v>2465</v>
      </c>
      <c r="B79" s="139" t="str">
        <f t="shared" si="2"/>
        <v>Exist_KI_8MW_OIL_UID2465</v>
      </c>
      <c r="C79" s="140" t="s">
        <v>27</v>
      </c>
      <c r="D79" s="140" t="s">
        <v>85</v>
      </c>
      <c r="E79" s="140" t="s">
        <v>29</v>
      </c>
      <c r="F79" s="140" t="s">
        <v>100</v>
      </c>
      <c r="G79" s="140" t="s">
        <v>31</v>
      </c>
      <c r="H79" s="140" t="s">
        <v>150</v>
      </c>
      <c r="I79" s="140">
        <v>1</v>
      </c>
      <c r="J79" s="140">
        <v>8.9</v>
      </c>
      <c r="K79" s="140">
        <v>8</v>
      </c>
      <c r="L79" s="140">
        <v>0.85</v>
      </c>
      <c r="M79" s="140">
        <v>8.9</v>
      </c>
      <c r="N79" s="140" t="s">
        <v>33</v>
      </c>
      <c r="O79" s="143" t="s">
        <v>88</v>
      </c>
      <c r="P79" s="140" t="s">
        <v>35</v>
      </c>
      <c r="Q79" s="200" t="s">
        <v>198</v>
      </c>
      <c r="R79" s="140" t="s">
        <v>36</v>
      </c>
      <c r="S79" s="141">
        <v>2009</v>
      </c>
      <c r="T79" s="140" t="s">
        <v>37</v>
      </c>
      <c r="U79" s="140">
        <v>20</v>
      </c>
      <c r="V79" s="140">
        <v>0.31338197955563979</v>
      </c>
      <c r="W79" s="140">
        <v>30</v>
      </c>
      <c r="X79" s="140">
        <v>2039</v>
      </c>
      <c r="Y79" s="140" t="s">
        <v>148</v>
      </c>
      <c r="Z79" s="140">
        <v>9</v>
      </c>
      <c r="AA79" s="140" t="s">
        <v>39</v>
      </c>
      <c r="AB79" s="142" t="s">
        <v>40</v>
      </c>
      <c r="AD79" s="137">
        <f t="shared" si="3"/>
        <v>2.5070558364451183</v>
      </c>
    </row>
    <row r="80" spans="1:30">
      <c r="A80" s="138">
        <v>2466</v>
      </c>
      <c r="B80" s="139" t="str">
        <f t="shared" si="2"/>
        <v>Exist_KI_8MW_OIL_UID2466</v>
      </c>
      <c r="C80" s="140" t="s">
        <v>27</v>
      </c>
      <c r="D80" s="140" t="s">
        <v>85</v>
      </c>
      <c r="E80" s="140" t="s">
        <v>29</v>
      </c>
      <c r="F80" s="140" t="s">
        <v>100</v>
      </c>
      <c r="G80" s="140" t="s">
        <v>31</v>
      </c>
      <c r="H80" s="140" t="s">
        <v>151</v>
      </c>
      <c r="I80" s="140">
        <v>1</v>
      </c>
      <c r="J80" s="140">
        <v>8.9</v>
      </c>
      <c r="K80" s="140">
        <v>8</v>
      </c>
      <c r="L80" s="140">
        <v>0.85</v>
      </c>
      <c r="M80" s="140">
        <v>8.9</v>
      </c>
      <c r="N80" s="140" t="s">
        <v>33</v>
      </c>
      <c r="O80" s="143" t="s">
        <v>88</v>
      </c>
      <c r="P80" s="140" t="s">
        <v>35</v>
      </c>
      <c r="Q80" s="200" t="s">
        <v>198</v>
      </c>
      <c r="R80" s="140" t="s">
        <v>36</v>
      </c>
      <c r="S80" s="141">
        <v>2009</v>
      </c>
      <c r="T80" s="140" t="s">
        <v>37</v>
      </c>
      <c r="U80" s="140">
        <v>20</v>
      </c>
      <c r="V80" s="140">
        <v>0.31338197955563979</v>
      </c>
      <c r="W80" s="140">
        <v>30</v>
      </c>
      <c r="X80" s="140">
        <v>2039</v>
      </c>
      <c r="Y80" s="140" t="s">
        <v>148</v>
      </c>
      <c r="Z80" s="140">
        <v>9</v>
      </c>
      <c r="AA80" s="140" t="s">
        <v>39</v>
      </c>
      <c r="AB80" s="142" t="s">
        <v>40</v>
      </c>
      <c r="AD80" s="137">
        <f t="shared" si="3"/>
        <v>2.5070558364451183</v>
      </c>
    </row>
    <row r="81" spans="1:30">
      <c r="A81" s="138">
        <v>2467</v>
      </c>
      <c r="B81" s="139" t="str">
        <f t="shared" si="2"/>
        <v>Exist_KI_8MW_OIL_UID2467</v>
      </c>
      <c r="C81" s="140" t="s">
        <v>27</v>
      </c>
      <c r="D81" s="140" t="s">
        <v>85</v>
      </c>
      <c r="E81" s="140" t="s">
        <v>29</v>
      </c>
      <c r="F81" s="140" t="s">
        <v>100</v>
      </c>
      <c r="G81" s="140" t="s">
        <v>31</v>
      </c>
      <c r="H81" s="140" t="s">
        <v>152</v>
      </c>
      <c r="I81" s="140">
        <v>1</v>
      </c>
      <c r="J81" s="140">
        <v>8.9</v>
      </c>
      <c r="K81" s="140">
        <v>8</v>
      </c>
      <c r="L81" s="140">
        <v>0.85</v>
      </c>
      <c r="M81" s="140">
        <v>8.9</v>
      </c>
      <c r="N81" s="140" t="s">
        <v>33</v>
      </c>
      <c r="O81" s="143" t="s">
        <v>88</v>
      </c>
      <c r="P81" s="140" t="s">
        <v>35</v>
      </c>
      <c r="Q81" s="200" t="s">
        <v>198</v>
      </c>
      <c r="R81" s="140" t="s">
        <v>36</v>
      </c>
      <c r="S81" s="141">
        <v>2009</v>
      </c>
      <c r="T81" s="140" t="s">
        <v>37</v>
      </c>
      <c r="U81" s="140">
        <v>20</v>
      </c>
      <c r="V81" s="140">
        <v>0.31338197955563979</v>
      </c>
      <c r="W81" s="140">
        <v>30</v>
      </c>
      <c r="X81" s="140">
        <v>2039</v>
      </c>
      <c r="Y81" s="140" t="s">
        <v>148</v>
      </c>
      <c r="Z81" s="140">
        <v>9</v>
      </c>
      <c r="AA81" s="140" t="s">
        <v>39</v>
      </c>
      <c r="AB81" s="142" t="s">
        <v>40</v>
      </c>
      <c r="AD81" s="137">
        <f t="shared" si="3"/>
        <v>2.5070558364451183</v>
      </c>
    </row>
    <row r="82" spans="1:30">
      <c r="A82" s="138">
        <v>2469</v>
      </c>
      <c r="B82" s="139" t="str">
        <f t="shared" si="2"/>
        <v>Exist_KI_27.5MW_COA_UID2469</v>
      </c>
      <c r="C82" s="140" t="s">
        <v>27</v>
      </c>
      <c r="D82" s="140" t="s">
        <v>85</v>
      </c>
      <c r="E82" s="140" t="s">
        <v>29</v>
      </c>
      <c r="F82" s="140" t="s">
        <v>153</v>
      </c>
      <c r="G82" s="140" t="s">
        <v>61</v>
      </c>
      <c r="H82" s="144" t="s">
        <v>154</v>
      </c>
      <c r="I82" s="140">
        <v>1</v>
      </c>
      <c r="J82" s="140">
        <v>33</v>
      </c>
      <c r="K82" s="140">
        <v>27.5</v>
      </c>
      <c r="L82" s="140">
        <v>0.85</v>
      </c>
      <c r="M82" s="140">
        <v>33</v>
      </c>
      <c r="N82" s="140" t="s">
        <v>33</v>
      </c>
      <c r="O82" s="140" t="s">
        <v>63</v>
      </c>
      <c r="P82" s="140" t="s">
        <v>64</v>
      </c>
      <c r="Q82" s="200" t="s">
        <v>196</v>
      </c>
      <c r="R82" s="140" t="s">
        <v>36</v>
      </c>
      <c r="S82" s="141">
        <v>2018</v>
      </c>
      <c r="T82" s="140" t="s">
        <v>155</v>
      </c>
      <c r="U82" s="140">
        <v>150</v>
      </c>
      <c r="V82" s="140">
        <v>0.30788666305720996</v>
      </c>
      <c r="W82" s="140">
        <v>50</v>
      </c>
      <c r="X82" s="140">
        <v>2068</v>
      </c>
      <c r="Y82" s="140" t="s">
        <v>38</v>
      </c>
      <c r="Z82" s="140">
        <v>0</v>
      </c>
      <c r="AA82" s="140" t="s">
        <v>39</v>
      </c>
      <c r="AB82" s="142" t="s">
        <v>65</v>
      </c>
      <c r="AD82" s="137">
        <f t="shared" si="3"/>
        <v>8.4668832340732738</v>
      </c>
    </row>
    <row r="83" spans="1:30">
      <c r="A83" s="138">
        <v>2474</v>
      </c>
      <c r="B83" s="139" t="str">
        <f t="shared" si="2"/>
        <v>Exist_KI_46MW_GAS_UID2474</v>
      </c>
      <c r="C83" s="140" t="s">
        <v>27</v>
      </c>
      <c r="D83" s="140" t="s">
        <v>85</v>
      </c>
      <c r="E83" s="140" t="s">
        <v>29</v>
      </c>
      <c r="F83" s="140" t="s">
        <v>103</v>
      </c>
      <c r="G83" s="140" t="s">
        <v>42</v>
      </c>
      <c r="H83" s="140" t="s">
        <v>156</v>
      </c>
      <c r="I83" s="140">
        <v>1</v>
      </c>
      <c r="J83" s="140">
        <v>46</v>
      </c>
      <c r="K83" s="140">
        <v>46</v>
      </c>
      <c r="L83" s="140">
        <v>0.85</v>
      </c>
      <c r="M83" s="140">
        <v>46</v>
      </c>
      <c r="N83" s="140" t="s">
        <v>33</v>
      </c>
      <c r="O83" s="140" t="s">
        <v>44</v>
      </c>
      <c r="P83" s="140" t="s">
        <v>45</v>
      </c>
      <c r="Q83" s="200" t="s">
        <v>197</v>
      </c>
      <c r="R83" s="140" t="s">
        <v>36</v>
      </c>
      <c r="S83" s="141">
        <v>2014</v>
      </c>
      <c r="T83" s="140" t="s">
        <v>155</v>
      </c>
      <c r="U83" s="140">
        <v>150</v>
      </c>
      <c r="V83" s="140">
        <v>0.27368854818237726</v>
      </c>
      <c r="W83" s="140">
        <v>45</v>
      </c>
      <c r="X83" s="140">
        <v>2059</v>
      </c>
      <c r="Y83" s="140" t="s">
        <v>38</v>
      </c>
      <c r="Z83" s="140">
        <v>4</v>
      </c>
      <c r="AA83" s="140" t="s">
        <v>39</v>
      </c>
      <c r="AB83" s="142" t="s">
        <v>46</v>
      </c>
      <c r="AD83" s="137">
        <f t="shared" si="3"/>
        <v>12.589673216389354</v>
      </c>
    </row>
    <row r="84" spans="1:30">
      <c r="A84" s="138">
        <v>2475</v>
      </c>
      <c r="B84" s="139" t="str">
        <f t="shared" si="2"/>
        <v>Exist_KI_46MW_GAS_UID2475</v>
      </c>
      <c r="C84" s="140" t="s">
        <v>27</v>
      </c>
      <c r="D84" s="140" t="s">
        <v>85</v>
      </c>
      <c r="E84" s="140" t="s">
        <v>29</v>
      </c>
      <c r="F84" s="140" t="s">
        <v>103</v>
      </c>
      <c r="G84" s="140" t="s">
        <v>42</v>
      </c>
      <c r="H84" s="140" t="s">
        <v>157</v>
      </c>
      <c r="I84" s="140">
        <v>1</v>
      </c>
      <c r="J84" s="140">
        <v>46</v>
      </c>
      <c r="K84" s="140">
        <v>46</v>
      </c>
      <c r="L84" s="140">
        <v>0.85</v>
      </c>
      <c r="M84" s="140">
        <v>46</v>
      </c>
      <c r="N84" s="140" t="s">
        <v>33</v>
      </c>
      <c r="O84" s="140" t="s">
        <v>44</v>
      </c>
      <c r="P84" s="140" t="s">
        <v>45</v>
      </c>
      <c r="Q84" s="200" t="s">
        <v>197</v>
      </c>
      <c r="R84" s="140" t="s">
        <v>36</v>
      </c>
      <c r="S84" s="141">
        <v>2015</v>
      </c>
      <c r="T84" s="140" t="s">
        <v>155</v>
      </c>
      <c r="U84" s="140">
        <v>150</v>
      </c>
      <c r="V84" s="140">
        <v>0.31181044795959068</v>
      </c>
      <c r="W84" s="140">
        <v>45</v>
      </c>
      <c r="X84" s="140">
        <v>2060</v>
      </c>
      <c r="Y84" s="140" t="s">
        <v>38</v>
      </c>
      <c r="Z84" s="140">
        <v>3</v>
      </c>
      <c r="AA84" s="140" t="s">
        <v>39</v>
      </c>
      <c r="AB84" s="142" t="s">
        <v>46</v>
      </c>
      <c r="AD84" s="137">
        <f t="shared" si="3"/>
        <v>14.343280606141171</v>
      </c>
    </row>
    <row r="85" spans="1:30">
      <c r="A85" s="138">
        <v>2476</v>
      </c>
      <c r="B85" s="139" t="str">
        <f t="shared" si="2"/>
        <v>Exist_KI_22.5MW_COA_UID2476</v>
      </c>
      <c r="C85" s="140" t="s">
        <v>27</v>
      </c>
      <c r="D85" s="140" t="s">
        <v>85</v>
      </c>
      <c r="E85" s="140" t="s">
        <v>29</v>
      </c>
      <c r="F85" s="140" t="s">
        <v>103</v>
      </c>
      <c r="G85" s="140" t="s">
        <v>61</v>
      </c>
      <c r="H85" s="140" t="s">
        <v>158</v>
      </c>
      <c r="I85" s="140">
        <v>1</v>
      </c>
      <c r="J85" s="145">
        <v>25</v>
      </c>
      <c r="K85" s="140">
        <v>22.5</v>
      </c>
      <c r="L85" s="140">
        <v>0.85</v>
      </c>
      <c r="M85" s="140">
        <v>25</v>
      </c>
      <c r="N85" s="140" t="s">
        <v>33</v>
      </c>
      <c r="O85" s="140" t="s">
        <v>63</v>
      </c>
      <c r="P85" s="140" t="s">
        <v>64</v>
      </c>
      <c r="Q85" s="200" t="s">
        <v>196</v>
      </c>
      <c r="R85" s="140" t="s">
        <v>36</v>
      </c>
      <c r="S85" s="141">
        <v>2008</v>
      </c>
      <c r="T85" s="140" t="s">
        <v>155</v>
      </c>
      <c r="U85" s="140">
        <v>150</v>
      </c>
      <c r="V85" s="140">
        <v>0.32496606999928568</v>
      </c>
      <c r="W85" s="140">
        <v>50</v>
      </c>
      <c r="X85" s="140">
        <v>2058</v>
      </c>
      <c r="Y85" s="140" t="s">
        <v>38</v>
      </c>
      <c r="Z85" s="140">
        <v>10</v>
      </c>
      <c r="AA85" s="140" t="s">
        <v>39</v>
      </c>
      <c r="AB85" s="142" t="s">
        <v>65</v>
      </c>
      <c r="AD85" s="137">
        <f t="shared" si="3"/>
        <v>7.3117365749839278</v>
      </c>
    </row>
    <row r="86" spans="1:30">
      <c r="A86" s="138">
        <v>2477</v>
      </c>
      <c r="B86" s="139" t="str">
        <f t="shared" si="2"/>
        <v>Exist_KI_22.5MW_COA_UID2477</v>
      </c>
      <c r="C86" s="140" t="s">
        <v>27</v>
      </c>
      <c r="D86" s="140" t="s">
        <v>85</v>
      </c>
      <c r="E86" s="140" t="s">
        <v>29</v>
      </c>
      <c r="F86" s="140" t="s">
        <v>103</v>
      </c>
      <c r="G86" s="140" t="s">
        <v>61</v>
      </c>
      <c r="H86" s="140" t="s">
        <v>159</v>
      </c>
      <c r="I86" s="140">
        <v>1</v>
      </c>
      <c r="J86" s="145">
        <v>25</v>
      </c>
      <c r="K86" s="140">
        <v>22.5</v>
      </c>
      <c r="L86" s="140">
        <v>0.85</v>
      </c>
      <c r="M86" s="140">
        <v>25</v>
      </c>
      <c r="N86" s="140" t="s">
        <v>33</v>
      </c>
      <c r="O86" s="140" t="s">
        <v>63</v>
      </c>
      <c r="P86" s="140" t="s">
        <v>64</v>
      </c>
      <c r="Q86" s="200" t="s">
        <v>196</v>
      </c>
      <c r="R86" s="140" t="s">
        <v>36</v>
      </c>
      <c r="S86" s="141">
        <v>2008</v>
      </c>
      <c r="T86" s="140" t="s">
        <v>155</v>
      </c>
      <c r="U86" s="140">
        <v>150</v>
      </c>
      <c r="V86" s="140">
        <v>0.32496606999928568</v>
      </c>
      <c r="W86" s="140">
        <v>50</v>
      </c>
      <c r="X86" s="140">
        <v>2058</v>
      </c>
      <c r="Y86" s="140" t="s">
        <v>38</v>
      </c>
      <c r="Z86" s="140">
        <v>10</v>
      </c>
      <c r="AA86" s="140" t="s">
        <v>39</v>
      </c>
      <c r="AB86" s="142" t="s">
        <v>65</v>
      </c>
      <c r="AD86" s="137">
        <f t="shared" si="3"/>
        <v>7.3117365749839278</v>
      </c>
    </row>
    <row r="87" spans="1:30">
      <c r="A87" s="138">
        <v>2478</v>
      </c>
      <c r="B87" s="139" t="str">
        <f t="shared" si="2"/>
        <v>Exist_KI_50MW_COA_UID2478</v>
      </c>
      <c r="C87" s="140" t="s">
        <v>27</v>
      </c>
      <c r="D87" s="140" t="s">
        <v>85</v>
      </c>
      <c r="E87" s="140" t="s">
        <v>29</v>
      </c>
      <c r="F87" s="140" t="s">
        <v>103</v>
      </c>
      <c r="G87" s="140" t="s">
        <v>61</v>
      </c>
      <c r="H87" s="140" t="s">
        <v>160</v>
      </c>
      <c r="I87" s="140">
        <v>1</v>
      </c>
      <c r="J87" s="140">
        <v>50</v>
      </c>
      <c r="K87" s="140">
        <v>50</v>
      </c>
      <c r="L87" s="140">
        <v>0.85</v>
      </c>
      <c r="M87" s="140">
        <v>50</v>
      </c>
      <c r="N87" s="140" t="s">
        <v>33</v>
      </c>
      <c r="O87" s="140" t="s">
        <v>63</v>
      </c>
      <c r="P87" s="140" t="s">
        <v>64</v>
      </c>
      <c r="Q87" s="200" t="s">
        <v>196</v>
      </c>
      <c r="R87" s="140" t="s">
        <v>36</v>
      </c>
      <c r="S87" s="141">
        <v>2014</v>
      </c>
      <c r="T87" s="140" t="s">
        <v>155</v>
      </c>
      <c r="U87" s="140">
        <v>150</v>
      </c>
      <c r="V87" s="140">
        <v>0.31105134808669693</v>
      </c>
      <c r="W87" s="140">
        <v>50</v>
      </c>
      <c r="X87" s="140">
        <v>2064</v>
      </c>
      <c r="Y87" s="140" t="s">
        <v>38</v>
      </c>
      <c r="Z87" s="140">
        <v>4</v>
      </c>
      <c r="AA87" s="140" t="s">
        <v>39</v>
      </c>
      <c r="AB87" s="142" t="s">
        <v>65</v>
      </c>
      <c r="AD87" s="137">
        <f t="shared" si="3"/>
        <v>15.552567404334846</v>
      </c>
    </row>
    <row r="88" spans="1:30">
      <c r="A88" s="138">
        <v>2777</v>
      </c>
      <c r="B88" s="139" t="str">
        <f t="shared" si="2"/>
        <v>Exist_KT_2MW_OIL_UID2777</v>
      </c>
      <c r="C88" s="140" t="s">
        <v>27</v>
      </c>
      <c r="D88" s="140" t="s">
        <v>53</v>
      </c>
      <c r="E88" s="140" t="s">
        <v>29</v>
      </c>
      <c r="F88" s="140" t="s">
        <v>161</v>
      </c>
      <c r="G88" s="140" t="s">
        <v>31</v>
      </c>
      <c r="H88" s="140" t="s">
        <v>162</v>
      </c>
      <c r="I88" s="140">
        <v>1</v>
      </c>
      <c r="J88" s="140">
        <v>2.8</v>
      </c>
      <c r="K88" s="140">
        <v>2</v>
      </c>
      <c r="L88" s="140">
        <v>0.85</v>
      </c>
      <c r="M88" s="140">
        <v>2.8</v>
      </c>
      <c r="N88" s="140" t="s">
        <v>33</v>
      </c>
      <c r="O88" s="140" t="s">
        <v>34</v>
      </c>
      <c r="P88" s="140" t="s">
        <v>35</v>
      </c>
      <c r="Q88" s="200" t="s">
        <v>198</v>
      </c>
      <c r="R88" s="140" t="s">
        <v>36</v>
      </c>
      <c r="S88" s="141">
        <v>1995</v>
      </c>
      <c r="T88" s="140" t="s">
        <v>37</v>
      </c>
      <c r="U88" s="140">
        <v>20</v>
      </c>
      <c r="V88" s="140">
        <v>0.31338197955563979</v>
      </c>
      <c r="W88" s="140">
        <v>30</v>
      </c>
      <c r="X88" s="140">
        <v>2025</v>
      </c>
      <c r="Y88" s="140" t="s">
        <v>38</v>
      </c>
      <c r="Z88" s="140">
        <v>23</v>
      </c>
      <c r="AA88" s="140" t="s">
        <v>39</v>
      </c>
      <c r="AB88" s="142" t="s">
        <v>40</v>
      </c>
      <c r="AD88" s="137">
        <f t="shared" si="3"/>
        <v>0.62676395911127958</v>
      </c>
    </row>
    <row r="89" spans="1:30">
      <c r="A89" s="138">
        <v>2778</v>
      </c>
      <c r="B89" s="139" t="str">
        <f t="shared" si="2"/>
        <v>Exist_KT_0.1MW_OIL_UID2778</v>
      </c>
      <c r="C89" s="140" t="s">
        <v>27</v>
      </c>
      <c r="D89" s="140" t="s">
        <v>53</v>
      </c>
      <c r="E89" s="140" t="s">
        <v>29</v>
      </c>
      <c r="F89" s="140" t="s">
        <v>161</v>
      </c>
      <c r="G89" s="140" t="s">
        <v>31</v>
      </c>
      <c r="H89" s="140" t="s">
        <v>163</v>
      </c>
      <c r="I89" s="140">
        <v>1</v>
      </c>
      <c r="J89" s="140">
        <v>0.24</v>
      </c>
      <c r="K89" s="140">
        <v>0.115</v>
      </c>
      <c r="L89" s="140">
        <v>0.85</v>
      </c>
      <c r="M89" s="140">
        <v>0.24</v>
      </c>
      <c r="N89" s="140" t="s">
        <v>33</v>
      </c>
      <c r="O89" s="140" t="s">
        <v>34</v>
      </c>
      <c r="P89" s="140" t="s">
        <v>35</v>
      </c>
      <c r="Q89" s="200" t="s">
        <v>198</v>
      </c>
      <c r="R89" s="140" t="s">
        <v>36</v>
      </c>
      <c r="S89" s="141">
        <v>2000</v>
      </c>
      <c r="T89" s="140" t="s">
        <v>37</v>
      </c>
      <c r="U89" s="140">
        <v>20</v>
      </c>
      <c r="V89" s="140">
        <v>0.31338197955563979</v>
      </c>
      <c r="W89" s="140">
        <v>30</v>
      </c>
      <c r="X89" s="140">
        <v>2030</v>
      </c>
      <c r="Y89" s="140" t="s">
        <v>38</v>
      </c>
      <c r="Z89" s="140">
        <v>18</v>
      </c>
      <c r="AA89" s="140" t="s">
        <v>39</v>
      </c>
      <c r="AB89" s="142" t="s">
        <v>40</v>
      </c>
      <c r="AD89" s="137">
        <f t="shared" si="3"/>
        <v>3.6038927648898579E-2</v>
      </c>
    </row>
    <row r="90" spans="1:30">
      <c r="A90" s="138">
        <v>2790</v>
      </c>
      <c r="B90" s="139" t="str">
        <f t="shared" si="2"/>
        <v>Exist_KT_1.9MW_OIL_UID2790</v>
      </c>
      <c r="C90" s="140" t="s">
        <v>27</v>
      </c>
      <c r="D90" s="140" t="s">
        <v>53</v>
      </c>
      <c r="E90" s="140" t="s">
        <v>29</v>
      </c>
      <c r="F90" s="140" t="s">
        <v>164</v>
      </c>
      <c r="G90" s="140" t="s">
        <v>31</v>
      </c>
      <c r="H90" s="140" t="s">
        <v>165</v>
      </c>
      <c r="I90" s="140">
        <v>1</v>
      </c>
      <c r="J90" s="140">
        <v>2.8</v>
      </c>
      <c r="K90" s="140">
        <v>1.9</v>
      </c>
      <c r="L90" s="140">
        <v>0.85</v>
      </c>
      <c r="M90" s="140">
        <v>2.8</v>
      </c>
      <c r="N90" s="140" t="s">
        <v>33</v>
      </c>
      <c r="O90" s="140" t="s">
        <v>34</v>
      </c>
      <c r="P90" s="140" t="s">
        <v>35</v>
      </c>
      <c r="Q90" s="200" t="s">
        <v>198</v>
      </c>
      <c r="R90" s="140" t="s">
        <v>36</v>
      </c>
      <c r="S90" s="141">
        <v>1997</v>
      </c>
      <c r="T90" s="140" t="s">
        <v>37</v>
      </c>
      <c r="U90" s="140">
        <v>20</v>
      </c>
      <c r="V90" s="140">
        <v>0.31338197955563979</v>
      </c>
      <c r="W90" s="140">
        <v>30</v>
      </c>
      <c r="X90" s="140">
        <v>2027</v>
      </c>
      <c r="Y90" s="140" t="s">
        <v>38</v>
      </c>
      <c r="Z90" s="140">
        <v>21</v>
      </c>
      <c r="AA90" s="140" t="s">
        <v>39</v>
      </c>
      <c r="AB90" s="142" t="s">
        <v>40</v>
      </c>
      <c r="AD90" s="137">
        <f t="shared" si="3"/>
        <v>0.59542576115571555</v>
      </c>
    </row>
    <row r="91" spans="1:30">
      <c r="A91" s="138">
        <v>2791</v>
      </c>
      <c r="B91" s="139" t="str">
        <f t="shared" si="2"/>
        <v>Exist_KT_1.9MW_OIL_UID2791</v>
      </c>
      <c r="C91" s="140" t="s">
        <v>27</v>
      </c>
      <c r="D91" s="140" t="s">
        <v>53</v>
      </c>
      <c r="E91" s="140" t="s">
        <v>29</v>
      </c>
      <c r="F91" s="140" t="s">
        <v>164</v>
      </c>
      <c r="G91" s="140" t="s">
        <v>31</v>
      </c>
      <c r="H91" s="140" t="s">
        <v>166</v>
      </c>
      <c r="I91" s="140">
        <v>1</v>
      </c>
      <c r="J91" s="140">
        <v>2.8</v>
      </c>
      <c r="K91" s="140">
        <v>1.9</v>
      </c>
      <c r="L91" s="140">
        <v>0.85</v>
      </c>
      <c r="M91" s="140">
        <v>2.8</v>
      </c>
      <c r="N91" s="140" t="s">
        <v>33</v>
      </c>
      <c r="O91" s="140" t="s">
        <v>34</v>
      </c>
      <c r="P91" s="140" t="s">
        <v>35</v>
      </c>
      <c r="Q91" s="200" t="s">
        <v>198</v>
      </c>
      <c r="R91" s="140" t="s">
        <v>36</v>
      </c>
      <c r="S91" s="141">
        <v>1997</v>
      </c>
      <c r="T91" s="140" t="s">
        <v>37</v>
      </c>
      <c r="U91" s="140">
        <v>20</v>
      </c>
      <c r="V91" s="140">
        <v>0.31338197955563979</v>
      </c>
      <c r="W91" s="140">
        <v>30</v>
      </c>
      <c r="X91" s="140">
        <v>2027</v>
      </c>
      <c r="Y91" s="140" t="s">
        <v>38</v>
      </c>
      <c r="Z91" s="140">
        <v>21</v>
      </c>
      <c r="AA91" s="140" t="s">
        <v>39</v>
      </c>
      <c r="AB91" s="142" t="s">
        <v>40</v>
      </c>
      <c r="AD91" s="137">
        <f t="shared" si="3"/>
        <v>0.59542576115571555</v>
      </c>
    </row>
    <row r="92" spans="1:30">
      <c r="A92" s="138">
        <v>2796</v>
      </c>
      <c r="B92" s="139" t="str">
        <f t="shared" si="2"/>
        <v>Exist_KT_0.1MW_OIL_UID2796</v>
      </c>
      <c r="C92" s="140" t="s">
        <v>27</v>
      </c>
      <c r="D92" s="140" t="s">
        <v>53</v>
      </c>
      <c r="E92" s="140" t="s">
        <v>29</v>
      </c>
      <c r="F92" s="140" t="s">
        <v>167</v>
      </c>
      <c r="G92" s="140" t="s">
        <v>31</v>
      </c>
      <c r="H92" s="140" t="s">
        <v>168</v>
      </c>
      <c r="I92" s="140">
        <v>1</v>
      </c>
      <c r="J92" s="140">
        <v>0.128</v>
      </c>
      <c r="K92" s="140">
        <v>0.1</v>
      </c>
      <c r="L92" s="140">
        <v>0.85</v>
      </c>
      <c r="M92" s="140">
        <v>0.128</v>
      </c>
      <c r="N92" s="140" t="s">
        <v>33</v>
      </c>
      <c r="O92" s="140" t="s">
        <v>34</v>
      </c>
      <c r="P92" s="140" t="s">
        <v>35</v>
      </c>
      <c r="Q92" s="200" t="s">
        <v>198</v>
      </c>
      <c r="R92" s="140" t="s">
        <v>36</v>
      </c>
      <c r="S92" s="141">
        <v>2017</v>
      </c>
      <c r="T92" s="140" t="s">
        <v>37</v>
      </c>
      <c r="U92" s="140">
        <v>20</v>
      </c>
      <c r="V92" s="140">
        <v>0.31338197955563979</v>
      </c>
      <c r="W92" s="140">
        <v>30</v>
      </c>
      <c r="X92" s="140">
        <v>2047</v>
      </c>
      <c r="Y92" s="140" t="s">
        <v>38</v>
      </c>
      <c r="Z92" s="140">
        <v>1</v>
      </c>
      <c r="AA92" s="140" t="s">
        <v>39</v>
      </c>
      <c r="AB92" s="142" t="s">
        <v>40</v>
      </c>
      <c r="AD92" s="137">
        <f t="shared" si="3"/>
        <v>3.133819795556398E-2</v>
      </c>
    </row>
    <row r="93" spans="1:30">
      <c r="A93" s="138">
        <v>2797</v>
      </c>
      <c r="B93" s="139" t="str">
        <f t="shared" si="2"/>
        <v>Exist_KT_0.8MW_OIL_UID2797</v>
      </c>
      <c r="C93" s="140" t="s">
        <v>27</v>
      </c>
      <c r="D93" s="140" t="s">
        <v>53</v>
      </c>
      <c r="E93" s="140" t="s">
        <v>29</v>
      </c>
      <c r="F93" s="140" t="s">
        <v>169</v>
      </c>
      <c r="G93" s="140" t="s">
        <v>31</v>
      </c>
      <c r="H93" s="140" t="s">
        <v>170</v>
      </c>
      <c r="I93" s="140">
        <v>1</v>
      </c>
      <c r="J93" s="140">
        <v>0.94</v>
      </c>
      <c r="K93" s="140">
        <v>0.75</v>
      </c>
      <c r="L93" s="140">
        <v>0.85</v>
      </c>
      <c r="M93" s="140">
        <v>0.94</v>
      </c>
      <c r="N93" s="140" t="s">
        <v>33</v>
      </c>
      <c r="O93" s="140" t="s">
        <v>34</v>
      </c>
      <c r="P93" s="140" t="s">
        <v>35</v>
      </c>
      <c r="Q93" s="200" t="s">
        <v>198</v>
      </c>
      <c r="R93" s="140" t="s">
        <v>36</v>
      </c>
      <c r="S93" s="141">
        <v>1996</v>
      </c>
      <c r="T93" s="140" t="s">
        <v>37</v>
      </c>
      <c r="U93" s="140">
        <v>150</v>
      </c>
      <c r="V93" s="140">
        <v>0.31338197955563979</v>
      </c>
      <c r="W93" s="140">
        <v>30</v>
      </c>
      <c r="X93" s="140">
        <v>2026</v>
      </c>
      <c r="Y93" s="140" t="s">
        <v>38</v>
      </c>
      <c r="Z93" s="140">
        <v>22</v>
      </c>
      <c r="AA93" s="140" t="s">
        <v>39</v>
      </c>
      <c r="AB93" s="142" t="s">
        <v>40</v>
      </c>
      <c r="AD93" s="137">
        <f t="shared" si="3"/>
        <v>0.23503648466672983</v>
      </c>
    </row>
    <row r="94" spans="1:30">
      <c r="A94" s="138">
        <v>2798</v>
      </c>
      <c r="B94" s="139" t="str">
        <f t="shared" si="2"/>
        <v>Exist_KT_0.8MW_OIL_UID2798</v>
      </c>
      <c r="C94" s="140" t="s">
        <v>27</v>
      </c>
      <c r="D94" s="140" t="s">
        <v>53</v>
      </c>
      <c r="E94" s="140" t="s">
        <v>29</v>
      </c>
      <c r="F94" s="140" t="s">
        <v>169</v>
      </c>
      <c r="G94" s="140" t="s">
        <v>31</v>
      </c>
      <c r="H94" s="140" t="s">
        <v>171</v>
      </c>
      <c r="I94" s="140">
        <v>1</v>
      </c>
      <c r="J94" s="140">
        <v>0.94</v>
      </c>
      <c r="K94" s="140">
        <v>0.75</v>
      </c>
      <c r="L94" s="140">
        <v>0.85</v>
      </c>
      <c r="M94" s="140">
        <v>0.94</v>
      </c>
      <c r="N94" s="140" t="s">
        <v>33</v>
      </c>
      <c r="O94" s="140" t="s">
        <v>34</v>
      </c>
      <c r="P94" s="140" t="s">
        <v>35</v>
      </c>
      <c r="Q94" s="200" t="s">
        <v>198</v>
      </c>
      <c r="R94" s="140" t="s">
        <v>36</v>
      </c>
      <c r="S94" s="141">
        <v>1996</v>
      </c>
      <c r="T94" s="140" t="s">
        <v>37</v>
      </c>
      <c r="U94" s="140">
        <v>150</v>
      </c>
      <c r="V94" s="140">
        <v>0.31338197955563979</v>
      </c>
      <c r="W94" s="140">
        <v>30</v>
      </c>
      <c r="X94" s="140">
        <v>2026</v>
      </c>
      <c r="Y94" s="140" t="s">
        <v>38</v>
      </c>
      <c r="Z94" s="140">
        <v>22</v>
      </c>
      <c r="AA94" s="140" t="s">
        <v>39</v>
      </c>
      <c r="AB94" s="142" t="s">
        <v>40</v>
      </c>
      <c r="AD94" s="137">
        <f t="shared" si="3"/>
        <v>0.23503648466672983</v>
      </c>
    </row>
    <row r="95" spans="1:30">
      <c r="A95" s="138">
        <v>2799</v>
      </c>
      <c r="B95" s="139" t="str">
        <f t="shared" si="2"/>
        <v>Exist_KT_0.8MW_OIL_UID2799</v>
      </c>
      <c r="C95" s="140" t="s">
        <v>27</v>
      </c>
      <c r="D95" s="140" t="s">
        <v>53</v>
      </c>
      <c r="E95" s="140" t="s">
        <v>29</v>
      </c>
      <c r="F95" s="140" t="s">
        <v>169</v>
      </c>
      <c r="G95" s="140" t="s">
        <v>31</v>
      </c>
      <c r="H95" s="140" t="s">
        <v>172</v>
      </c>
      <c r="I95" s="140">
        <v>1</v>
      </c>
      <c r="J95" s="140">
        <v>1</v>
      </c>
      <c r="K95" s="140">
        <v>0.8</v>
      </c>
      <c r="L95" s="140">
        <v>0.85</v>
      </c>
      <c r="M95" s="140">
        <v>1</v>
      </c>
      <c r="N95" s="140" t="s">
        <v>33</v>
      </c>
      <c r="O95" s="140" t="s">
        <v>34</v>
      </c>
      <c r="P95" s="140" t="s">
        <v>35</v>
      </c>
      <c r="Q95" s="200" t="s">
        <v>198</v>
      </c>
      <c r="R95" s="140" t="s">
        <v>36</v>
      </c>
      <c r="S95" s="141">
        <v>2004</v>
      </c>
      <c r="T95" s="140" t="s">
        <v>37</v>
      </c>
      <c r="U95" s="140">
        <v>150</v>
      </c>
      <c r="V95" s="140">
        <v>0.31338197955563979</v>
      </c>
      <c r="W95" s="140">
        <v>30</v>
      </c>
      <c r="X95" s="140">
        <v>2034</v>
      </c>
      <c r="Y95" s="140" t="s">
        <v>38</v>
      </c>
      <c r="Z95" s="140">
        <v>14</v>
      </c>
      <c r="AA95" s="140" t="s">
        <v>39</v>
      </c>
      <c r="AB95" s="142" t="s">
        <v>40</v>
      </c>
      <c r="AD95" s="137">
        <f t="shared" si="3"/>
        <v>0.25070558364451184</v>
      </c>
    </row>
    <row r="96" spans="1:30">
      <c r="A96" s="138">
        <v>2800</v>
      </c>
      <c r="B96" s="139" t="str">
        <f t="shared" si="2"/>
        <v>Exist_KT_0.6MW_OIL_UID2800</v>
      </c>
      <c r="C96" s="140" t="s">
        <v>27</v>
      </c>
      <c r="D96" s="140" t="s">
        <v>53</v>
      </c>
      <c r="E96" s="140" t="s">
        <v>29</v>
      </c>
      <c r="F96" s="140" t="s">
        <v>169</v>
      </c>
      <c r="G96" s="140" t="s">
        <v>31</v>
      </c>
      <c r="H96" s="140" t="s">
        <v>173</v>
      </c>
      <c r="I96" s="140">
        <v>1</v>
      </c>
      <c r="J96" s="140">
        <v>0.7</v>
      </c>
      <c r="K96" s="140">
        <v>0.55000000000000004</v>
      </c>
      <c r="L96" s="140">
        <v>0.85</v>
      </c>
      <c r="M96" s="140">
        <v>0.7</v>
      </c>
      <c r="N96" s="140" t="s">
        <v>33</v>
      </c>
      <c r="O96" s="140" t="s">
        <v>34</v>
      </c>
      <c r="P96" s="140" t="s">
        <v>35</v>
      </c>
      <c r="Q96" s="200" t="s">
        <v>198</v>
      </c>
      <c r="R96" s="140" t="s">
        <v>36</v>
      </c>
      <c r="S96" s="141">
        <v>2005</v>
      </c>
      <c r="T96" s="140" t="s">
        <v>37</v>
      </c>
      <c r="U96" s="140">
        <v>150</v>
      </c>
      <c r="V96" s="140">
        <v>0.31338197955563979</v>
      </c>
      <c r="W96" s="140">
        <v>30</v>
      </c>
      <c r="X96" s="140">
        <v>2035</v>
      </c>
      <c r="Y96" s="140" t="s">
        <v>38</v>
      </c>
      <c r="Z96" s="140">
        <v>13</v>
      </c>
      <c r="AA96" s="140" t="s">
        <v>39</v>
      </c>
      <c r="AB96" s="142" t="s">
        <v>40</v>
      </c>
      <c r="AD96" s="137">
        <f t="shared" si="3"/>
        <v>0.17236008875560191</v>
      </c>
    </row>
    <row r="97" spans="1:30">
      <c r="A97" s="138">
        <v>2802</v>
      </c>
      <c r="B97" s="139" t="str">
        <f t="shared" si="2"/>
        <v>Exist_KT_0.7MW_OIL_UID2802</v>
      </c>
      <c r="C97" s="140" t="s">
        <v>27</v>
      </c>
      <c r="D97" s="140" t="s">
        <v>53</v>
      </c>
      <c r="E97" s="140" t="s">
        <v>29</v>
      </c>
      <c r="F97" s="140" t="s">
        <v>174</v>
      </c>
      <c r="G97" s="140" t="s">
        <v>31</v>
      </c>
      <c r="H97" s="140" t="s">
        <v>175</v>
      </c>
      <c r="I97" s="140">
        <v>1</v>
      </c>
      <c r="J97" s="140">
        <v>0.94</v>
      </c>
      <c r="K97" s="140">
        <v>0.65</v>
      </c>
      <c r="L97" s="140">
        <v>0.85</v>
      </c>
      <c r="M97" s="140">
        <v>0.94</v>
      </c>
      <c r="N97" s="140" t="s">
        <v>33</v>
      </c>
      <c r="O97" s="140" t="s">
        <v>34</v>
      </c>
      <c r="P97" s="140" t="s">
        <v>35</v>
      </c>
      <c r="Q97" s="200" t="s">
        <v>198</v>
      </c>
      <c r="R97" s="140" t="s">
        <v>36</v>
      </c>
      <c r="S97" s="141">
        <v>1996</v>
      </c>
      <c r="T97" s="140" t="s">
        <v>37</v>
      </c>
      <c r="U97" s="140">
        <v>150</v>
      </c>
      <c r="V97" s="140">
        <v>0.31338197955563979</v>
      </c>
      <c r="W97" s="140">
        <v>30</v>
      </c>
      <c r="X97" s="140">
        <v>2026</v>
      </c>
      <c r="Y97" s="140" t="s">
        <v>38</v>
      </c>
      <c r="Z97" s="140">
        <v>22</v>
      </c>
      <c r="AA97" s="140" t="s">
        <v>39</v>
      </c>
      <c r="AB97" s="142" t="s">
        <v>40</v>
      </c>
      <c r="AD97" s="137">
        <f t="shared" si="3"/>
        <v>0.20369828671116588</v>
      </c>
    </row>
    <row r="98" spans="1:30">
      <c r="A98" s="138">
        <v>2804</v>
      </c>
      <c r="B98" s="139" t="str">
        <f t="shared" si="2"/>
        <v>Exist_KT_0.8MW_OIL_UID2804</v>
      </c>
      <c r="C98" s="140" t="s">
        <v>27</v>
      </c>
      <c r="D98" s="140" t="s">
        <v>53</v>
      </c>
      <c r="E98" s="140" t="s">
        <v>29</v>
      </c>
      <c r="F98" s="140" t="s">
        <v>174</v>
      </c>
      <c r="G98" s="140" t="s">
        <v>31</v>
      </c>
      <c r="H98" s="140" t="s">
        <v>176</v>
      </c>
      <c r="I98" s="140">
        <v>1</v>
      </c>
      <c r="J98" s="140">
        <v>1</v>
      </c>
      <c r="K98" s="140">
        <v>0.75</v>
      </c>
      <c r="L98" s="140">
        <v>0.85</v>
      </c>
      <c r="M98" s="140">
        <v>1</v>
      </c>
      <c r="N98" s="140" t="s">
        <v>33</v>
      </c>
      <c r="O98" s="140" t="s">
        <v>34</v>
      </c>
      <c r="P98" s="140" t="s">
        <v>35</v>
      </c>
      <c r="Q98" s="200" t="s">
        <v>198</v>
      </c>
      <c r="R98" s="140" t="s">
        <v>36</v>
      </c>
      <c r="S98" s="141">
        <v>2004</v>
      </c>
      <c r="T98" s="140" t="s">
        <v>37</v>
      </c>
      <c r="U98" s="140">
        <v>150</v>
      </c>
      <c r="V98" s="140">
        <v>0.31338197955563979</v>
      </c>
      <c r="W98" s="140">
        <v>30</v>
      </c>
      <c r="X98" s="140">
        <v>2034</v>
      </c>
      <c r="Y98" s="140" t="s">
        <v>38</v>
      </c>
      <c r="Z98" s="140">
        <v>14</v>
      </c>
      <c r="AA98" s="140" t="s">
        <v>39</v>
      </c>
      <c r="AB98" s="142" t="s">
        <v>40</v>
      </c>
      <c r="AD98" s="137">
        <f t="shared" si="3"/>
        <v>0.23503648466672983</v>
      </c>
    </row>
    <row r="99" spans="1:30">
      <c r="A99" s="138">
        <v>2805</v>
      </c>
      <c r="B99" s="139" t="str">
        <f t="shared" si="2"/>
        <v>Exist_KT_0.8MW_OIL_UID2805</v>
      </c>
      <c r="C99" s="140" t="s">
        <v>27</v>
      </c>
      <c r="D99" s="140" t="s">
        <v>53</v>
      </c>
      <c r="E99" s="140" t="s">
        <v>29</v>
      </c>
      <c r="F99" s="140" t="s">
        <v>174</v>
      </c>
      <c r="G99" s="140" t="s">
        <v>31</v>
      </c>
      <c r="H99" s="140" t="s">
        <v>177</v>
      </c>
      <c r="I99" s="140">
        <v>1</v>
      </c>
      <c r="J99" s="140">
        <v>1</v>
      </c>
      <c r="K99" s="140">
        <v>0.75</v>
      </c>
      <c r="L99" s="140">
        <v>0.85</v>
      </c>
      <c r="M99" s="140">
        <v>1</v>
      </c>
      <c r="N99" s="140" t="s">
        <v>33</v>
      </c>
      <c r="O99" s="140" t="s">
        <v>34</v>
      </c>
      <c r="P99" s="140" t="s">
        <v>35</v>
      </c>
      <c r="Q99" s="200" t="s">
        <v>198</v>
      </c>
      <c r="R99" s="140" t="s">
        <v>36</v>
      </c>
      <c r="S99" s="141">
        <v>2004</v>
      </c>
      <c r="T99" s="140" t="s">
        <v>37</v>
      </c>
      <c r="U99" s="140">
        <v>150</v>
      </c>
      <c r="V99" s="140">
        <v>0.31338197955563979</v>
      </c>
      <c r="W99" s="140">
        <v>30</v>
      </c>
      <c r="X99" s="140">
        <v>2034</v>
      </c>
      <c r="Y99" s="140" t="s">
        <v>38</v>
      </c>
      <c r="Z99" s="140">
        <v>14</v>
      </c>
      <c r="AA99" s="140" t="s">
        <v>39</v>
      </c>
      <c r="AB99" s="142" t="s">
        <v>40</v>
      </c>
      <c r="AD99" s="137">
        <f t="shared" si="3"/>
        <v>0.23503648466672983</v>
      </c>
    </row>
    <row r="100" spans="1:30">
      <c r="A100" s="138">
        <v>2807</v>
      </c>
      <c r="B100" s="139" t="str">
        <f t="shared" si="2"/>
        <v>Exist_KT_0.3MW_OIL_UID2807</v>
      </c>
      <c r="C100" s="140" t="s">
        <v>27</v>
      </c>
      <c r="D100" s="140" t="s">
        <v>53</v>
      </c>
      <c r="E100" s="140" t="s">
        <v>29</v>
      </c>
      <c r="F100" s="140" t="s">
        <v>174</v>
      </c>
      <c r="G100" s="140" t="s">
        <v>31</v>
      </c>
      <c r="H100" s="140" t="s">
        <v>178</v>
      </c>
      <c r="I100" s="140">
        <v>1</v>
      </c>
      <c r="J100" s="140">
        <v>0.52</v>
      </c>
      <c r="K100" s="140">
        <v>0.25</v>
      </c>
      <c r="L100" s="140">
        <v>0.85</v>
      </c>
      <c r="M100" s="140">
        <v>0.52</v>
      </c>
      <c r="N100" s="140" t="s">
        <v>33</v>
      </c>
      <c r="O100" s="140" t="s">
        <v>34</v>
      </c>
      <c r="P100" s="140" t="s">
        <v>35</v>
      </c>
      <c r="Q100" s="200" t="s">
        <v>198</v>
      </c>
      <c r="R100" s="140" t="s">
        <v>36</v>
      </c>
      <c r="S100" s="141">
        <v>2000</v>
      </c>
      <c r="T100" s="140" t="s">
        <v>37</v>
      </c>
      <c r="U100" s="140">
        <v>150</v>
      </c>
      <c r="V100" s="140">
        <v>0.31338197955563979</v>
      </c>
      <c r="W100" s="140">
        <v>30</v>
      </c>
      <c r="X100" s="140">
        <v>2030</v>
      </c>
      <c r="Y100" s="140" t="s">
        <v>38</v>
      </c>
      <c r="Z100" s="140">
        <v>18</v>
      </c>
      <c r="AA100" s="140" t="s">
        <v>39</v>
      </c>
      <c r="AB100" s="142" t="s">
        <v>40</v>
      </c>
      <c r="AD100" s="137">
        <f t="shared" si="3"/>
        <v>7.8345494888909947E-2</v>
      </c>
    </row>
    <row r="101" spans="1:30">
      <c r="A101" s="138">
        <v>2808</v>
      </c>
      <c r="B101" s="139" t="str">
        <f t="shared" si="2"/>
        <v>Exist_KT_0.3MW_OIL_UID2808</v>
      </c>
      <c r="C101" s="140" t="s">
        <v>27</v>
      </c>
      <c r="D101" s="140" t="s">
        <v>53</v>
      </c>
      <c r="E101" s="140" t="s">
        <v>29</v>
      </c>
      <c r="F101" s="140" t="s">
        <v>174</v>
      </c>
      <c r="G101" s="140" t="s">
        <v>31</v>
      </c>
      <c r="H101" s="140" t="s">
        <v>179</v>
      </c>
      <c r="I101" s="140">
        <v>1</v>
      </c>
      <c r="J101" s="140">
        <v>0.52</v>
      </c>
      <c r="K101" s="140">
        <v>0.25</v>
      </c>
      <c r="L101" s="140">
        <v>0.85</v>
      </c>
      <c r="M101" s="140">
        <v>0.52</v>
      </c>
      <c r="N101" s="140" t="s">
        <v>33</v>
      </c>
      <c r="O101" s="140" t="s">
        <v>34</v>
      </c>
      <c r="P101" s="140" t="s">
        <v>35</v>
      </c>
      <c r="Q101" s="200" t="s">
        <v>198</v>
      </c>
      <c r="R101" s="140" t="s">
        <v>36</v>
      </c>
      <c r="S101" s="141">
        <v>2000</v>
      </c>
      <c r="T101" s="140" t="s">
        <v>37</v>
      </c>
      <c r="U101" s="140">
        <v>150</v>
      </c>
      <c r="V101" s="140">
        <v>0.31338197955563979</v>
      </c>
      <c r="W101" s="140">
        <v>30</v>
      </c>
      <c r="X101" s="140">
        <v>2030</v>
      </c>
      <c r="Y101" s="140" t="s">
        <v>38</v>
      </c>
      <c r="Z101" s="140">
        <v>18</v>
      </c>
      <c r="AA101" s="140" t="s">
        <v>39</v>
      </c>
      <c r="AB101" s="142" t="s">
        <v>40</v>
      </c>
      <c r="AD101" s="137">
        <f t="shared" si="3"/>
        <v>7.8345494888909947E-2</v>
      </c>
    </row>
    <row r="102" spans="1:30">
      <c r="A102" s="138">
        <v>2809</v>
      </c>
      <c r="B102" s="139" t="str">
        <f t="shared" si="2"/>
        <v>Exist_KT_1MW_OIL_UID2809</v>
      </c>
      <c r="C102" s="140" t="s">
        <v>27</v>
      </c>
      <c r="D102" s="140" t="s">
        <v>53</v>
      </c>
      <c r="E102" s="140" t="s">
        <v>29</v>
      </c>
      <c r="F102" s="140" t="s">
        <v>174</v>
      </c>
      <c r="G102" s="140" t="s">
        <v>31</v>
      </c>
      <c r="H102" s="140" t="s">
        <v>180</v>
      </c>
      <c r="I102" s="140">
        <v>1</v>
      </c>
      <c r="J102" s="140">
        <v>1.78</v>
      </c>
      <c r="K102" s="140">
        <v>1</v>
      </c>
      <c r="L102" s="140">
        <v>0.85</v>
      </c>
      <c r="M102" s="140">
        <v>1.78</v>
      </c>
      <c r="N102" s="140" t="s">
        <v>33</v>
      </c>
      <c r="O102" s="140" t="s">
        <v>34</v>
      </c>
      <c r="P102" s="140" t="s">
        <v>35</v>
      </c>
      <c r="Q102" s="200" t="s">
        <v>198</v>
      </c>
      <c r="R102" s="140" t="s">
        <v>36</v>
      </c>
      <c r="S102" s="141">
        <v>2000</v>
      </c>
      <c r="T102" s="140" t="s">
        <v>37</v>
      </c>
      <c r="U102" s="140">
        <v>150</v>
      </c>
      <c r="V102" s="140">
        <v>0.31338197955563979</v>
      </c>
      <c r="W102" s="140">
        <v>30</v>
      </c>
      <c r="X102" s="140">
        <v>2030</v>
      </c>
      <c r="Y102" s="140" t="s">
        <v>38</v>
      </c>
      <c r="Z102" s="140">
        <v>18</v>
      </c>
      <c r="AA102" s="140" t="s">
        <v>39</v>
      </c>
      <c r="AB102" s="142" t="s">
        <v>40</v>
      </c>
      <c r="AD102" s="137">
        <f t="shared" si="3"/>
        <v>0.31338197955563979</v>
      </c>
    </row>
    <row r="103" spans="1:30">
      <c r="A103" s="138">
        <v>2810</v>
      </c>
      <c r="B103" s="139" t="str">
        <f t="shared" si="2"/>
        <v>Exist_KT_1MW_OIL_UID2810</v>
      </c>
      <c r="C103" s="140" t="s">
        <v>27</v>
      </c>
      <c r="D103" s="140" t="s">
        <v>53</v>
      </c>
      <c r="E103" s="140" t="s">
        <v>29</v>
      </c>
      <c r="F103" s="140" t="s">
        <v>174</v>
      </c>
      <c r="G103" s="140" t="s">
        <v>31</v>
      </c>
      <c r="H103" s="140" t="s">
        <v>181</v>
      </c>
      <c r="I103" s="140">
        <v>1</v>
      </c>
      <c r="J103" s="140">
        <v>1.78</v>
      </c>
      <c r="K103" s="140">
        <v>1</v>
      </c>
      <c r="L103" s="140">
        <v>0.85</v>
      </c>
      <c r="M103" s="140">
        <v>1.78</v>
      </c>
      <c r="N103" s="140" t="s">
        <v>33</v>
      </c>
      <c r="O103" s="140" t="s">
        <v>34</v>
      </c>
      <c r="P103" s="140" t="s">
        <v>35</v>
      </c>
      <c r="Q103" s="200" t="s">
        <v>198</v>
      </c>
      <c r="R103" s="140" t="s">
        <v>36</v>
      </c>
      <c r="S103" s="141">
        <v>2000</v>
      </c>
      <c r="T103" s="140" t="s">
        <v>37</v>
      </c>
      <c r="U103" s="140">
        <v>150</v>
      </c>
      <c r="V103" s="140">
        <v>0.31338197955563979</v>
      </c>
      <c r="W103" s="140">
        <v>30</v>
      </c>
      <c r="X103" s="140">
        <v>2030</v>
      </c>
      <c r="Y103" s="140" t="s">
        <v>38</v>
      </c>
      <c r="Z103" s="140">
        <v>18</v>
      </c>
      <c r="AA103" s="140" t="s">
        <v>39</v>
      </c>
      <c r="AB103" s="142" t="s">
        <v>40</v>
      </c>
      <c r="AD103" s="137">
        <f t="shared" si="3"/>
        <v>0.31338197955563979</v>
      </c>
    </row>
    <row r="104" spans="1:30">
      <c r="A104" s="138">
        <v>2814</v>
      </c>
      <c r="B104" s="139" t="str">
        <f t="shared" si="2"/>
        <v>Exist_KT_0.5MW_OIL_UID2814</v>
      </c>
      <c r="C104" s="140" t="s">
        <v>27</v>
      </c>
      <c r="D104" s="140" t="s">
        <v>53</v>
      </c>
      <c r="E104" s="140" t="s">
        <v>29</v>
      </c>
      <c r="F104" s="140" t="s">
        <v>182</v>
      </c>
      <c r="G104" s="140" t="s">
        <v>31</v>
      </c>
      <c r="H104" s="140" t="s">
        <v>183</v>
      </c>
      <c r="I104" s="140">
        <v>1</v>
      </c>
      <c r="J104" s="140">
        <v>0.66</v>
      </c>
      <c r="K104" s="140">
        <v>0.45</v>
      </c>
      <c r="L104" s="140">
        <v>0.85</v>
      </c>
      <c r="M104" s="140">
        <v>0.66</v>
      </c>
      <c r="N104" s="140" t="s">
        <v>33</v>
      </c>
      <c r="O104" s="140" t="s">
        <v>34</v>
      </c>
      <c r="P104" s="140" t="s">
        <v>35</v>
      </c>
      <c r="Q104" s="200" t="s">
        <v>198</v>
      </c>
      <c r="R104" s="140" t="s">
        <v>36</v>
      </c>
      <c r="S104" s="141">
        <v>1995</v>
      </c>
      <c r="T104" s="140" t="s">
        <v>37</v>
      </c>
      <c r="U104" s="140">
        <v>20</v>
      </c>
      <c r="V104" s="140">
        <v>0.31338197955563979</v>
      </c>
      <c r="W104" s="140">
        <v>30</v>
      </c>
      <c r="X104" s="140">
        <v>2025</v>
      </c>
      <c r="Y104" s="140" t="s">
        <v>38</v>
      </c>
      <c r="Z104" s="140">
        <v>23</v>
      </c>
      <c r="AA104" s="140" t="s">
        <v>39</v>
      </c>
      <c r="AB104" s="142" t="s">
        <v>40</v>
      </c>
      <c r="AD104" s="137">
        <f t="shared" si="3"/>
        <v>0.14102189080003791</v>
      </c>
    </row>
    <row r="105" spans="1:30">
      <c r="A105" s="138">
        <v>2815</v>
      </c>
      <c r="B105" s="139" t="str">
        <f t="shared" si="2"/>
        <v>Exist_KT_0.3MW_OIL_UID2815</v>
      </c>
      <c r="C105" s="140" t="s">
        <v>27</v>
      </c>
      <c r="D105" s="140" t="s">
        <v>53</v>
      </c>
      <c r="E105" s="140" t="s">
        <v>29</v>
      </c>
      <c r="F105" s="140" t="s">
        <v>182</v>
      </c>
      <c r="G105" s="140" t="s">
        <v>31</v>
      </c>
      <c r="H105" s="140" t="s">
        <v>184</v>
      </c>
      <c r="I105" s="140">
        <v>1</v>
      </c>
      <c r="J105" s="140">
        <v>0.5</v>
      </c>
      <c r="K105" s="140">
        <v>0.3</v>
      </c>
      <c r="L105" s="140">
        <v>0.85</v>
      </c>
      <c r="M105" s="140">
        <v>0.5</v>
      </c>
      <c r="N105" s="140" t="s">
        <v>33</v>
      </c>
      <c r="O105" s="140" t="s">
        <v>34</v>
      </c>
      <c r="P105" s="140" t="s">
        <v>35</v>
      </c>
      <c r="Q105" s="200" t="s">
        <v>198</v>
      </c>
      <c r="R105" s="140" t="s">
        <v>36</v>
      </c>
      <c r="S105" s="141">
        <v>1998</v>
      </c>
      <c r="T105" s="140" t="s">
        <v>37</v>
      </c>
      <c r="U105" s="140">
        <v>20</v>
      </c>
      <c r="V105" s="140">
        <v>0.31338197955563979</v>
      </c>
      <c r="W105" s="140">
        <v>30</v>
      </c>
      <c r="X105" s="140">
        <v>2028</v>
      </c>
      <c r="Y105" s="140" t="s">
        <v>38</v>
      </c>
      <c r="Z105" s="140">
        <v>20</v>
      </c>
      <c r="AA105" s="140" t="s">
        <v>39</v>
      </c>
      <c r="AB105" s="142" t="s">
        <v>40</v>
      </c>
      <c r="AD105" s="137">
        <f t="shared" si="3"/>
        <v>9.4014593866691934E-2</v>
      </c>
    </row>
    <row r="106" spans="1:30">
      <c r="A106" s="138">
        <v>3234</v>
      </c>
      <c r="B106" s="139" t="str">
        <f t="shared" si="2"/>
        <v>Exist_KT_7MW_COA_UID3234</v>
      </c>
      <c r="C106" s="140" t="s">
        <v>27</v>
      </c>
      <c r="D106" s="140" t="s">
        <v>53</v>
      </c>
      <c r="E106" s="140" t="s">
        <v>29</v>
      </c>
      <c r="F106" s="140" t="s">
        <v>185</v>
      </c>
      <c r="G106" s="140" t="s">
        <v>70</v>
      </c>
      <c r="H106" s="140" t="s">
        <v>186</v>
      </c>
      <c r="I106" s="140">
        <v>1</v>
      </c>
      <c r="J106" s="140">
        <v>7</v>
      </c>
      <c r="K106" s="140">
        <v>7</v>
      </c>
      <c r="L106" s="140">
        <v>0.85</v>
      </c>
      <c r="M106" s="140">
        <v>7</v>
      </c>
      <c r="N106" s="140" t="s">
        <v>33</v>
      </c>
      <c r="O106" s="140" t="s">
        <v>63</v>
      </c>
      <c r="P106" s="140" t="s">
        <v>64</v>
      </c>
      <c r="Q106" s="200" t="s">
        <v>196</v>
      </c>
      <c r="R106" s="140" t="s">
        <v>36</v>
      </c>
      <c r="S106" s="141">
        <v>2013</v>
      </c>
      <c r="T106" s="140" t="s">
        <v>155</v>
      </c>
      <c r="U106" s="140">
        <v>20</v>
      </c>
      <c r="V106" s="140">
        <v>0.3143266436049913</v>
      </c>
      <c r="W106" s="140">
        <v>99</v>
      </c>
      <c r="X106" s="140">
        <v>2112</v>
      </c>
      <c r="Y106" s="140" t="s">
        <v>38</v>
      </c>
      <c r="Z106" s="140">
        <v>5</v>
      </c>
      <c r="AA106" s="140" t="s">
        <v>39</v>
      </c>
      <c r="AB106" s="142" t="s">
        <v>65</v>
      </c>
      <c r="AD106" s="137">
        <f t="shared" si="3"/>
        <v>2.200286505234939</v>
      </c>
    </row>
    <row r="107" spans="1:30">
      <c r="A107" s="138">
        <v>3236</v>
      </c>
      <c r="B107" s="139" t="str">
        <f t="shared" si="2"/>
        <v>Exist_KT_2MW_OIL_UID3236</v>
      </c>
      <c r="C107" s="140" t="s">
        <v>27</v>
      </c>
      <c r="D107" s="140" t="s">
        <v>53</v>
      </c>
      <c r="E107" s="140" t="s">
        <v>29</v>
      </c>
      <c r="F107" s="140" t="s">
        <v>187</v>
      </c>
      <c r="G107" s="140" t="s">
        <v>31</v>
      </c>
      <c r="H107" s="140" t="s">
        <v>188</v>
      </c>
      <c r="I107" s="140">
        <v>1</v>
      </c>
      <c r="J107" s="140">
        <v>2</v>
      </c>
      <c r="K107" s="140">
        <v>2</v>
      </c>
      <c r="L107" s="140">
        <v>0.85</v>
      </c>
      <c r="M107" s="140">
        <v>2</v>
      </c>
      <c r="N107" s="140" t="s">
        <v>33</v>
      </c>
      <c r="O107" s="140" t="s">
        <v>34</v>
      </c>
      <c r="P107" s="140" t="s">
        <v>35</v>
      </c>
      <c r="Q107" s="200" t="s">
        <v>198</v>
      </c>
      <c r="R107" s="140" t="s">
        <v>36</v>
      </c>
      <c r="S107" s="141">
        <v>2010</v>
      </c>
      <c r="T107" s="140" t="s">
        <v>127</v>
      </c>
      <c r="U107" s="140">
        <v>20</v>
      </c>
      <c r="V107" s="140">
        <v>0.31338197955563979</v>
      </c>
      <c r="W107" s="140">
        <v>30</v>
      </c>
      <c r="X107" s="140">
        <v>2040</v>
      </c>
      <c r="Y107" s="140" t="s">
        <v>38</v>
      </c>
      <c r="Z107" s="140">
        <v>8</v>
      </c>
      <c r="AA107" s="140" t="s">
        <v>39</v>
      </c>
      <c r="AB107" s="142" t="s">
        <v>40</v>
      </c>
      <c r="AD107" s="137">
        <f t="shared" si="3"/>
        <v>0.62676395911127958</v>
      </c>
    </row>
    <row r="108" spans="1:30">
      <c r="A108" s="138">
        <v>3237</v>
      </c>
      <c r="B108" s="139" t="str">
        <f t="shared" si="2"/>
        <v>Exist_KT_6MW_OIL_UID3237</v>
      </c>
      <c r="C108" s="140" t="s">
        <v>27</v>
      </c>
      <c r="D108" s="140" t="s">
        <v>53</v>
      </c>
      <c r="E108" s="140" t="s">
        <v>29</v>
      </c>
      <c r="F108" s="140" t="s">
        <v>187</v>
      </c>
      <c r="G108" s="140" t="s">
        <v>31</v>
      </c>
      <c r="H108" s="140" t="s">
        <v>189</v>
      </c>
      <c r="I108" s="140">
        <v>1</v>
      </c>
      <c r="J108" s="140">
        <v>6</v>
      </c>
      <c r="K108" s="140">
        <v>6</v>
      </c>
      <c r="L108" s="140">
        <v>0.85</v>
      </c>
      <c r="M108" s="140">
        <v>6</v>
      </c>
      <c r="N108" s="140" t="s">
        <v>33</v>
      </c>
      <c r="O108" s="140" t="s">
        <v>34</v>
      </c>
      <c r="P108" s="140" t="s">
        <v>35</v>
      </c>
      <c r="Q108" s="200" t="s">
        <v>198</v>
      </c>
      <c r="R108" s="140" t="s">
        <v>36</v>
      </c>
      <c r="S108" s="141">
        <v>2011</v>
      </c>
      <c r="T108" s="140" t="s">
        <v>127</v>
      </c>
      <c r="U108" s="140">
        <v>20</v>
      </c>
      <c r="V108" s="140">
        <v>0.31338197955563979</v>
      </c>
      <c r="W108" s="140">
        <v>30</v>
      </c>
      <c r="X108" s="140">
        <v>2041</v>
      </c>
      <c r="Y108" s="140" t="s">
        <v>38</v>
      </c>
      <c r="Z108" s="140">
        <v>7</v>
      </c>
      <c r="AA108" s="140" t="s">
        <v>39</v>
      </c>
      <c r="AB108" s="142" t="s">
        <v>40</v>
      </c>
      <c r="AD108" s="137">
        <f t="shared" si="3"/>
        <v>1.8802918773338386</v>
      </c>
    </row>
    <row r="109" spans="1:30">
      <c r="A109" s="138">
        <v>3238</v>
      </c>
      <c r="B109" s="139" t="str">
        <f t="shared" si="2"/>
        <v>Exist_KT_2.5MW_OIL_UID3238</v>
      </c>
      <c r="C109" s="140" t="s">
        <v>27</v>
      </c>
      <c r="D109" s="140" t="s">
        <v>53</v>
      </c>
      <c r="E109" s="140" t="s">
        <v>29</v>
      </c>
      <c r="F109" s="140" t="s">
        <v>187</v>
      </c>
      <c r="G109" s="140" t="s">
        <v>31</v>
      </c>
      <c r="H109" s="140" t="s">
        <v>190</v>
      </c>
      <c r="I109" s="140">
        <v>1</v>
      </c>
      <c r="J109" s="140">
        <v>2.5</v>
      </c>
      <c r="K109" s="140">
        <v>2.5</v>
      </c>
      <c r="L109" s="140">
        <v>0.85</v>
      </c>
      <c r="M109" s="140">
        <v>2.5</v>
      </c>
      <c r="N109" s="140" t="s">
        <v>33</v>
      </c>
      <c r="O109" s="140" t="s">
        <v>34</v>
      </c>
      <c r="P109" s="140" t="s">
        <v>35</v>
      </c>
      <c r="Q109" s="200" t="s">
        <v>198</v>
      </c>
      <c r="R109" s="140" t="s">
        <v>36</v>
      </c>
      <c r="S109" s="141">
        <v>2011</v>
      </c>
      <c r="T109" s="140" t="s">
        <v>127</v>
      </c>
      <c r="U109" s="140">
        <v>20</v>
      </c>
      <c r="V109" s="140">
        <v>0.31338197955563979</v>
      </c>
      <c r="W109" s="140">
        <v>30</v>
      </c>
      <c r="X109" s="140">
        <v>2041</v>
      </c>
      <c r="Y109" s="140" t="s">
        <v>38</v>
      </c>
      <c r="Z109" s="140">
        <v>7</v>
      </c>
      <c r="AA109" s="140" t="s">
        <v>39</v>
      </c>
      <c r="AB109" s="142" t="s">
        <v>40</v>
      </c>
      <c r="AD109" s="137">
        <f t="shared" si="3"/>
        <v>0.7834549488890995</v>
      </c>
    </row>
    <row r="110" spans="1:30">
      <c r="A110" s="138">
        <v>3240</v>
      </c>
      <c r="B110" s="139" t="str">
        <f t="shared" si="2"/>
        <v>Exist_KS_3MW_OIL_UID3240</v>
      </c>
      <c r="C110" s="140" t="s">
        <v>27</v>
      </c>
      <c r="D110" s="140" t="s">
        <v>28</v>
      </c>
      <c r="E110" s="140" t="s">
        <v>29</v>
      </c>
      <c r="F110" s="140" t="s">
        <v>182</v>
      </c>
      <c r="G110" s="140" t="s">
        <v>31</v>
      </c>
      <c r="H110" s="140" t="s">
        <v>191</v>
      </c>
      <c r="I110" s="140">
        <v>1</v>
      </c>
      <c r="J110" s="140">
        <v>3</v>
      </c>
      <c r="K110" s="140">
        <v>3</v>
      </c>
      <c r="L110" s="140">
        <v>0.85</v>
      </c>
      <c r="M110" s="140">
        <v>3</v>
      </c>
      <c r="N110" s="140" t="s">
        <v>33</v>
      </c>
      <c r="O110" s="140" t="s">
        <v>34</v>
      </c>
      <c r="P110" s="140" t="s">
        <v>35</v>
      </c>
      <c r="Q110" s="200" t="s">
        <v>198</v>
      </c>
      <c r="R110" s="140" t="s">
        <v>36</v>
      </c>
      <c r="S110" s="141">
        <v>2018</v>
      </c>
      <c r="T110" s="140" t="s">
        <v>127</v>
      </c>
      <c r="U110" s="140">
        <v>20</v>
      </c>
      <c r="V110" s="140">
        <v>0.31338197955563979</v>
      </c>
      <c r="W110" s="140">
        <v>30</v>
      </c>
      <c r="X110" s="140">
        <v>2048</v>
      </c>
      <c r="Y110" s="140" t="s">
        <v>38</v>
      </c>
      <c r="Z110" s="140">
        <v>0</v>
      </c>
      <c r="AA110" s="140" t="s">
        <v>39</v>
      </c>
      <c r="AB110" s="142" t="s">
        <v>40</v>
      </c>
      <c r="AD110" s="137">
        <f t="shared" si="3"/>
        <v>0.94014593866691931</v>
      </c>
    </row>
    <row r="111" spans="1:30">
      <c r="B111" s="137" t="str">
        <f>Con_ELC!B121</f>
        <v>Exist_KI_19MW_ELCTESOL00</v>
      </c>
      <c r="D111" s="205" t="s">
        <v>85</v>
      </c>
      <c r="G111" s="205" t="s">
        <v>432</v>
      </c>
      <c r="I111" s="137">
        <v>1</v>
      </c>
      <c r="J111" s="137">
        <v>19</v>
      </c>
      <c r="K111" s="137">
        <f>J111</f>
        <v>19</v>
      </c>
      <c r="P111" s="205" t="s">
        <v>387</v>
      </c>
      <c r="Q111" s="205" t="s">
        <v>303</v>
      </c>
      <c r="S111" s="137">
        <v>2019</v>
      </c>
    </row>
    <row r="112" spans="1:30">
      <c r="B112" s="137" t="str">
        <f>Con_ELC!B122</f>
        <v>Exist_KI_30MW_ELCTEHYD00</v>
      </c>
      <c r="D112" s="205" t="s">
        <v>85</v>
      </c>
      <c r="G112" s="205" t="s">
        <v>454</v>
      </c>
      <c r="I112" s="137">
        <v>1</v>
      </c>
      <c r="J112" s="137">
        <v>30</v>
      </c>
      <c r="K112" s="137">
        <f>J112</f>
        <v>30</v>
      </c>
      <c r="P112" s="205" t="s">
        <v>389</v>
      </c>
      <c r="Q112" s="205" t="s">
        <v>306</v>
      </c>
      <c r="S112" s="137">
        <v>2020</v>
      </c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  <row r="142" spans="2:4">
      <c r="B142"/>
      <c r="C142"/>
      <c r="D142"/>
    </row>
    <row r="143" spans="2:4">
      <c r="B143"/>
      <c r="C143"/>
    </row>
    <row r="144" spans="2:4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B1:AG147"/>
  <sheetViews>
    <sheetView topLeftCell="A116" zoomScale="101" zoomScaleNormal="60" workbookViewId="0">
      <selection activeCell="AB121" sqref="AB121"/>
    </sheetView>
  </sheetViews>
  <sheetFormatPr baseColWidth="10" defaultColWidth="8.83203125" defaultRowHeight="13"/>
  <cols>
    <col min="1" max="1" width="3" style="28" customWidth="1"/>
    <col min="2" max="2" width="29.1640625" style="28" bestFit="1" customWidth="1"/>
    <col min="3" max="3" width="12.1640625" style="28" bestFit="1" customWidth="1"/>
    <col min="4" max="4" width="11.33203125" style="28" bestFit="1" customWidth="1"/>
    <col min="5" max="5" width="10.6640625" style="28" bestFit="1" customWidth="1"/>
    <col min="6" max="6" width="11.1640625" style="28" bestFit="1" customWidth="1"/>
    <col min="7" max="7" width="9" style="28" bestFit="1" customWidth="1"/>
    <col min="8" max="8" width="8.6640625" style="28" bestFit="1" customWidth="1"/>
    <col min="9" max="9" width="8" style="28" bestFit="1" customWidth="1"/>
    <col min="10" max="10" width="5.6640625" style="28" bestFit="1" customWidth="1"/>
    <col min="11" max="11" width="9.33203125" style="28" customWidth="1"/>
    <col min="12" max="12" width="9.6640625" style="28" bestFit="1" customWidth="1"/>
    <col min="13" max="13" width="14.83203125" style="28" customWidth="1"/>
    <col min="14" max="21" width="11.1640625" style="28" bestFit="1" customWidth="1"/>
    <col min="22" max="23" width="11.1640625" style="28" customWidth="1"/>
    <col min="24" max="24" width="5.33203125" style="28" customWidth="1"/>
    <col min="25" max="25" width="11.5" bestFit="1" customWidth="1"/>
    <col min="26" max="26" width="6.83203125" bestFit="1" customWidth="1"/>
    <col min="27" max="27" width="28.5" bestFit="1" customWidth="1"/>
    <col min="28" max="28" width="32.83203125" customWidth="1"/>
    <col min="29" max="29" width="7.6640625" bestFit="1" customWidth="1"/>
    <col min="30" max="30" width="8.83203125" bestFit="1" customWidth="1"/>
    <col min="31" max="31" width="13" customWidth="1"/>
    <col min="32" max="32" width="13.6640625" customWidth="1"/>
    <col min="33" max="33" width="7.33203125" bestFit="1" customWidth="1"/>
    <col min="34" max="16384" width="8.83203125" style="28"/>
  </cols>
  <sheetData>
    <row r="1" spans="2:33" ht="32">
      <c r="B1" s="25" t="s">
        <v>309</v>
      </c>
      <c r="C1" s="9" t="s">
        <v>311</v>
      </c>
      <c r="D1" s="9" t="s">
        <v>398</v>
      </c>
      <c r="E1" s="25" t="s">
        <v>355</v>
      </c>
      <c r="F1" s="25" t="s">
        <v>399</v>
      </c>
      <c r="G1" s="25" t="s">
        <v>313</v>
      </c>
      <c r="I1" s="25" t="s">
        <v>384</v>
      </c>
      <c r="J1" s="34"/>
    </row>
    <row r="2" spans="2:33" ht="34">
      <c r="B2" s="12" t="str">
        <f>EnergyBalance!B11</f>
        <v>ELC</v>
      </c>
      <c r="C2" s="20" t="str">
        <f>EnergyBalance!C11</f>
        <v>Electricity Plants</v>
      </c>
      <c r="D2" s="20" t="s">
        <v>400</v>
      </c>
      <c r="E2" s="12" t="str">
        <f>EnergyBalance!R2</f>
        <v>PJ</v>
      </c>
      <c r="F2" s="12" t="s">
        <v>371</v>
      </c>
      <c r="G2" s="12" t="s">
        <v>434</v>
      </c>
      <c r="I2" s="12" t="s">
        <v>386</v>
      </c>
      <c r="J2" s="10"/>
      <c r="K2" s="183" t="s">
        <v>196</v>
      </c>
      <c r="L2" s="28">
        <v>14.26</v>
      </c>
      <c r="M2" s="183" t="s">
        <v>426</v>
      </c>
      <c r="Y2" s="125" t="s">
        <v>315</v>
      </c>
      <c r="Z2" s="125"/>
      <c r="AA2" s="156"/>
      <c r="AB2" s="156"/>
      <c r="AC2" s="156"/>
      <c r="AD2" s="156"/>
      <c r="AE2" s="156"/>
      <c r="AF2" s="156"/>
      <c r="AG2" s="156"/>
    </row>
    <row r="3" spans="2:33">
      <c r="K3" s="183" t="s">
        <v>197</v>
      </c>
      <c r="L3" s="28">
        <v>5.73</v>
      </c>
      <c r="M3" s="183" t="s">
        <v>426</v>
      </c>
      <c r="Y3" s="126" t="s">
        <v>316</v>
      </c>
      <c r="Z3" s="127" t="s">
        <v>317</v>
      </c>
      <c r="AA3" s="126" t="s">
        <v>318</v>
      </c>
      <c r="AB3" s="126" t="s">
        <v>319</v>
      </c>
      <c r="AC3" s="126" t="s">
        <v>320</v>
      </c>
      <c r="AD3" s="126" t="s">
        <v>321</v>
      </c>
      <c r="AE3" s="126" t="s">
        <v>322</v>
      </c>
      <c r="AF3" s="126" t="s">
        <v>323</v>
      </c>
      <c r="AG3" s="126" t="s">
        <v>324</v>
      </c>
    </row>
    <row r="4" spans="2:33" ht="26" thickBot="1">
      <c r="B4" s="31" t="s">
        <v>401</v>
      </c>
      <c r="C4" s="9" t="s">
        <v>402</v>
      </c>
      <c r="D4" s="9" t="s">
        <v>403</v>
      </c>
      <c r="E4" s="9" t="s">
        <v>404</v>
      </c>
      <c r="F4" s="9" t="s">
        <v>405</v>
      </c>
      <c r="H4" s="10"/>
      <c r="K4" s="183" t="s">
        <v>198</v>
      </c>
      <c r="L4" s="28">
        <f>L2</f>
        <v>14.26</v>
      </c>
      <c r="M4" s="183" t="s">
        <v>426</v>
      </c>
      <c r="Y4" s="128" t="s">
        <v>325</v>
      </c>
      <c r="Z4" s="128" t="s">
        <v>326</v>
      </c>
      <c r="AA4" s="128" t="s">
        <v>327</v>
      </c>
      <c r="AB4" s="128" t="s">
        <v>328</v>
      </c>
      <c r="AC4" s="128" t="s">
        <v>320</v>
      </c>
      <c r="AD4" s="128" t="s">
        <v>329</v>
      </c>
      <c r="AE4" s="128" t="s">
        <v>330</v>
      </c>
      <c r="AF4" s="128" t="s">
        <v>331</v>
      </c>
      <c r="AG4" s="128" t="s">
        <v>332</v>
      </c>
    </row>
    <row r="5" spans="2:33" ht="16">
      <c r="B5" s="30" t="s">
        <v>406</v>
      </c>
      <c r="C5" s="12" t="s">
        <v>407</v>
      </c>
      <c r="D5" s="12" t="s">
        <v>408</v>
      </c>
      <c r="E5" s="12" t="s">
        <v>409</v>
      </c>
      <c r="F5" s="12" t="s">
        <v>410</v>
      </c>
      <c r="H5" s="10"/>
      <c r="Y5" s="156" t="s">
        <v>333</v>
      </c>
      <c r="Z5" s="129"/>
      <c r="AA5" s="156" t="str">
        <f>EnergyBalance!$K$2</f>
        <v>ELC</v>
      </c>
      <c r="AB5" s="156" t="str">
        <f>EnergyBalance!$K$3</f>
        <v>Electricity</v>
      </c>
      <c r="AC5" s="156" t="str">
        <f>$E$2</f>
        <v>PJ</v>
      </c>
      <c r="AD5" s="156"/>
      <c r="AE5" s="156" t="s">
        <v>411</v>
      </c>
      <c r="AF5" s="156"/>
      <c r="AG5" s="156" t="s">
        <v>203</v>
      </c>
    </row>
    <row r="6" spans="2:33">
      <c r="K6" s="183" t="s">
        <v>308</v>
      </c>
      <c r="L6" s="28">
        <f>3.6*10^-6</f>
        <v>3.5999999999999998E-6</v>
      </c>
      <c r="M6" s="183" t="s">
        <v>204</v>
      </c>
      <c r="Y6" s="129" t="s">
        <v>412</v>
      </c>
      <c r="Z6" s="129"/>
      <c r="AA6" s="129" t="str">
        <f>$B$2&amp;EnergyBalance!$C$52</f>
        <v>ELCCO2</v>
      </c>
      <c r="AB6" s="129" t="str">
        <f>$C$2&amp;" "&amp;EnergyBalance!$C$53</f>
        <v>Electricity Plants Carbon dioxide</v>
      </c>
      <c r="AC6" s="129" t="str">
        <f>EnergyBalance!$S$2</f>
        <v>kt</v>
      </c>
      <c r="AD6" s="129"/>
      <c r="AE6" s="129"/>
      <c r="AF6" s="129"/>
      <c r="AG6" s="129"/>
    </row>
    <row r="7" spans="2:33">
      <c r="Y7" s="2"/>
      <c r="Z7" s="2"/>
    </row>
    <row r="8" spans="2:33">
      <c r="D8" s="5" t="s">
        <v>334</v>
      </c>
      <c r="E8" s="5"/>
      <c r="F8" s="5"/>
      <c r="G8" s="5"/>
      <c r="I8" s="5"/>
      <c r="J8" s="6"/>
      <c r="K8" s="6"/>
      <c r="L8" s="4"/>
      <c r="Y8" s="125" t="s">
        <v>335</v>
      </c>
      <c r="Z8" s="156"/>
      <c r="AA8" s="156"/>
      <c r="AB8" s="156"/>
      <c r="AC8" s="156"/>
      <c r="AD8" s="156"/>
      <c r="AE8" s="156"/>
      <c r="AF8" s="156"/>
      <c r="AG8" s="28"/>
    </row>
    <row r="9" spans="2:33" ht="12.75" customHeight="1">
      <c r="B9" s="17" t="s">
        <v>336</v>
      </c>
      <c r="C9" s="17" t="s">
        <v>337</v>
      </c>
      <c r="D9" s="17" t="s">
        <v>338</v>
      </c>
      <c r="E9" s="103" t="s">
        <v>293</v>
      </c>
      <c r="F9" s="103" t="s">
        <v>413</v>
      </c>
      <c r="G9" s="103" t="s">
        <v>292</v>
      </c>
      <c r="H9" s="103" t="s">
        <v>414</v>
      </c>
      <c r="I9" s="103" t="s">
        <v>415</v>
      </c>
      <c r="J9" s="103" t="s">
        <v>394</v>
      </c>
      <c r="K9" s="103" t="s">
        <v>416</v>
      </c>
      <c r="L9" s="103" t="s">
        <v>417</v>
      </c>
      <c r="M9" s="103" t="s">
        <v>449</v>
      </c>
      <c r="N9" s="103" t="s">
        <v>369</v>
      </c>
      <c r="O9" s="197"/>
      <c r="P9" s="197"/>
      <c r="Q9" s="197"/>
      <c r="R9" s="197"/>
      <c r="S9" s="197"/>
      <c r="T9" s="197"/>
      <c r="U9" s="197"/>
      <c r="V9" s="197"/>
      <c r="W9" s="197"/>
      <c r="Y9" s="126" t="s">
        <v>341</v>
      </c>
      <c r="Z9" s="127" t="s">
        <v>317</v>
      </c>
      <c r="AA9" s="126" t="s">
        <v>336</v>
      </c>
      <c r="AB9" s="126" t="s">
        <v>342</v>
      </c>
      <c r="AC9" s="126" t="s">
        <v>343</v>
      </c>
      <c r="AD9" s="126" t="s">
        <v>344</v>
      </c>
      <c r="AE9" s="126" t="s">
        <v>345</v>
      </c>
      <c r="AF9" s="126" t="s">
        <v>346</v>
      </c>
      <c r="AG9" s="126" t="s">
        <v>347</v>
      </c>
    </row>
    <row r="10" spans="2:33" ht="25" thickBot="1">
      <c r="B10" s="15" t="s">
        <v>348</v>
      </c>
      <c r="C10" s="15" t="s">
        <v>349</v>
      </c>
      <c r="D10" s="15" t="s">
        <v>350</v>
      </c>
      <c r="E10" s="15" t="s">
        <v>20</v>
      </c>
      <c r="F10" s="123" t="s">
        <v>418</v>
      </c>
      <c r="G10" s="15" t="s">
        <v>419</v>
      </c>
      <c r="H10" s="15" t="s">
        <v>420</v>
      </c>
      <c r="I10" s="15" t="s">
        <v>421</v>
      </c>
      <c r="J10" s="104" t="s">
        <v>21</v>
      </c>
      <c r="K10" s="15" t="s">
        <v>422</v>
      </c>
      <c r="L10" s="15" t="s">
        <v>423</v>
      </c>
      <c r="M10" s="15" t="s">
        <v>427</v>
      </c>
      <c r="N10" s="15"/>
      <c r="O10" s="198"/>
      <c r="P10" s="198"/>
      <c r="Q10" s="198"/>
      <c r="R10" s="198"/>
      <c r="S10" s="198"/>
      <c r="T10" s="198"/>
      <c r="U10" s="198"/>
      <c r="V10" s="198"/>
      <c r="W10" s="198"/>
      <c r="Y10" s="128" t="s">
        <v>352</v>
      </c>
      <c r="Z10" s="128" t="s">
        <v>326</v>
      </c>
      <c r="AA10" s="128" t="s">
        <v>353</v>
      </c>
      <c r="AB10" s="128" t="s">
        <v>354</v>
      </c>
      <c r="AC10" s="128" t="s">
        <v>355</v>
      </c>
      <c r="AD10" s="128" t="s">
        <v>356</v>
      </c>
      <c r="AE10" s="128" t="s">
        <v>357</v>
      </c>
      <c r="AF10" s="128" t="s">
        <v>358</v>
      </c>
      <c r="AG10" s="128" t="s">
        <v>359</v>
      </c>
    </row>
    <row r="11" spans="2:33" ht="14" thickBot="1">
      <c r="B11" s="14" t="s">
        <v>360</v>
      </c>
      <c r="C11" s="14"/>
      <c r="D11" s="14"/>
      <c r="E11" s="13"/>
      <c r="F11" s="105"/>
      <c r="G11" s="13" t="str">
        <f>$G$2&amp;"/"&amp;$F$2</f>
        <v>M$2020/GW</v>
      </c>
      <c r="H11" s="13" t="str">
        <f>$G$2&amp;"/"&amp;F2</f>
        <v>M$2020/GW</v>
      </c>
      <c r="I11" s="13" t="str">
        <f>$G$2&amp;"/"&amp;$E$2</f>
        <v>M$2020/PJ</v>
      </c>
      <c r="J11" s="13" t="s">
        <v>396</v>
      </c>
      <c r="K11" s="13" t="str">
        <f>$E$2&amp;"/"&amp;$F$2</f>
        <v>PJ/GW</v>
      </c>
      <c r="L11" s="13"/>
      <c r="M11" s="13" t="str">
        <f>$F$2</f>
        <v>GW</v>
      </c>
      <c r="N11" s="13" t="s">
        <v>368</v>
      </c>
      <c r="O11" s="199"/>
      <c r="P11" s="199"/>
      <c r="Q11" s="199"/>
      <c r="R11" s="199"/>
      <c r="S11" s="199"/>
      <c r="T11" s="199"/>
      <c r="U11" s="199"/>
      <c r="V11" s="199"/>
      <c r="W11" s="199"/>
      <c r="Y11" s="128" t="s">
        <v>361</v>
      </c>
      <c r="Z11" s="128"/>
      <c r="AA11" s="128"/>
      <c r="AB11" s="128"/>
      <c r="AC11" s="128"/>
      <c r="AD11" s="128"/>
      <c r="AE11" s="128"/>
      <c r="AF11" s="128"/>
      <c r="AG11" s="128"/>
    </row>
    <row r="12" spans="2:33" ht="14">
      <c r="B12" s="28" t="str">
        <f>'Kalimantan Only'!B2</f>
        <v>Exist_KS_8MW_OIL_UID2311</v>
      </c>
      <c r="C12" s="28" t="str">
        <f>"ELC"&amp;'Kalimantan Only'!Q2</f>
        <v>ELCOIL</v>
      </c>
      <c r="D12" s="28" t="str">
        <f>$AA$5</f>
        <v>ELC</v>
      </c>
      <c r="E12" s="100">
        <f>'Kalimantan Only'!V2</f>
        <v>0.31338197955563979</v>
      </c>
      <c r="F12" s="100">
        <f>VLOOKUP(Con_ELC!$C12,Parsing!$C$20:$J$24,4,FALSE)</f>
        <v>0.5</v>
      </c>
      <c r="G12" s="99"/>
      <c r="H12" s="100">
        <f>VLOOKUP(Con_ELC!$C12,Parsing!$C$20:$J$24,6,FALSE)</f>
        <v>8</v>
      </c>
      <c r="I12" s="100">
        <f>VLOOKUP(Con_ELC!$C12,Parsing!$C$20:$J$24,7,FALSE)</f>
        <v>1.7777777777777779</v>
      </c>
      <c r="J12" s="100">
        <f>VLOOKUP(Con_ELC!$C12,Parsing!$C$20:$J$24,8,FALSE)</f>
        <v>10</v>
      </c>
      <c r="K12" s="124">
        <v>31.536000000000001</v>
      </c>
      <c r="L12" s="100">
        <v>1</v>
      </c>
      <c r="M12" s="202">
        <f>'Kalimantan Only'!K2/1000</f>
        <v>8.0000000000000002E-3</v>
      </c>
      <c r="N12" s="8">
        <f>'Kalimantan Only'!S2</f>
        <v>1993</v>
      </c>
      <c r="O12" s="196"/>
      <c r="P12" s="196"/>
      <c r="Q12" s="196"/>
      <c r="R12" s="196"/>
      <c r="S12" s="196"/>
      <c r="T12" s="196"/>
      <c r="U12" s="196"/>
      <c r="V12" s="196"/>
      <c r="W12" s="196"/>
      <c r="Y12" s="129" t="s">
        <v>424</v>
      </c>
      <c r="AA12" s="129" t="str">
        <f>B12</f>
        <v>Exist_KS_8MW_OIL_UID2311</v>
      </c>
      <c r="AB12" s="131" t="str">
        <f>'Kalimantan Only'!B2</f>
        <v>Exist_KS_8MW_OIL_UID2311</v>
      </c>
      <c r="AC12" s="129" t="str">
        <f>$E$2</f>
        <v>PJ</v>
      </c>
      <c r="AD12" s="129" t="str">
        <f>$F$2</f>
        <v>GW</v>
      </c>
      <c r="AE12" s="156" t="s">
        <v>425</v>
      </c>
      <c r="AF12" s="129"/>
      <c r="AG12" s="129"/>
    </row>
    <row r="13" spans="2:33" ht="14">
      <c r="B13" s="28" t="str">
        <f>'Kalimantan Only'!B3</f>
        <v>Exist_KS_8MW_OIL_UID2312</v>
      </c>
      <c r="C13" s="28" t="str">
        <f>"ELC"&amp;'Kalimantan Only'!Q3</f>
        <v>ELCOIL</v>
      </c>
      <c r="D13" s="28" t="str">
        <f t="shared" ref="D13:D76" si="0">$AA$5</f>
        <v>ELC</v>
      </c>
      <c r="E13" s="100">
        <f>'Kalimantan Only'!V3</f>
        <v>0.31338197955563979</v>
      </c>
      <c r="F13" s="100">
        <f>VLOOKUP(Con_ELC!$C13,Parsing!$C$20:$J$24,4,FALSE)</f>
        <v>0.5</v>
      </c>
      <c r="G13" s="99"/>
      <c r="H13" s="100">
        <f>VLOOKUP(Con_ELC!$C13,Parsing!$C$20:$J$24,6,FALSE)</f>
        <v>8</v>
      </c>
      <c r="I13" s="100">
        <f>VLOOKUP(Con_ELC!$C13,Parsing!$C$20:$J$24,7,FALSE)</f>
        <v>1.7777777777777779</v>
      </c>
      <c r="J13" s="100">
        <f>VLOOKUP(Con_ELC!$C13,Parsing!$C$20:$J$24,8,FALSE)</f>
        <v>10</v>
      </c>
      <c r="K13" s="124">
        <v>31.536000000000001</v>
      </c>
      <c r="L13" s="100">
        <v>1</v>
      </c>
      <c r="M13" s="202">
        <f>'Kalimantan Only'!K3/1000</f>
        <v>8.0000000000000002E-3</v>
      </c>
      <c r="N13" s="8">
        <f>'Kalimantan Only'!S3</f>
        <v>1993</v>
      </c>
      <c r="O13" s="196"/>
      <c r="P13" s="196"/>
      <c r="Q13" s="196"/>
      <c r="R13" s="196"/>
      <c r="S13" s="196"/>
      <c r="T13" s="196"/>
      <c r="U13" s="196"/>
      <c r="V13" s="196"/>
      <c r="W13" s="196"/>
      <c r="Y13" s="129"/>
      <c r="AA13" s="129" t="str">
        <f t="shared" ref="AA13:AA72" si="1">B13</f>
        <v>Exist_KS_8MW_OIL_UID2312</v>
      </c>
      <c r="AB13" s="131" t="str">
        <f>'Kalimantan Only'!B3</f>
        <v>Exist_KS_8MW_OIL_UID2312</v>
      </c>
      <c r="AC13" s="129" t="str">
        <f t="shared" ref="AC13:AC76" si="2">$E$2</f>
        <v>PJ</v>
      </c>
      <c r="AD13" s="129" t="str">
        <f t="shared" ref="AD13:AD76" si="3">$F$2</f>
        <v>GW</v>
      </c>
      <c r="AE13" s="129"/>
      <c r="AF13" s="129"/>
      <c r="AG13" s="129"/>
    </row>
    <row r="14" spans="2:33" ht="14">
      <c r="B14" s="28" t="str">
        <f>'Kalimantan Only'!B4</f>
        <v>Exist_KS_16.5MW_GAS_UID2313</v>
      </c>
      <c r="C14" s="28" t="str">
        <f>"ELC"&amp;'Kalimantan Only'!Q4</f>
        <v>ELCGAS</v>
      </c>
      <c r="D14" s="28" t="str">
        <f t="shared" si="0"/>
        <v>ELC</v>
      </c>
      <c r="E14" s="100">
        <f>'Kalimantan Only'!V4</f>
        <v>0.24619874367125399</v>
      </c>
      <c r="F14" s="100">
        <f>VLOOKUP(Con_ELC!$C14,Parsing!$C$20:$J$24,4,FALSE)</f>
        <v>0.85000000000000009</v>
      </c>
      <c r="G14" s="99"/>
      <c r="H14" s="100">
        <f>VLOOKUP(Con_ELC!$C14,Parsing!$C$20:$J$24,6,FALSE)</f>
        <v>23.2</v>
      </c>
      <c r="I14" s="100">
        <f>VLOOKUP(Con_ELC!$C14,Parsing!$C$20:$J$24,7,FALSE)</f>
        <v>0</v>
      </c>
      <c r="J14" s="100">
        <f>VLOOKUP(Con_ELC!$C14,Parsing!$C$20:$J$24,8,FALSE)</f>
        <v>20</v>
      </c>
      <c r="K14" s="124">
        <v>31.536000000000001</v>
      </c>
      <c r="L14" s="100">
        <v>1</v>
      </c>
      <c r="M14" s="202">
        <f>'Kalimantan Only'!K4/1000</f>
        <v>1.6500000000000001E-2</v>
      </c>
      <c r="N14" s="8">
        <f>'Kalimantan Only'!S4</f>
        <v>1985</v>
      </c>
      <c r="O14" s="196"/>
      <c r="P14" s="196"/>
      <c r="Q14" s="196"/>
      <c r="R14" s="196"/>
      <c r="S14" s="196"/>
      <c r="T14" s="196"/>
      <c r="U14" s="196"/>
      <c r="V14" s="196"/>
      <c r="W14" s="196"/>
      <c r="X14" s="33"/>
      <c r="Y14" s="129"/>
      <c r="AA14" s="129" t="str">
        <f t="shared" si="1"/>
        <v>Exist_KS_16.5MW_GAS_UID2313</v>
      </c>
      <c r="AB14" s="131" t="str">
        <f>'Kalimantan Only'!B4</f>
        <v>Exist_KS_16.5MW_GAS_UID2313</v>
      </c>
      <c r="AC14" s="129" t="str">
        <f t="shared" si="2"/>
        <v>PJ</v>
      </c>
      <c r="AD14" s="129" t="str">
        <f t="shared" si="3"/>
        <v>GW</v>
      </c>
      <c r="AE14" s="129"/>
      <c r="AF14" s="129"/>
      <c r="AG14" s="28"/>
    </row>
    <row r="15" spans="2:33" ht="14">
      <c r="B15" s="28" t="str">
        <f>'Kalimantan Only'!B5</f>
        <v>Exist_KS_2.2MW_OIL_UID2320</v>
      </c>
      <c r="C15" s="28" t="str">
        <f>"ELC"&amp;'Kalimantan Only'!Q5</f>
        <v>ELCOIL</v>
      </c>
      <c r="D15" s="28" t="str">
        <f t="shared" si="0"/>
        <v>ELC</v>
      </c>
      <c r="E15" s="100">
        <f>'Kalimantan Only'!V5</f>
        <v>0.31338197955563979</v>
      </c>
      <c r="F15" s="100">
        <f>VLOOKUP(Con_ELC!$C15,Parsing!$C$20:$J$24,4,FALSE)</f>
        <v>0.5</v>
      </c>
      <c r="G15" s="99"/>
      <c r="H15" s="100">
        <f>VLOOKUP(Con_ELC!$C15,Parsing!$C$20:$J$24,6,FALSE)</f>
        <v>8</v>
      </c>
      <c r="I15" s="100">
        <f>VLOOKUP(Con_ELC!$C15,Parsing!$C$20:$J$24,7,FALSE)</f>
        <v>1.7777777777777779</v>
      </c>
      <c r="J15" s="100">
        <f>VLOOKUP(Con_ELC!$C15,Parsing!$C$20:$J$24,8,FALSE)</f>
        <v>10</v>
      </c>
      <c r="K15" s="124">
        <v>31.536000000000001</v>
      </c>
      <c r="L15" s="100">
        <v>1</v>
      </c>
      <c r="M15" s="202">
        <f>'Kalimantan Only'!K5/1000</f>
        <v>2.2000000000000001E-3</v>
      </c>
      <c r="N15" s="8">
        <f>'Kalimantan Only'!S5</f>
        <v>1996</v>
      </c>
      <c r="O15" s="196"/>
      <c r="P15" s="196"/>
      <c r="Q15" s="196"/>
      <c r="R15" s="196"/>
      <c r="S15" s="196"/>
      <c r="T15" s="196"/>
      <c r="U15" s="196"/>
      <c r="V15" s="196"/>
      <c r="W15" s="196"/>
      <c r="X15" s="33"/>
      <c r="Y15" s="129"/>
      <c r="Z15" s="129"/>
      <c r="AA15" s="129" t="str">
        <f t="shared" si="1"/>
        <v>Exist_KS_2.2MW_OIL_UID2320</v>
      </c>
      <c r="AB15" s="131" t="str">
        <f>'Kalimantan Only'!B5</f>
        <v>Exist_KS_2.2MW_OIL_UID2320</v>
      </c>
      <c r="AC15" s="129" t="str">
        <f t="shared" si="2"/>
        <v>PJ</v>
      </c>
      <c r="AD15" s="129" t="str">
        <f t="shared" si="3"/>
        <v>GW</v>
      </c>
      <c r="AF15" s="129"/>
      <c r="AG15" s="129"/>
    </row>
    <row r="16" spans="2:33" ht="14">
      <c r="B16" s="28" t="str">
        <f>'Kalimantan Only'!B6</f>
        <v>Exist_KS_2.2MW_OIL_UID2321</v>
      </c>
      <c r="C16" s="28" t="str">
        <f>"ELC"&amp;'Kalimantan Only'!Q6</f>
        <v>ELCOIL</v>
      </c>
      <c r="D16" s="28" t="str">
        <f t="shared" si="0"/>
        <v>ELC</v>
      </c>
      <c r="E16" s="100">
        <f>'Kalimantan Only'!V6</f>
        <v>0.31338197955563979</v>
      </c>
      <c r="F16" s="100">
        <f>VLOOKUP(Con_ELC!$C16,Parsing!$C$20:$J$24,4,FALSE)</f>
        <v>0.5</v>
      </c>
      <c r="G16" s="99"/>
      <c r="H16" s="100">
        <f>VLOOKUP(Con_ELC!$C16,Parsing!$C$20:$J$24,6,FALSE)</f>
        <v>8</v>
      </c>
      <c r="I16" s="100">
        <f>VLOOKUP(Con_ELC!$C16,Parsing!$C$20:$J$24,7,FALSE)</f>
        <v>1.7777777777777779</v>
      </c>
      <c r="J16" s="100">
        <f>VLOOKUP(Con_ELC!$C16,Parsing!$C$20:$J$24,8,FALSE)</f>
        <v>10</v>
      </c>
      <c r="K16" s="124">
        <v>31.536000000000001</v>
      </c>
      <c r="L16" s="100">
        <v>1</v>
      </c>
      <c r="M16" s="202">
        <f>'Kalimantan Only'!K6/1000</f>
        <v>2.2000000000000001E-3</v>
      </c>
      <c r="N16" s="8">
        <f>'Kalimantan Only'!S6</f>
        <v>1996</v>
      </c>
      <c r="O16" s="196"/>
      <c r="P16" s="196"/>
      <c r="Q16" s="196"/>
      <c r="R16" s="196"/>
      <c r="S16" s="196"/>
      <c r="T16" s="196"/>
      <c r="U16" s="196"/>
      <c r="V16" s="196"/>
      <c r="W16" s="196"/>
      <c r="X16" s="33"/>
      <c r="Y16" s="129"/>
      <c r="Z16" s="129"/>
      <c r="AA16" s="129" t="str">
        <f t="shared" si="1"/>
        <v>Exist_KS_2.2MW_OIL_UID2321</v>
      </c>
      <c r="AB16" s="131" t="str">
        <f>'Kalimantan Only'!B6</f>
        <v>Exist_KS_2.2MW_OIL_UID2321</v>
      </c>
      <c r="AC16" s="129" t="str">
        <f t="shared" si="2"/>
        <v>PJ</v>
      </c>
      <c r="AD16" s="129" t="str">
        <f t="shared" si="3"/>
        <v>GW</v>
      </c>
      <c r="AF16" s="129"/>
      <c r="AG16" s="129"/>
    </row>
    <row r="17" spans="2:33" ht="14">
      <c r="B17" s="28" t="str">
        <f>'Kalimantan Only'!B7</f>
        <v>Exist_KS_0.8MW_OIL_UID2322</v>
      </c>
      <c r="C17" s="28" t="str">
        <f>"ELC"&amp;'Kalimantan Only'!Q7</f>
        <v>ELCOIL</v>
      </c>
      <c r="D17" s="28" t="str">
        <f t="shared" si="0"/>
        <v>ELC</v>
      </c>
      <c r="E17" s="100">
        <f>'Kalimantan Only'!V7</f>
        <v>0.31338197955563979</v>
      </c>
      <c r="F17" s="100">
        <f>VLOOKUP(Con_ELC!$C17,Parsing!$C$20:$J$24,4,FALSE)</f>
        <v>0.5</v>
      </c>
      <c r="G17" s="99"/>
      <c r="H17" s="100">
        <f>VLOOKUP(Con_ELC!$C17,Parsing!$C$20:$J$24,6,FALSE)</f>
        <v>8</v>
      </c>
      <c r="I17" s="100">
        <f>VLOOKUP(Con_ELC!$C17,Parsing!$C$20:$J$24,7,FALSE)</f>
        <v>1.7777777777777779</v>
      </c>
      <c r="J17" s="100">
        <f>VLOOKUP(Con_ELC!$C17,Parsing!$C$20:$J$24,8,FALSE)</f>
        <v>10</v>
      </c>
      <c r="K17" s="124">
        <v>31.536000000000001</v>
      </c>
      <c r="L17" s="100">
        <v>1</v>
      </c>
      <c r="M17" s="202">
        <f>'Kalimantan Only'!K7/1000</f>
        <v>8.0000000000000004E-4</v>
      </c>
      <c r="N17" s="8">
        <f>'Kalimantan Only'!S7</f>
        <v>1996</v>
      </c>
      <c r="X17" s="33"/>
      <c r="Y17" s="129"/>
      <c r="Z17" s="129"/>
      <c r="AA17" s="129" t="str">
        <f t="shared" si="1"/>
        <v>Exist_KS_0.8MW_OIL_UID2322</v>
      </c>
      <c r="AB17" s="131" t="str">
        <f>'Kalimantan Only'!B7</f>
        <v>Exist_KS_0.8MW_OIL_UID2322</v>
      </c>
      <c r="AC17" s="129" t="str">
        <f t="shared" si="2"/>
        <v>PJ</v>
      </c>
      <c r="AD17" s="129" t="str">
        <f t="shared" si="3"/>
        <v>GW</v>
      </c>
      <c r="AF17" s="129"/>
      <c r="AG17" s="129"/>
    </row>
    <row r="18" spans="2:33" ht="14">
      <c r="B18" s="28" t="str">
        <f>'Kalimantan Only'!B8</f>
        <v>Exist_KS_0.8MW_OIL_UID2323</v>
      </c>
      <c r="C18" s="28" t="str">
        <f>"ELC"&amp;'Kalimantan Only'!Q8</f>
        <v>ELCOIL</v>
      </c>
      <c r="D18" s="28" t="str">
        <f t="shared" si="0"/>
        <v>ELC</v>
      </c>
      <c r="E18" s="100">
        <f>'Kalimantan Only'!V8</f>
        <v>0.31338197955563979</v>
      </c>
      <c r="F18" s="100">
        <f>VLOOKUP(Con_ELC!$C18,Parsing!$C$20:$J$24,4,FALSE)</f>
        <v>0.5</v>
      </c>
      <c r="G18" s="99"/>
      <c r="H18" s="100">
        <f>VLOOKUP(Con_ELC!$C18,Parsing!$C$20:$J$24,6,FALSE)</f>
        <v>8</v>
      </c>
      <c r="I18" s="100">
        <f>VLOOKUP(Con_ELC!$C18,Parsing!$C$20:$J$24,7,FALSE)</f>
        <v>1.7777777777777779</v>
      </c>
      <c r="J18" s="100">
        <f>VLOOKUP(Con_ELC!$C18,Parsing!$C$20:$J$24,8,FALSE)</f>
        <v>10</v>
      </c>
      <c r="K18" s="124">
        <v>31.536000000000001</v>
      </c>
      <c r="L18" s="100">
        <v>1</v>
      </c>
      <c r="M18" s="202">
        <f>'Kalimantan Only'!K8/1000</f>
        <v>8.0000000000000004E-4</v>
      </c>
      <c r="N18" s="8">
        <f>'Kalimantan Only'!S8</f>
        <v>1996</v>
      </c>
      <c r="X18" s="33"/>
      <c r="Y18" s="129"/>
      <c r="Z18" s="129"/>
      <c r="AA18" s="129" t="str">
        <f t="shared" si="1"/>
        <v>Exist_KS_0.8MW_OIL_UID2323</v>
      </c>
      <c r="AB18" s="131" t="str">
        <f>'Kalimantan Only'!B8</f>
        <v>Exist_KS_0.8MW_OIL_UID2323</v>
      </c>
      <c r="AC18" s="129" t="str">
        <f t="shared" si="2"/>
        <v>PJ</v>
      </c>
      <c r="AD18" s="129" t="str">
        <f t="shared" si="3"/>
        <v>GW</v>
      </c>
      <c r="AF18" s="129"/>
      <c r="AG18" s="129"/>
    </row>
    <row r="19" spans="2:33" ht="14">
      <c r="B19" s="28" t="str">
        <f>'Kalimantan Only'!B9</f>
        <v>Exist_KT_38MW_GAS_UID2327</v>
      </c>
      <c r="C19" s="28" t="str">
        <f>"ELC"&amp;'Kalimantan Only'!Q9</f>
        <v>ELCGAS</v>
      </c>
      <c r="D19" s="28" t="str">
        <f t="shared" si="0"/>
        <v>ELC</v>
      </c>
      <c r="E19" s="100">
        <f>'Kalimantan Only'!V9</f>
        <v>0.3042253521126761</v>
      </c>
      <c r="F19" s="100">
        <f>VLOOKUP(Con_ELC!$C19,Parsing!$C$20:$J$24,4,FALSE)</f>
        <v>0.85000000000000009</v>
      </c>
      <c r="G19" s="99"/>
      <c r="H19" s="100">
        <f>VLOOKUP(Con_ELC!$C19,Parsing!$C$20:$J$24,6,FALSE)</f>
        <v>23.2</v>
      </c>
      <c r="I19" s="100">
        <f>VLOOKUP(Con_ELC!$C19,Parsing!$C$20:$J$24,7,FALSE)</f>
        <v>0</v>
      </c>
      <c r="J19" s="100">
        <f>VLOOKUP(Con_ELC!$C19,Parsing!$C$20:$J$24,8,FALSE)</f>
        <v>20</v>
      </c>
      <c r="K19" s="124">
        <v>31.536000000000001</v>
      </c>
      <c r="L19" s="100">
        <v>1</v>
      </c>
      <c r="M19" s="202">
        <f>'Kalimantan Only'!K9/1000</f>
        <v>3.7999999999999999E-2</v>
      </c>
      <c r="N19" s="8">
        <f>'Kalimantan Only'!S9</f>
        <v>2016</v>
      </c>
      <c r="T19" s="183"/>
      <c r="U19" s="182"/>
      <c r="V19" s="182"/>
      <c r="W19" s="182"/>
      <c r="Y19" s="129"/>
      <c r="Z19" s="129"/>
      <c r="AA19" s="129" t="str">
        <f t="shared" si="1"/>
        <v>Exist_KT_38MW_GAS_UID2327</v>
      </c>
      <c r="AB19" s="131" t="str">
        <f>'Kalimantan Only'!B9</f>
        <v>Exist_KT_38MW_GAS_UID2327</v>
      </c>
      <c r="AC19" s="129" t="str">
        <f t="shared" si="2"/>
        <v>PJ</v>
      </c>
      <c r="AD19" s="129" t="str">
        <f t="shared" si="3"/>
        <v>GW</v>
      </c>
      <c r="AF19" s="156"/>
      <c r="AG19" s="129"/>
    </row>
    <row r="20" spans="2:33" ht="14">
      <c r="B20" s="28" t="str">
        <f>'Kalimantan Only'!B10</f>
        <v>Exist_KT_38MW_GAS_UID2328</v>
      </c>
      <c r="C20" s="28" t="str">
        <f>"ELC"&amp;'Kalimantan Only'!Q10</f>
        <v>ELCGAS</v>
      </c>
      <c r="D20" s="28" t="str">
        <f t="shared" si="0"/>
        <v>ELC</v>
      </c>
      <c r="E20" s="100">
        <f>'Kalimantan Only'!V10</f>
        <v>0.3042253521126761</v>
      </c>
      <c r="F20" s="100">
        <f>VLOOKUP(Con_ELC!$C20,Parsing!$C$20:$J$24,4,FALSE)</f>
        <v>0.85000000000000009</v>
      </c>
      <c r="G20" s="99"/>
      <c r="H20" s="100">
        <f>VLOOKUP(Con_ELC!$C20,Parsing!$C$20:$J$24,6,FALSE)</f>
        <v>23.2</v>
      </c>
      <c r="I20" s="100">
        <f>VLOOKUP(Con_ELC!$C20,Parsing!$C$20:$J$24,7,FALSE)</f>
        <v>0</v>
      </c>
      <c r="J20" s="100">
        <f>VLOOKUP(Con_ELC!$C20,Parsing!$C$20:$J$24,8,FALSE)</f>
        <v>20</v>
      </c>
      <c r="K20" s="124">
        <v>31.536000000000001</v>
      </c>
      <c r="L20" s="100">
        <v>1</v>
      </c>
      <c r="M20" s="202">
        <f>'Kalimantan Only'!K10/1000</f>
        <v>3.7999999999999999E-2</v>
      </c>
      <c r="N20" s="8">
        <f>'Kalimantan Only'!S10</f>
        <v>2016</v>
      </c>
      <c r="T20" s="183"/>
      <c r="U20" s="182"/>
      <c r="V20" s="182"/>
      <c r="W20" s="182"/>
      <c r="Y20" s="129"/>
      <c r="AA20" s="129" t="str">
        <f t="shared" si="1"/>
        <v>Exist_KT_38MW_GAS_UID2328</v>
      </c>
      <c r="AB20" s="131" t="str">
        <f>'Kalimantan Only'!B10</f>
        <v>Exist_KT_38MW_GAS_UID2328</v>
      </c>
      <c r="AC20" s="129" t="str">
        <f t="shared" si="2"/>
        <v>PJ</v>
      </c>
      <c r="AD20" s="129" t="str">
        <f t="shared" si="3"/>
        <v>GW</v>
      </c>
    </row>
    <row r="21" spans="2:33" ht="14">
      <c r="B21" s="28" t="str">
        <f>'Kalimantan Only'!B11</f>
        <v>Exist_KT_38MW_GAS_UID2329</v>
      </c>
      <c r="C21" s="28" t="str">
        <f>"ELC"&amp;'Kalimantan Only'!Q11</f>
        <v>ELCGAS</v>
      </c>
      <c r="D21" s="28" t="str">
        <f t="shared" si="0"/>
        <v>ELC</v>
      </c>
      <c r="E21" s="100">
        <f>'Kalimantan Only'!V11</f>
        <v>0.3042253521126761</v>
      </c>
      <c r="F21" s="100">
        <f>VLOOKUP(Con_ELC!$C21,Parsing!$C$20:$J$24,4,FALSE)</f>
        <v>0.85000000000000009</v>
      </c>
      <c r="G21" s="99"/>
      <c r="H21" s="100">
        <f>VLOOKUP(Con_ELC!$C21,Parsing!$C$20:$J$24,6,FALSE)</f>
        <v>23.2</v>
      </c>
      <c r="I21" s="100">
        <f>VLOOKUP(Con_ELC!$C21,Parsing!$C$20:$J$24,7,FALSE)</f>
        <v>0</v>
      </c>
      <c r="J21" s="100">
        <f>VLOOKUP(Con_ELC!$C21,Parsing!$C$20:$J$24,8,FALSE)</f>
        <v>20</v>
      </c>
      <c r="K21" s="124">
        <v>31.536000000000001</v>
      </c>
      <c r="L21" s="100">
        <v>1</v>
      </c>
      <c r="M21" s="202">
        <f>'Kalimantan Only'!K11/1000</f>
        <v>3.7999999999999999E-2</v>
      </c>
      <c r="N21" s="8">
        <f>'Kalimantan Only'!S11</f>
        <v>2016</v>
      </c>
      <c r="T21" s="183"/>
      <c r="U21" s="182"/>
      <c r="V21" s="182"/>
      <c r="W21" s="182"/>
      <c r="AA21" s="129" t="str">
        <f t="shared" si="1"/>
        <v>Exist_KT_38MW_GAS_UID2329</v>
      </c>
      <c r="AB21" s="131" t="str">
        <f>'Kalimantan Only'!B11</f>
        <v>Exist_KT_38MW_GAS_UID2329</v>
      </c>
      <c r="AC21" s="129" t="str">
        <f t="shared" si="2"/>
        <v>PJ</v>
      </c>
      <c r="AD21" s="129" t="str">
        <f t="shared" si="3"/>
        <v>GW</v>
      </c>
    </row>
    <row r="22" spans="2:33" ht="14">
      <c r="B22" s="28" t="str">
        <f>'Kalimantan Only'!B12</f>
        <v>Exist_KT_38MW_GAS_UID2330</v>
      </c>
      <c r="C22" s="28" t="str">
        <f>"ELC"&amp;'Kalimantan Only'!Q12</f>
        <v>ELCGAS</v>
      </c>
      <c r="D22" s="28" t="str">
        <f t="shared" si="0"/>
        <v>ELC</v>
      </c>
      <c r="E22" s="100">
        <f>'Kalimantan Only'!V12</f>
        <v>0.3042253521126761</v>
      </c>
      <c r="F22" s="100">
        <f>VLOOKUP(Con_ELC!$C22,Parsing!$C$20:$J$24,4,FALSE)</f>
        <v>0.85000000000000009</v>
      </c>
      <c r="G22" s="99"/>
      <c r="H22" s="100">
        <f>VLOOKUP(Con_ELC!$C22,Parsing!$C$20:$J$24,6,FALSE)</f>
        <v>23.2</v>
      </c>
      <c r="I22" s="100">
        <f>VLOOKUP(Con_ELC!$C22,Parsing!$C$20:$J$24,7,FALSE)</f>
        <v>0</v>
      </c>
      <c r="J22" s="100">
        <f>VLOOKUP(Con_ELC!$C22,Parsing!$C$20:$J$24,8,FALSE)</f>
        <v>20</v>
      </c>
      <c r="K22" s="124">
        <v>31.536000000000001</v>
      </c>
      <c r="L22" s="100">
        <v>1</v>
      </c>
      <c r="M22" s="202">
        <f>'Kalimantan Only'!K12/1000</f>
        <v>3.7999999999999999E-2</v>
      </c>
      <c r="N22" s="8">
        <f>'Kalimantan Only'!S12</f>
        <v>2016</v>
      </c>
      <c r="T22" s="183"/>
      <c r="U22" s="182"/>
      <c r="V22" s="182"/>
      <c r="W22" s="182"/>
      <c r="AA22" s="129" t="str">
        <f t="shared" si="1"/>
        <v>Exist_KT_38MW_GAS_UID2330</v>
      </c>
      <c r="AB22" s="131" t="str">
        <f>'Kalimantan Only'!B12</f>
        <v>Exist_KT_38MW_GAS_UID2330</v>
      </c>
      <c r="AC22" s="129" t="str">
        <f t="shared" si="2"/>
        <v>PJ</v>
      </c>
      <c r="AD22" s="129" t="str">
        <f t="shared" si="3"/>
        <v>GW</v>
      </c>
    </row>
    <row r="23" spans="2:33" ht="14">
      <c r="B23" s="28" t="str">
        <f>'Kalimantan Only'!B13</f>
        <v>Exist_KS_54MW_COA_UID2331</v>
      </c>
      <c r="C23" s="28" t="str">
        <f>"ELC"&amp;'Kalimantan Only'!Q13</f>
        <v>ELCCOA</v>
      </c>
      <c r="D23" s="28" t="str">
        <f t="shared" si="0"/>
        <v>ELC</v>
      </c>
      <c r="E23" s="100">
        <f>'Kalimantan Only'!V13</f>
        <v>0.38772727272727281</v>
      </c>
      <c r="F23" s="100">
        <f>VLOOKUP(Con_ELC!$C23,Parsing!$C$20:$J$24,4,FALSE)</f>
        <v>0.84999999999999976</v>
      </c>
      <c r="G23" s="99"/>
      <c r="H23" s="100">
        <f>VLOOKUP(Con_ELC!$C23,Parsing!$C$20:$J$24,6,FALSE)</f>
        <v>56</v>
      </c>
      <c r="I23" s="100">
        <f>VLOOKUP(Con_ELC!$C23,Parsing!$C$20:$J$24,7,FALSE)</f>
        <v>4.4444444444444446E-2</v>
      </c>
      <c r="J23" s="100">
        <f>VLOOKUP(Con_ELC!$C23,Parsing!$C$20:$J$24,8,FALSE)</f>
        <v>25</v>
      </c>
      <c r="K23" s="124">
        <v>31.536000000000001</v>
      </c>
      <c r="L23" s="100">
        <v>1</v>
      </c>
      <c r="M23" s="202">
        <f>'Kalimantan Only'!K13/1000</f>
        <v>5.3999999999999999E-2</v>
      </c>
      <c r="N23" s="8">
        <f>'Kalimantan Only'!S13</f>
        <v>2000</v>
      </c>
      <c r="T23" s="183"/>
      <c r="U23" s="182"/>
      <c r="V23" s="182"/>
      <c r="W23" s="182"/>
      <c r="AA23" s="129" t="str">
        <f t="shared" si="1"/>
        <v>Exist_KS_54MW_COA_UID2331</v>
      </c>
      <c r="AB23" s="131" t="str">
        <f>'Kalimantan Only'!B13</f>
        <v>Exist_KS_54MW_COA_UID2331</v>
      </c>
      <c r="AC23" s="129" t="str">
        <f t="shared" si="2"/>
        <v>PJ</v>
      </c>
      <c r="AD23" s="129" t="str">
        <f t="shared" si="3"/>
        <v>GW</v>
      </c>
    </row>
    <row r="24" spans="2:33" ht="14">
      <c r="B24" s="28" t="str">
        <f>'Kalimantan Only'!B14</f>
        <v>Exist_KS_54MW_COA_UID2332</v>
      </c>
      <c r="C24" s="28" t="str">
        <f>"ELC"&amp;'Kalimantan Only'!Q14</f>
        <v>ELCCOA</v>
      </c>
      <c r="D24" s="28" t="str">
        <f t="shared" si="0"/>
        <v>ELC</v>
      </c>
      <c r="E24" s="100">
        <f>'Kalimantan Only'!V14</f>
        <v>0.38772727272727281</v>
      </c>
      <c r="F24" s="100">
        <f>VLOOKUP(Con_ELC!$C24,Parsing!$C$20:$J$24,4,FALSE)</f>
        <v>0.84999999999999976</v>
      </c>
      <c r="G24" s="99"/>
      <c r="H24" s="100">
        <f>VLOOKUP(Con_ELC!$C24,Parsing!$C$20:$J$24,6,FALSE)</f>
        <v>56</v>
      </c>
      <c r="I24" s="100">
        <f>VLOOKUP(Con_ELC!$C24,Parsing!$C$20:$J$24,7,FALSE)</f>
        <v>4.4444444444444446E-2</v>
      </c>
      <c r="J24" s="100">
        <f>VLOOKUP(Con_ELC!$C24,Parsing!$C$20:$J$24,8,FALSE)</f>
        <v>25</v>
      </c>
      <c r="K24" s="124">
        <v>31.536000000000001</v>
      </c>
      <c r="L24" s="100">
        <v>1</v>
      </c>
      <c r="M24" s="202">
        <f>'Kalimantan Only'!K14/1000</f>
        <v>5.3999999999999999E-2</v>
      </c>
      <c r="N24" s="8">
        <f>'Kalimantan Only'!S14</f>
        <v>2000</v>
      </c>
      <c r="AA24" s="129" t="str">
        <f t="shared" si="1"/>
        <v>Exist_KS_54MW_COA_UID2332</v>
      </c>
      <c r="AB24" s="131" t="str">
        <f>'Kalimantan Only'!B14</f>
        <v>Exist_KS_54MW_COA_UID2332</v>
      </c>
      <c r="AC24" s="129" t="str">
        <f t="shared" si="2"/>
        <v>PJ</v>
      </c>
      <c r="AD24" s="129" t="str">
        <f t="shared" si="3"/>
        <v>GW</v>
      </c>
    </row>
    <row r="25" spans="2:33" ht="14">
      <c r="B25" s="28" t="str">
        <f>'Kalimantan Only'!B15</f>
        <v>Exist_KS_57MW_COA_UID2333</v>
      </c>
      <c r="C25" s="28" t="str">
        <f>"ELC"&amp;'Kalimantan Only'!Q15</f>
        <v>ELCCOA</v>
      </c>
      <c r="D25" s="28" t="str">
        <f t="shared" si="0"/>
        <v>ELC</v>
      </c>
      <c r="E25" s="100">
        <f>'Kalimantan Only'!V15</f>
        <v>0.3143266436049913</v>
      </c>
      <c r="F25" s="100">
        <f>VLOOKUP(Con_ELC!$C25,Parsing!$C$20:$J$24,4,FALSE)</f>
        <v>0.84999999999999976</v>
      </c>
      <c r="G25" s="99"/>
      <c r="H25" s="100">
        <f>VLOOKUP(Con_ELC!$C25,Parsing!$C$20:$J$24,6,FALSE)</f>
        <v>56</v>
      </c>
      <c r="I25" s="100">
        <f>VLOOKUP(Con_ELC!$C25,Parsing!$C$20:$J$24,7,FALSE)</f>
        <v>4.4444444444444446E-2</v>
      </c>
      <c r="J25" s="100">
        <f>VLOOKUP(Con_ELC!$C25,Parsing!$C$20:$J$24,8,FALSE)</f>
        <v>25</v>
      </c>
      <c r="K25" s="124">
        <v>31.536000000000001</v>
      </c>
      <c r="L25" s="100">
        <v>1</v>
      </c>
      <c r="M25" s="202">
        <f>'Kalimantan Only'!K15/1000</f>
        <v>5.7000000000000002E-2</v>
      </c>
      <c r="N25" s="8">
        <f>'Kalimantan Only'!S15</f>
        <v>2013</v>
      </c>
      <c r="T25" s="183"/>
      <c r="AA25" s="129" t="str">
        <f t="shared" si="1"/>
        <v>Exist_KS_57MW_COA_UID2333</v>
      </c>
      <c r="AB25" s="131" t="str">
        <f>'Kalimantan Only'!B15</f>
        <v>Exist_KS_57MW_COA_UID2333</v>
      </c>
      <c r="AC25" s="129" t="str">
        <f t="shared" si="2"/>
        <v>PJ</v>
      </c>
      <c r="AD25" s="129" t="str">
        <f t="shared" si="3"/>
        <v>GW</v>
      </c>
    </row>
    <row r="26" spans="2:33" ht="14">
      <c r="B26" s="28" t="str">
        <f>'Kalimantan Only'!B16</f>
        <v>Exist_KS_57MW_COA_UID2334</v>
      </c>
      <c r="C26" s="28" t="str">
        <f>"ELC"&amp;'Kalimantan Only'!Q16</f>
        <v>ELCCOA</v>
      </c>
      <c r="D26" s="28" t="str">
        <f t="shared" si="0"/>
        <v>ELC</v>
      </c>
      <c r="E26" s="100">
        <f>'Kalimantan Only'!V16</f>
        <v>0.3143266436049913</v>
      </c>
      <c r="F26" s="100">
        <f>VLOOKUP(Con_ELC!$C26,Parsing!$C$20:$J$24,4,FALSE)</f>
        <v>0.84999999999999976</v>
      </c>
      <c r="G26" s="99"/>
      <c r="H26" s="100">
        <f>VLOOKUP(Con_ELC!$C26,Parsing!$C$20:$J$24,6,FALSE)</f>
        <v>56</v>
      </c>
      <c r="I26" s="100">
        <f>VLOOKUP(Con_ELC!$C26,Parsing!$C$20:$J$24,7,FALSE)</f>
        <v>4.4444444444444446E-2</v>
      </c>
      <c r="J26" s="100">
        <f>VLOOKUP(Con_ELC!$C26,Parsing!$C$20:$J$24,8,FALSE)</f>
        <v>25</v>
      </c>
      <c r="K26" s="124">
        <v>31.536000000000001</v>
      </c>
      <c r="L26" s="100">
        <v>1</v>
      </c>
      <c r="M26" s="202">
        <f>'Kalimantan Only'!K16/1000</f>
        <v>5.7000000000000002E-2</v>
      </c>
      <c r="N26" s="8">
        <f>'Kalimantan Only'!S16</f>
        <v>2013</v>
      </c>
      <c r="T26" s="183"/>
      <c r="AA26" s="129" t="str">
        <f t="shared" si="1"/>
        <v>Exist_KS_57MW_COA_UID2334</v>
      </c>
      <c r="AB26" s="131" t="str">
        <f>'Kalimantan Only'!B16</f>
        <v>Exist_KS_57MW_COA_UID2334</v>
      </c>
      <c r="AC26" s="129" t="str">
        <f t="shared" si="2"/>
        <v>PJ</v>
      </c>
      <c r="AD26" s="129" t="str">
        <f t="shared" si="3"/>
        <v>GW</v>
      </c>
    </row>
    <row r="27" spans="2:33" ht="14">
      <c r="B27" s="28" t="str">
        <f>'Kalimantan Only'!B17</f>
        <v>Exist_KT_42MW_COA_UID2335</v>
      </c>
      <c r="C27" s="28" t="str">
        <f>"ELC"&amp;'Kalimantan Only'!Q17</f>
        <v>ELCCOA</v>
      </c>
      <c r="D27" s="28" t="str">
        <f t="shared" si="0"/>
        <v>ELC</v>
      </c>
      <c r="E27" s="100">
        <f>'Kalimantan Only'!V17</f>
        <v>0.3158858777163579</v>
      </c>
      <c r="F27" s="100">
        <f>VLOOKUP(Con_ELC!$C27,Parsing!$C$20:$J$24,4,FALSE)</f>
        <v>0.84999999999999976</v>
      </c>
      <c r="G27" s="99"/>
      <c r="H27" s="100">
        <f>VLOOKUP(Con_ELC!$C27,Parsing!$C$20:$J$24,6,FALSE)</f>
        <v>56</v>
      </c>
      <c r="I27" s="100">
        <f>VLOOKUP(Con_ELC!$C27,Parsing!$C$20:$J$24,7,FALSE)</f>
        <v>4.4444444444444446E-2</v>
      </c>
      <c r="J27" s="100">
        <f>VLOOKUP(Con_ELC!$C27,Parsing!$C$20:$J$24,8,FALSE)</f>
        <v>25</v>
      </c>
      <c r="K27" s="124">
        <v>31.536000000000001</v>
      </c>
      <c r="L27" s="100">
        <v>1</v>
      </c>
      <c r="M27" s="202">
        <f>'Kalimantan Only'!K17/1000</f>
        <v>4.2000000000000003E-2</v>
      </c>
      <c r="N27" s="8">
        <f>'Kalimantan Only'!S17</f>
        <v>2016</v>
      </c>
      <c r="AA27" s="129" t="str">
        <f t="shared" si="1"/>
        <v>Exist_KT_42MW_COA_UID2335</v>
      </c>
      <c r="AB27" s="131" t="str">
        <f>'Kalimantan Only'!B17</f>
        <v>Exist_KT_42MW_COA_UID2335</v>
      </c>
      <c r="AC27" s="129" t="str">
        <f t="shared" si="2"/>
        <v>PJ</v>
      </c>
      <c r="AD27" s="129" t="str">
        <f t="shared" si="3"/>
        <v>GW</v>
      </c>
    </row>
    <row r="28" spans="2:33" ht="14">
      <c r="B28" s="28" t="str">
        <f>'Kalimantan Only'!B18</f>
        <v>Exist_KT_42MW_COA_UID2336</v>
      </c>
      <c r="C28" s="28" t="str">
        <f>"ELC"&amp;'Kalimantan Only'!Q18</f>
        <v>ELCCOA</v>
      </c>
      <c r="D28" s="28" t="str">
        <f t="shared" si="0"/>
        <v>ELC</v>
      </c>
      <c r="E28" s="100">
        <f>'Kalimantan Only'!V18</f>
        <v>0.32205389588937661</v>
      </c>
      <c r="F28" s="100">
        <f>VLOOKUP(Con_ELC!$C28,Parsing!$C$20:$J$24,4,FALSE)</f>
        <v>0.84999999999999976</v>
      </c>
      <c r="G28" s="99"/>
      <c r="H28" s="100">
        <f>VLOOKUP(Con_ELC!$C28,Parsing!$C$20:$J$24,6,FALSE)</f>
        <v>56</v>
      </c>
      <c r="I28" s="100">
        <f>VLOOKUP(Con_ELC!$C28,Parsing!$C$20:$J$24,7,FALSE)</f>
        <v>4.4444444444444446E-2</v>
      </c>
      <c r="J28" s="100">
        <f>VLOOKUP(Con_ELC!$C28,Parsing!$C$20:$J$24,8,FALSE)</f>
        <v>25</v>
      </c>
      <c r="K28" s="124">
        <v>31.536000000000001</v>
      </c>
      <c r="L28" s="100">
        <v>1</v>
      </c>
      <c r="M28" s="202">
        <f>'Kalimantan Only'!K18/1000</f>
        <v>4.2000000000000003E-2</v>
      </c>
      <c r="N28" s="8">
        <f>'Kalimantan Only'!S18</f>
        <v>2017</v>
      </c>
      <c r="AA28" s="129" t="str">
        <f t="shared" si="1"/>
        <v>Exist_KT_42MW_COA_UID2336</v>
      </c>
      <c r="AB28" s="131" t="str">
        <f>'Kalimantan Only'!B18</f>
        <v>Exist_KT_42MW_COA_UID2336</v>
      </c>
      <c r="AC28" s="129" t="str">
        <f t="shared" si="2"/>
        <v>PJ</v>
      </c>
      <c r="AD28" s="129" t="str">
        <f t="shared" si="3"/>
        <v>GW</v>
      </c>
    </row>
    <row r="29" spans="2:33" ht="14">
      <c r="B29" s="28" t="str">
        <f>'Kalimantan Only'!B19</f>
        <v>Exist_KT_1.8MW_OIL_UID2340</v>
      </c>
      <c r="C29" s="28" t="str">
        <f>"ELC"&amp;'Kalimantan Only'!Q19</f>
        <v>ELCOIL</v>
      </c>
      <c r="D29" s="28" t="str">
        <f t="shared" si="0"/>
        <v>ELC</v>
      </c>
      <c r="E29" s="100">
        <f>'Kalimantan Only'!V19</f>
        <v>0.31338197955563979</v>
      </c>
      <c r="F29" s="100">
        <f>VLOOKUP(Con_ELC!$C29,Parsing!$C$20:$J$24,4,FALSE)</f>
        <v>0.5</v>
      </c>
      <c r="G29" s="99"/>
      <c r="H29" s="100">
        <f>VLOOKUP(Con_ELC!$C29,Parsing!$C$20:$J$24,6,FALSE)</f>
        <v>8</v>
      </c>
      <c r="I29" s="100">
        <f>VLOOKUP(Con_ELC!$C29,Parsing!$C$20:$J$24,7,FALSE)</f>
        <v>1.7777777777777779</v>
      </c>
      <c r="J29" s="100">
        <f>VLOOKUP(Con_ELC!$C29,Parsing!$C$20:$J$24,8,FALSE)</f>
        <v>10</v>
      </c>
      <c r="K29" s="124">
        <v>31.536000000000001</v>
      </c>
      <c r="L29" s="100">
        <v>1</v>
      </c>
      <c r="M29" s="202">
        <f>'Kalimantan Only'!K19/1000</f>
        <v>1.8E-3</v>
      </c>
      <c r="N29" s="8">
        <f>'Kalimantan Only'!S19</f>
        <v>1995</v>
      </c>
      <c r="AA29" s="129" t="str">
        <f t="shared" si="1"/>
        <v>Exist_KT_1.8MW_OIL_UID2340</v>
      </c>
      <c r="AB29" s="131" t="str">
        <f>'Kalimantan Only'!B19</f>
        <v>Exist_KT_1.8MW_OIL_UID2340</v>
      </c>
      <c r="AC29" s="129" t="str">
        <f t="shared" si="2"/>
        <v>PJ</v>
      </c>
      <c r="AD29" s="129" t="str">
        <f t="shared" si="3"/>
        <v>GW</v>
      </c>
    </row>
    <row r="30" spans="2:33" ht="14">
      <c r="B30" s="28" t="str">
        <f>'Kalimantan Only'!B20</f>
        <v>Exist_KT_1.9MW_OIL_UID2345</v>
      </c>
      <c r="C30" s="28" t="str">
        <f>"ELC"&amp;'Kalimantan Only'!Q20</f>
        <v>ELCOIL</v>
      </c>
      <c r="D30" s="28" t="str">
        <f t="shared" si="0"/>
        <v>ELC</v>
      </c>
      <c r="E30" s="100">
        <f>'Kalimantan Only'!V20</f>
        <v>0.31338197955563979</v>
      </c>
      <c r="F30" s="100">
        <f>VLOOKUP(Con_ELC!$C30,Parsing!$C$20:$J$24,4,FALSE)</f>
        <v>0.5</v>
      </c>
      <c r="G30" s="99"/>
      <c r="H30" s="100">
        <f>VLOOKUP(Con_ELC!$C30,Parsing!$C$20:$J$24,6,FALSE)</f>
        <v>8</v>
      </c>
      <c r="I30" s="100">
        <f>VLOOKUP(Con_ELC!$C30,Parsing!$C$20:$J$24,7,FALSE)</f>
        <v>1.7777777777777779</v>
      </c>
      <c r="J30" s="100">
        <f>VLOOKUP(Con_ELC!$C30,Parsing!$C$20:$J$24,8,FALSE)</f>
        <v>10</v>
      </c>
      <c r="K30" s="124">
        <v>31.536000000000001</v>
      </c>
      <c r="L30" s="100">
        <v>1</v>
      </c>
      <c r="M30" s="202">
        <f>'Kalimantan Only'!K20/1000</f>
        <v>1.9E-3</v>
      </c>
      <c r="N30" s="8">
        <f>'Kalimantan Only'!S20</f>
        <v>1997</v>
      </c>
      <c r="AA30" s="129" t="str">
        <f t="shared" si="1"/>
        <v>Exist_KT_1.9MW_OIL_UID2345</v>
      </c>
      <c r="AB30" s="131" t="str">
        <f>'Kalimantan Only'!B20</f>
        <v>Exist_KT_1.9MW_OIL_UID2345</v>
      </c>
      <c r="AC30" s="129" t="str">
        <f t="shared" si="2"/>
        <v>PJ</v>
      </c>
      <c r="AD30" s="129" t="str">
        <f t="shared" si="3"/>
        <v>GW</v>
      </c>
    </row>
    <row r="31" spans="2:33" ht="14">
      <c r="B31" s="28" t="str">
        <f>'Kalimantan Only'!B21</f>
        <v>Exist_KT_1.9MW_OIL_UID2346</v>
      </c>
      <c r="C31" s="28" t="str">
        <f>"ELC"&amp;'Kalimantan Only'!Q21</f>
        <v>ELCOIL</v>
      </c>
      <c r="D31" s="28" t="str">
        <f t="shared" si="0"/>
        <v>ELC</v>
      </c>
      <c r="E31" s="100">
        <f>'Kalimantan Only'!V21</f>
        <v>0.31338197955563979</v>
      </c>
      <c r="F31" s="100">
        <f>VLOOKUP(Con_ELC!$C31,Parsing!$C$20:$J$24,4,FALSE)</f>
        <v>0.5</v>
      </c>
      <c r="G31" s="99"/>
      <c r="H31" s="100">
        <f>VLOOKUP(Con_ELC!$C31,Parsing!$C$20:$J$24,6,FALSE)</f>
        <v>8</v>
      </c>
      <c r="I31" s="100">
        <f>VLOOKUP(Con_ELC!$C31,Parsing!$C$20:$J$24,7,FALSE)</f>
        <v>1.7777777777777779</v>
      </c>
      <c r="J31" s="100">
        <f>VLOOKUP(Con_ELC!$C31,Parsing!$C$20:$J$24,8,FALSE)</f>
        <v>10</v>
      </c>
      <c r="K31" s="124">
        <v>31.536000000000001</v>
      </c>
      <c r="L31" s="100">
        <v>1</v>
      </c>
      <c r="M31" s="202">
        <f>'Kalimantan Only'!K21/1000</f>
        <v>1.9E-3</v>
      </c>
      <c r="N31" s="8">
        <f>'Kalimantan Only'!S21</f>
        <v>1997</v>
      </c>
      <c r="AA31" s="129" t="str">
        <f t="shared" si="1"/>
        <v>Exist_KT_1.9MW_OIL_UID2346</v>
      </c>
      <c r="AB31" s="131" t="str">
        <f>'Kalimantan Only'!B21</f>
        <v>Exist_KT_1.9MW_OIL_UID2346</v>
      </c>
      <c r="AC31" s="129" t="str">
        <f t="shared" si="2"/>
        <v>PJ</v>
      </c>
      <c r="AD31" s="129" t="str">
        <f t="shared" si="3"/>
        <v>GW</v>
      </c>
    </row>
    <row r="32" spans="2:33" ht="14">
      <c r="B32" s="28" t="str">
        <f>'Kalimantan Only'!B22</f>
        <v>Exist_KS_2.3MW_OIL_UID2347</v>
      </c>
      <c r="C32" s="28" t="str">
        <f>"ELC"&amp;'Kalimantan Only'!Q22</f>
        <v>ELCOIL</v>
      </c>
      <c r="D32" s="28" t="str">
        <f t="shared" si="0"/>
        <v>ELC</v>
      </c>
      <c r="E32" s="100">
        <f>'Kalimantan Only'!V22</f>
        <v>0.31338197955563979</v>
      </c>
      <c r="F32" s="100">
        <f>VLOOKUP(Con_ELC!$C32,Parsing!$C$20:$J$24,4,FALSE)</f>
        <v>0.5</v>
      </c>
      <c r="G32" s="99"/>
      <c r="H32" s="100">
        <f>VLOOKUP(Con_ELC!$C32,Parsing!$C$20:$J$24,6,FALSE)</f>
        <v>8</v>
      </c>
      <c r="I32" s="100">
        <f>VLOOKUP(Con_ELC!$C32,Parsing!$C$20:$J$24,7,FALSE)</f>
        <v>1.7777777777777779</v>
      </c>
      <c r="J32" s="100">
        <f>VLOOKUP(Con_ELC!$C32,Parsing!$C$20:$J$24,8,FALSE)</f>
        <v>10</v>
      </c>
      <c r="K32" s="124">
        <v>31.536000000000001</v>
      </c>
      <c r="L32" s="100">
        <v>1</v>
      </c>
      <c r="M32" s="202">
        <f>'Kalimantan Only'!K22/1000</f>
        <v>2.3E-3</v>
      </c>
      <c r="N32" s="8">
        <f>'Kalimantan Only'!S22</f>
        <v>1996</v>
      </c>
      <c r="AA32" s="129" t="str">
        <f t="shared" si="1"/>
        <v>Exist_KS_2.3MW_OIL_UID2347</v>
      </c>
      <c r="AB32" s="131" t="str">
        <f>'Kalimantan Only'!B22</f>
        <v>Exist_KS_2.3MW_OIL_UID2347</v>
      </c>
      <c r="AC32" s="129" t="str">
        <f t="shared" si="2"/>
        <v>PJ</v>
      </c>
      <c r="AD32" s="129" t="str">
        <f t="shared" si="3"/>
        <v>GW</v>
      </c>
    </row>
    <row r="33" spans="2:30" ht="14">
      <c r="B33" s="28" t="str">
        <f>'Kalimantan Only'!B23</f>
        <v>Exist_KS_0.8MW_OIL_UID2348</v>
      </c>
      <c r="C33" s="28" t="str">
        <f>"ELC"&amp;'Kalimantan Only'!Q23</f>
        <v>ELCOIL</v>
      </c>
      <c r="D33" s="28" t="str">
        <f t="shared" si="0"/>
        <v>ELC</v>
      </c>
      <c r="E33" s="100">
        <f>'Kalimantan Only'!V23</f>
        <v>0.31338197955563979</v>
      </c>
      <c r="F33" s="100">
        <f>VLOOKUP(Con_ELC!$C33,Parsing!$C$20:$J$24,4,FALSE)</f>
        <v>0.5</v>
      </c>
      <c r="G33" s="99"/>
      <c r="H33" s="100">
        <f>VLOOKUP(Con_ELC!$C33,Parsing!$C$20:$J$24,6,FALSE)</f>
        <v>8</v>
      </c>
      <c r="I33" s="100">
        <f>VLOOKUP(Con_ELC!$C33,Parsing!$C$20:$J$24,7,FALSE)</f>
        <v>1.7777777777777779</v>
      </c>
      <c r="J33" s="100">
        <f>VLOOKUP(Con_ELC!$C33,Parsing!$C$20:$J$24,8,FALSE)</f>
        <v>10</v>
      </c>
      <c r="K33" s="124">
        <v>31.536000000000001</v>
      </c>
      <c r="L33" s="100">
        <v>1</v>
      </c>
      <c r="M33" s="202">
        <f>'Kalimantan Only'!K23/1000</f>
        <v>7.5000000000000002E-4</v>
      </c>
      <c r="N33" s="8">
        <f>'Kalimantan Only'!S23</f>
        <v>1996</v>
      </c>
      <c r="AA33" s="129" t="str">
        <f t="shared" si="1"/>
        <v>Exist_KS_0.8MW_OIL_UID2348</v>
      </c>
      <c r="AB33" s="131" t="str">
        <f>'Kalimantan Only'!B23</f>
        <v>Exist_KS_0.8MW_OIL_UID2348</v>
      </c>
      <c r="AC33" s="129" t="str">
        <f t="shared" si="2"/>
        <v>PJ</v>
      </c>
      <c r="AD33" s="129" t="str">
        <f t="shared" si="3"/>
        <v>GW</v>
      </c>
    </row>
    <row r="34" spans="2:30" ht="14">
      <c r="B34" s="28" t="str">
        <f>'Kalimantan Only'!B24</f>
        <v>Exist_KS_0.8MW_OIL_UID2349</v>
      </c>
      <c r="C34" s="28" t="str">
        <f>"ELC"&amp;'Kalimantan Only'!Q24</f>
        <v>ELCOIL</v>
      </c>
      <c r="D34" s="28" t="str">
        <f t="shared" si="0"/>
        <v>ELC</v>
      </c>
      <c r="E34" s="100">
        <f>'Kalimantan Only'!V24</f>
        <v>0.31338197955563979</v>
      </c>
      <c r="F34" s="100">
        <f>VLOOKUP(Con_ELC!$C34,Parsing!$C$20:$J$24,4,FALSE)</f>
        <v>0.5</v>
      </c>
      <c r="G34" s="99"/>
      <c r="H34" s="100">
        <f>VLOOKUP(Con_ELC!$C34,Parsing!$C$20:$J$24,6,FALSE)</f>
        <v>8</v>
      </c>
      <c r="I34" s="100">
        <f>VLOOKUP(Con_ELC!$C34,Parsing!$C$20:$J$24,7,FALSE)</f>
        <v>1.7777777777777779</v>
      </c>
      <c r="J34" s="100">
        <f>VLOOKUP(Con_ELC!$C34,Parsing!$C$20:$J$24,8,FALSE)</f>
        <v>10</v>
      </c>
      <c r="K34" s="124">
        <v>31.536000000000001</v>
      </c>
      <c r="L34" s="100">
        <v>1</v>
      </c>
      <c r="M34" s="202">
        <f>'Kalimantan Only'!K24/1000</f>
        <v>7.5000000000000002E-4</v>
      </c>
      <c r="N34" s="8">
        <f>'Kalimantan Only'!S24</f>
        <v>1996</v>
      </c>
      <c r="AA34" s="129" t="str">
        <f t="shared" si="1"/>
        <v>Exist_KS_0.8MW_OIL_UID2349</v>
      </c>
      <c r="AB34" s="131" t="str">
        <f>'Kalimantan Only'!B24</f>
        <v>Exist_KS_0.8MW_OIL_UID2349</v>
      </c>
      <c r="AC34" s="129" t="str">
        <f t="shared" si="2"/>
        <v>PJ</v>
      </c>
      <c r="AD34" s="129" t="str">
        <f t="shared" si="3"/>
        <v>GW</v>
      </c>
    </row>
    <row r="35" spans="2:30" ht="14">
      <c r="B35" s="28" t="str">
        <f>'Kalimantan Only'!B25</f>
        <v>Exist_KT_0.7MW_OIL_UID2350</v>
      </c>
      <c r="C35" s="28" t="str">
        <f>"ELC"&amp;'Kalimantan Only'!Q25</f>
        <v>ELCOIL</v>
      </c>
      <c r="D35" s="28" t="str">
        <f t="shared" si="0"/>
        <v>ELC</v>
      </c>
      <c r="E35" s="100">
        <f>'Kalimantan Only'!V25</f>
        <v>0.31338197955563979</v>
      </c>
      <c r="F35" s="100">
        <f>VLOOKUP(Con_ELC!$C35,Parsing!$C$20:$J$24,4,FALSE)</f>
        <v>0.5</v>
      </c>
      <c r="G35" s="99"/>
      <c r="H35" s="100">
        <f>VLOOKUP(Con_ELC!$C35,Parsing!$C$20:$J$24,6,FALSE)</f>
        <v>8</v>
      </c>
      <c r="I35" s="100">
        <f>VLOOKUP(Con_ELC!$C35,Parsing!$C$20:$J$24,7,FALSE)</f>
        <v>1.7777777777777779</v>
      </c>
      <c r="J35" s="100">
        <f>VLOOKUP(Con_ELC!$C35,Parsing!$C$20:$J$24,8,FALSE)</f>
        <v>10</v>
      </c>
      <c r="K35" s="124">
        <v>31.536000000000001</v>
      </c>
      <c r="L35" s="100">
        <v>1</v>
      </c>
      <c r="M35" s="202">
        <f>'Kalimantan Only'!K25/1000</f>
        <v>6.4999999999999997E-4</v>
      </c>
      <c r="N35" s="8">
        <f>'Kalimantan Only'!S25</f>
        <v>1996</v>
      </c>
      <c r="AA35" s="129" t="str">
        <f t="shared" si="1"/>
        <v>Exist_KT_0.7MW_OIL_UID2350</v>
      </c>
      <c r="AB35" s="131" t="str">
        <f>'Kalimantan Only'!B25</f>
        <v>Exist_KT_0.7MW_OIL_UID2350</v>
      </c>
      <c r="AC35" s="129" t="str">
        <f t="shared" si="2"/>
        <v>PJ</v>
      </c>
      <c r="AD35" s="129" t="str">
        <f t="shared" si="3"/>
        <v>GW</v>
      </c>
    </row>
    <row r="36" spans="2:30" ht="14">
      <c r="B36" s="28" t="str">
        <f>'Kalimantan Only'!B26</f>
        <v>Exist_KT_0.8MW_OIL_UID2353</v>
      </c>
      <c r="C36" s="28" t="str">
        <f>"ELC"&amp;'Kalimantan Only'!Q26</f>
        <v>ELCOIL</v>
      </c>
      <c r="D36" s="28" t="str">
        <f t="shared" si="0"/>
        <v>ELC</v>
      </c>
      <c r="E36" s="100">
        <f>'Kalimantan Only'!V26</f>
        <v>0.31338197955563979</v>
      </c>
      <c r="F36" s="100">
        <f>VLOOKUP(Con_ELC!$C36,Parsing!$C$20:$J$24,4,FALSE)</f>
        <v>0.5</v>
      </c>
      <c r="G36" s="99"/>
      <c r="H36" s="100">
        <f>VLOOKUP(Con_ELC!$C36,Parsing!$C$20:$J$24,6,FALSE)</f>
        <v>8</v>
      </c>
      <c r="I36" s="100">
        <f>VLOOKUP(Con_ELC!$C36,Parsing!$C$20:$J$24,7,FALSE)</f>
        <v>1.7777777777777779</v>
      </c>
      <c r="J36" s="100">
        <f>VLOOKUP(Con_ELC!$C36,Parsing!$C$20:$J$24,8,FALSE)</f>
        <v>10</v>
      </c>
      <c r="K36" s="124">
        <v>31.536000000000001</v>
      </c>
      <c r="L36" s="100">
        <v>1</v>
      </c>
      <c r="M36" s="202">
        <f>'Kalimantan Only'!K26/1000</f>
        <v>7.5000000000000002E-4</v>
      </c>
      <c r="N36" s="8">
        <f>'Kalimantan Only'!S26</f>
        <v>2004</v>
      </c>
      <c r="AA36" s="129" t="str">
        <f t="shared" si="1"/>
        <v>Exist_KT_0.8MW_OIL_UID2353</v>
      </c>
      <c r="AB36" s="131" t="str">
        <f>'Kalimantan Only'!B26</f>
        <v>Exist_KT_0.8MW_OIL_UID2353</v>
      </c>
      <c r="AC36" s="129" t="str">
        <f t="shared" si="2"/>
        <v>PJ</v>
      </c>
      <c r="AD36" s="129" t="str">
        <f t="shared" si="3"/>
        <v>GW</v>
      </c>
    </row>
    <row r="37" spans="2:30" ht="14">
      <c r="B37" s="28" t="str">
        <f>'Kalimantan Only'!B27</f>
        <v>Exist_KI_5MW_OIL_UID2360</v>
      </c>
      <c r="C37" s="28" t="str">
        <f>"ELC"&amp;'Kalimantan Only'!Q27</f>
        <v>ELCOIL</v>
      </c>
      <c r="D37" s="28" t="str">
        <f t="shared" si="0"/>
        <v>ELC</v>
      </c>
      <c r="E37" s="100">
        <f>'Kalimantan Only'!V27</f>
        <v>0.31338197955563979</v>
      </c>
      <c r="F37" s="100">
        <f>VLOOKUP(Con_ELC!$C37,Parsing!$C$20:$J$24,4,FALSE)</f>
        <v>0.5</v>
      </c>
      <c r="G37" s="99"/>
      <c r="H37" s="100">
        <f>VLOOKUP(Con_ELC!$C37,Parsing!$C$20:$J$24,6,FALSE)</f>
        <v>8</v>
      </c>
      <c r="I37" s="100">
        <f>VLOOKUP(Con_ELC!$C37,Parsing!$C$20:$J$24,7,FALSE)</f>
        <v>1.7777777777777779</v>
      </c>
      <c r="J37" s="100">
        <f>VLOOKUP(Con_ELC!$C37,Parsing!$C$20:$J$24,8,FALSE)</f>
        <v>10</v>
      </c>
      <c r="K37" s="124">
        <v>31.536000000000001</v>
      </c>
      <c r="L37" s="100">
        <v>1</v>
      </c>
      <c r="M37" s="202">
        <f>'Kalimantan Only'!K27/1000</f>
        <v>5.0000000000000001E-3</v>
      </c>
      <c r="N37" s="8">
        <f>'Kalimantan Only'!S27</f>
        <v>1993</v>
      </c>
      <c r="AA37" s="129" t="str">
        <f t="shared" si="1"/>
        <v>Exist_KI_5MW_OIL_UID2360</v>
      </c>
      <c r="AB37" s="131" t="str">
        <f>'Kalimantan Only'!B27</f>
        <v>Exist_KI_5MW_OIL_UID2360</v>
      </c>
      <c r="AC37" s="129" t="str">
        <f t="shared" si="2"/>
        <v>PJ</v>
      </c>
      <c r="AD37" s="129" t="str">
        <f t="shared" si="3"/>
        <v>GW</v>
      </c>
    </row>
    <row r="38" spans="2:30" ht="14">
      <c r="B38" s="28" t="str">
        <f>'Kalimantan Only'!B28</f>
        <v>Exist_KI_0.5MW_OIL_UID2365</v>
      </c>
      <c r="C38" s="28" t="str">
        <f>"ELC"&amp;'Kalimantan Only'!Q28</f>
        <v>ELCOIL</v>
      </c>
      <c r="D38" s="28" t="str">
        <f t="shared" si="0"/>
        <v>ELC</v>
      </c>
      <c r="E38" s="100">
        <f>'Kalimantan Only'!V28</f>
        <v>0.31338197955563979</v>
      </c>
      <c r="F38" s="100">
        <f>VLOOKUP(Con_ELC!$C38,Parsing!$C$20:$J$24,4,FALSE)</f>
        <v>0.5</v>
      </c>
      <c r="G38" s="99"/>
      <c r="H38" s="100">
        <f>VLOOKUP(Con_ELC!$C38,Parsing!$C$20:$J$24,6,FALSE)</f>
        <v>8</v>
      </c>
      <c r="I38" s="100">
        <f>VLOOKUP(Con_ELC!$C38,Parsing!$C$20:$J$24,7,FALSE)</f>
        <v>1.7777777777777779</v>
      </c>
      <c r="J38" s="100">
        <f>VLOOKUP(Con_ELC!$C38,Parsing!$C$20:$J$24,8,FALSE)</f>
        <v>10</v>
      </c>
      <c r="K38" s="124">
        <v>31.536000000000001</v>
      </c>
      <c r="L38" s="100">
        <v>1</v>
      </c>
      <c r="M38" s="202">
        <f>'Kalimantan Only'!K28/1000</f>
        <v>5.0000000000000001E-4</v>
      </c>
      <c r="N38" s="8">
        <f>'Kalimantan Only'!S28</f>
        <v>2003</v>
      </c>
      <c r="AA38" s="129" t="str">
        <f t="shared" si="1"/>
        <v>Exist_KI_0.5MW_OIL_UID2365</v>
      </c>
      <c r="AB38" s="131" t="str">
        <f>'Kalimantan Only'!B28</f>
        <v>Exist_KI_0.5MW_OIL_UID2365</v>
      </c>
      <c r="AC38" s="129" t="str">
        <f t="shared" si="2"/>
        <v>PJ</v>
      </c>
      <c r="AD38" s="129" t="str">
        <f t="shared" si="3"/>
        <v>GW</v>
      </c>
    </row>
    <row r="39" spans="2:30" ht="14">
      <c r="B39" s="28" t="str">
        <f>'Kalimantan Only'!B29</f>
        <v>Exist_KI_0.5MW_OIL_UID2366</v>
      </c>
      <c r="C39" s="28" t="str">
        <f>"ELC"&amp;'Kalimantan Only'!Q29</f>
        <v>ELCOIL</v>
      </c>
      <c r="D39" s="28" t="str">
        <f t="shared" si="0"/>
        <v>ELC</v>
      </c>
      <c r="E39" s="100">
        <f>'Kalimantan Only'!V29</f>
        <v>0.31338197955563979</v>
      </c>
      <c r="F39" s="100">
        <f>VLOOKUP(Con_ELC!$C39,Parsing!$C$20:$J$24,4,FALSE)</f>
        <v>0.5</v>
      </c>
      <c r="G39" s="99"/>
      <c r="H39" s="100">
        <f>VLOOKUP(Con_ELC!$C39,Parsing!$C$20:$J$24,6,FALSE)</f>
        <v>8</v>
      </c>
      <c r="I39" s="100">
        <f>VLOOKUP(Con_ELC!$C39,Parsing!$C$20:$J$24,7,FALSE)</f>
        <v>1.7777777777777779</v>
      </c>
      <c r="J39" s="100">
        <f>VLOOKUP(Con_ELC!$C39,Parsing!$C$20:$J$24,8,FALSE)</f>
        <v>10</v>
      </c>
      <c r="K39" s="124">
        <v>31.536000000000001</v>
      </c>
      <c r="L39" s="100">
        <v>1</v>
      </c>
      <c r="M39" s="202">
        <f>'Kalimantan Only'!K29/1000</f>
        <v>5.0000000000000001E-4</v>
      </c>
      <c r="N39" s="8">
        <f>'Kalimantan Only'!S29</f>
        <v>2003</v>
      </c>
      <c r="AA39" s="129" t="str">
        <f t="shared" si="1"/>
        <v>Exist_KI_0.5MW_OIL_UID2366</v>
      </c>
      <c r="AB39" s="131" t="str">
        <f>'Kalimantan Only'!B29</f>
        <v>Exist_KI_0.5MW_OIL_UID2366</v>
      </c>
      <c r="AC39" s="129" t="str">
        <f t="shared" si="2"/>
        <v>PJ</v>
      </c>
      <c r="AD39" s="129" t="str">
        <f t="shared" si="3"/>
        <v>GW</v>
      </c>
    </row>
    <row r="40" spans="2:30" ht="14">
      <c r="B40" s="28" t="str">
        <f>'Kalimantan Only'!B30</f>
        <v>Exist_KI_0.5MW_OIL_UID2367</v>
      </c>
      <c r="C40" s="28" t="str">
        <f>"ELC"&amp;'Kalimantan Only'!Q30</f>
        <v>ELCOIL</v>
      </c>
      <c r="D40" s="28" t="str">
        <f t="shared" si="0"/>
        <v>ELC</v>
      </c>
      <c r="E40" s="100">
        <f>'Kalimantan Only'!V30</f>
        <v>0.31338197955563979</v>
      </c>
      <c r="F40" s="100">
        <f>VLOOKUP(Con_ELC!$C40,Parsing!$C$20:$J$24,4,FALSE)</f>
        <v>0.5</v>
      </c>
      <c r="G40" s="99"/>
      <c r="H40" s="100">
        <f>VLOOKUP(Con_ELC!$C40,Parsing!$C$20:$J$24,6,FALSE)</f>
        <v>8</v>
      </c>
      <c r="I40" s="100">
        <f>VLOOKUP(Con_ELC!$C40,Parsing!$C$20:$J$24,7,FALSE)</f>
        <v>1.7777777777777779</v>
      </c>
      <c r="J40" s="100">
        <f>VLOOKUP(Con_ELC!$C40,Parsing!$C$20:$J$24,8,FALSE)</f>
        <v>10</v>
      </c>
      <c r="K40" s="124">
        <v>31.536000000000001</v>
      </c>
      <c r="L40" s="100">
        <v>1</v>
      </c>
      <c r="M40" s="202">
        <f>'Kalimantan Only'!K30/1000</f>
        <v>5.0000000000000001E-4</v>
      </c>
      <c r="N40" s="8">
        <f>'Kalimantan Only'!S30</f>
        <v>2003</v>
      </c>
      <c r="AA40" s="129" t="str">
        <f t="shared" si="1"/>
        <v>Exist_KI_0.5MW_OIL_UID2367</v>
      </c>
      <c r="AB40" s="131" t="str">
        <f>'Kalimantan Only'!B30</f>
        <v>Exist_KI_0.5MW_OIL_UID2367</v>
      </c>
      <c r="AC40" s="129" t="str">
        <f t="shared" si="2"/>
        <v>PJ</v>
      </c>
      <c r="AD40" s="129" t="str">
        <f t="shared" si="3"/>
        <v>GW</v>
      </c>
    </row>
    <row r="41" spans="2:30" ht="14">
      <c r="B41" s="28" t="str">
        <f>'Kalimantan Only'!B31</f>
        <v>Exist_KI_0.5MW_OIL_UID2368</v>
      </c>
      <c r="C41" s="28" t="str">
        <f>"ELC"&amp;'Kalimantan Only'!Q31</f>
        <v>ELCOIL</v>
      </c>
      <c r="D41" s="28" t="str">
        <f t="shared" si="0"/>
        <v>ELC</v>
      </c>
      <c r="E41" s="100">
        <f>'Kalimantan Only'!V31</f>
        <v>0.31338197955563979</v>
      </c>
      <c r="F41" s="100">
        <f>VLOOKUP(Con_ELC!$C41,Parsing!$C$20:$J$24,4,FALSE)</f>
        <v>0.5</v>
      </c>
      <c r="G41" s="99"/>
      <c r="H41" s="100">
        <f>VLOOKUP(Con_ELC!$C41,Parsing!$C$20:$J$24,6,FALSE)</f>
        <v>8</v>
      </c>
      <c r="I41" s="100">
        <f>VLOOKUP(Con_ELC!$C41,Parsing!$C$20:$J$24,7,FALSE)</f>
        <v>1.7777777777777779</v>
      </c>
      <c r="J41" s="100">
        <f>VLOOKUP(Con_ELC!$C41,Parsing!$C$20:$J$24,8,FALSE)</f>
        <v>10</v>
      </c>
      <c r="K41" s="124">
        <v>31.536000000000001</v>
      </c>
      <c r="L41" s="100">
        <v>1</v>
      </c>
      <c r="M41" s="202">
        <f>'Kalimantan Only'!K31/1000</f>
        <v>5.0000000000000001E-4</v>
      </c>
      <c r="N41" s="8">
        <f>'Kalimantan Only'!S31</f>
        <v>2003</v>
      </c>
      <c r="AA41" s="129" t="str">
        <f t="shared" si="1"/>
        <v>Exist_KI_0.5MW_OIL_UID2368</v>
      </c>
      <c r="AB41" s="131" t="str">
        <f>'Kalimantan Only'!B31</f>
        <v>Exist_KI_0.5MW_OIL_UID2368</v>
      </c>
      <c r="AC41" s="129" t="str">
        <f t="shared" si="2"/>
        <v>PJ</v>
      </c>
      <c r="AD41" s="129" t="str">
        <f t="shared" si="3"/>
        <v>GW</v>
      </c>
    </row>
    <row r="42" spans="2:30" ht="14">
      <c r="B42" s="28" t="str">
        <f>'Kalimantan Only'!B32</f>
        <v>Exist_KI_5.5MW_GAS_UID2369</v>
      </c>
      <c r="C42" s="28" t="str">
        <f>"ELC"&amp;'Kalimantan Only'!Q32</f>
        <v>ELCGAS</v>
      </c>
      <c r="D42" s="28" t="str">
        <f t="shared" si="0"/>
        <v>ELC</v>
      </c>
      <c r="E42" s="100">
        <f>'Kalimantan Only'!V32</f>
        <v>0.29874067698209689</v>
      </c>
      <c r="F42" s="100">
        <f>VLOOKUP(Con_ELC!$C42,Parsing!$C$20:$J$24,4,FALSE)</f>
        <v>0.85000000000000009</v>
      </c>
      <c r="G42" s="99"/>
      <c r="H42" s="100">
        <f>VLOOKUP(Con_ELC!$C42,Parsing!$C$20:$J$24,6,FALSE)</f>
        <v>23.2</v>
      </c>
      <c r="I42" s="100">
        <f>VLOOKUP(Con_ELC!$C42,Parsing!$C$20:$J$24,7,FALSE)</f>
        <v>0</v>
      </c>
      <c r="J42" s="100">
        <f>VLOOKUP(Con_ELC!$C42,Parsing!$C$20:$J$24,8,FALSE)</f>
        <v>20</v>
      </c>
      <c r="K42" s="124">
        <v>31.536000000000001</v>
      </c>
      <c r="L42" s="100">
        <v>1</v>
      </c>
      <c r="M42" s="202">
        <f>'Kalimantan Only'!K32/1000</f>
        <v>5.4999999999999997E-3</v>
      </c>
      <c r="N42" s="8">
        <f>'Kalimantan Only'!S32</f>
        <v>2009</v>
      </c>
      <c r="AA42" s="129" t="str">
        <f t="shared" si="1"/>
        <v>Exist_KI_5.5MW_GAS_UID2369</v>
      </c>
      <c r="AB42" s="131" t="str">
        <f>'Kalimantan Only'!B32</f>
        <v>Exist_KI_5.5MW_GAS_UID2369</v>
      </c>
      <c r="AC42" s="129" t="str">
        <f t="shared" si="2"/>
        <v>PJ</v>
      </c>
      <c r="AD42" s="129" t="str">
        <f t="shared" si="3"/>
        <v>GW</v>
      </c>
    </row>
    <row r="43" spans="2:30" ht="14">
      <c r="B43" s="28" t="str">
        <f>'Kalimantan Only'!B33</f>
        <v>Exist_KI_5.5MW_GAS_UID2370</v>
      </c>
      <c r="C43" s="28" t="str">
        <f>"ELC"&amp;'Kalimantan Only'!Q33</f>
        <v>ELCGAS</v>
      </c>
      <c r="D43" s="28" t="str">
        <f t="shared" si="0"/>
        <v>ELC</v>
      </c>
      <c r="E43" s="100">
        <f>'Kalimantan Only'!V33</f>
        <v>0.29874067698209689</v>
      </c>
      <c r="F43" s="100">
        <f>VLOOKUP(Con_ELC!$C43,Parsing!$C$20:$J$24,4,FALSE)</f>
        <v>0.85000000000000009</v>
      </c>
      <c r="G43" s="99"/>
      <c r="H43" s="100">
        <f>VLOOKUP(Con_ELC!$C43,Parsing!$C$20:$J$24,6,FALSE)</f>
        <v>23.2</v>
      </c>
      <c r="I43" s="100">
        <f>VLOOKUP(Con_ELC!$C43,Parsing!$C$20:$J$24,7,FALSE)</f>
        <v>0</v>
      </c>
      <c r="J43" s="100">
        <f>VLOOKUP(Con_ELC!$C43,Parsing!$C$20:$J$24,8,FALSE)</f>
        <v>20</v>
      </c>
      <c r="K43" s="124">
        <v>31.536000000000001</v>
      </c>
      <c r="L43" s="100">
        <v>1</v>
      </c>
      <c r="M43" s="202">
        <f>'Kalimantan Only'!K33/1000</f>
        <v>5.4999999999999997E-3</v>
      </c>
      <c r="N43" s="8">
        <f>'Kalimantan Only'!S33</f>
        <v>2009</v>
      </c>
      <c r="AA43" s="129" t="str">
        <f t="shared" si="1"/>
        <v>Exist_KI_5.5MW_GAS_UID2370</v>
      </c>
      <c r="AB43" s="131" t="str">
        <f>'Kalimantan Only'!B33</f>
        <v>Exist_KI_5.5MW_GAS_UID2370</v>
      </c>
      <c r="AC43" s="129" t="str">
        <f t="shared" si="2"/>
        <v>PJ</v>
      </c>
      <c r="AD43" s="129" t="str">
        <f t="shared" si="3"/>
        <v>GW</v>
      </c>
    </row>
    <row r="44" spans="2:30" ht="14">
      <c r="B44" s="28" t="str">
        <f>'Kalimantan Only'!B34</f>
        <v>Exist_KI_7.5MW_GAS_UID2371</v>
      </c>
      <c r="C44" s="28" t="str">
        <f>"ELC"&amp;'Kalimantan Only'!Q34</f>
        <v>ELCGAS</v>
      </c>
      <c r="D44" s="28" t="str">
        <f t="shared" si="0"/>
        <v>ELC</v>
      </c>
      <c r="E44" s="100">
        <f>'Kalimantan Only'!V34</f>
        <v>0.30140634976367026</v>
      </c>
      <c r="F44" s="100">
        <f>VLOOKUP(Con_ELC!$C44,Parsing!$C$20:$J$24,4,FALSE)</f>
        <v>0.85000000000000009</v>
      </c>
      <c r="G44" s="99"/>
      <c r="H44" s="100">
        <f>VLOOKUP(Con_ELC!$C44,Parsing!$C$20:$J$24,6,FALSE)</f>
        <v>23.2</v>
      </c>
      <c r="I44" s="100">
        <f>VLOOKUP(Con_ELC!$C44,Parsing!$C$20:$J$24,7,FALSE)</f>
        <v>0</v>
      </c>
      <c r="J44" s="100">
        <f>VLOOKUP(Con_ELC!$C44,Parsing!$C$20:$J$24,8,FALSE)</f>
        <v>20</v>
      </c>
      <c r="K44" s="124">
        <v>31.536000000000001</v>
      </c>
      <c r="L44" s="100">
        <v>1</v>
      </c>
      <c r="M44" s="202">
        <f>'Kalimantan Only'!K34/1000</f>
        <v>7.4999999999999997E-3</v>
      </c>
      <c r="N44" s="8">
        <f>'Kalimantan Only'!S34</f>
        <v>2018</v>
      </c>
      <c r="AA44" s="129" t="str">
        <f t="shared" si="1"/>
        <v>Exist_KI_7.5MW_GAS_UID2371</v>
      </c>
      <c r="AB44" s="131" t="str">
        <f>'Kalimantan Only'!B34</f>
        <v>Exist_KI_7.5MW_GAS_UID2371</v>
      </c>
      <c r="AC44" s="129" t="str">
        <f t="shared" si="2"/>
        <v>PJ</v>
      </c>
      <c r="AD44" s="129" t="str">
        <f t="shared" si="3"/>
        <v>GW</v>
      </c>
    </row>
    <row r="45" spans="2:30" ht="14">
      <c r="B45" s="28" t="str">
        <f>'Kalimantan Only'!B35</f>
        <v>Exist_KI_7.5MW_GAS_UID2372</v>
      </c>
      <c r="C45" s="28" t="str">
        <f>"ELC"&amp;'Kalimantan Only'!Q35</f>
        <v>ELCGAS</v>
      </c>
      <c r="D45" s="28" t="str">
        <f t="shared" si="0"/>
        <v>ELC</v>
      </c>
      <c r="E45" s="100">
        <f>'Kalimantan Only'!V35</f>
        <v>0.30140634976367026</v>
      </c>
      <c r="F45" s="100">
        <f>VLOOKUP(Con_ELC!$C45,Parsing!$C$20:$J$24,4,FALSE)</f>
        <v>0.85000000000000009</v>
      </c>
      <c r="G45" s="99"/>
      <c r="H45" s="100">
        <f>VLOOKUP(Con_ELC!$C45,Parsing!$C$20:$J$24,6,FALSE)</f>
        <v>23.2</v>
      </c>
      <c r="I45" s="100">
        <f>VLOOKUP(Con_ELC!$C45,Parsing!$C$20:$J$24,7,FALSE)</f>
        <v>0</v>
      </c>
      <c r="J45" s="100">
        <f>VLOOKUP(Con_ELC!$C45,Parsing!$C$20:$J$24,8,FALSE)</f>
        <v>20</v>
      </c>
      <c r="K45" s="124">
        <v>31.536000000000001</v>
      </c>
      <c r="L45" s="100">
        <v>1</v>
      </c>
      <c r="M45" s="202">
        <f>'Kalimantan Only'!K35/1000</f>
        <v>7.4999999999999997E-3</v>
      </c>
      <c r="N45" s="8">
        <f>'Kalimantan Only'!S35</f>
        <v>2018</v>
      </c>
      <c r="AA45" s="129" t="str">
        <f t="shared" si="1"/>
        <v>Exist_KI_7.5MW_GAS_UID2372</v>
      </c>
      <c r="AB45" s="131" t="str">
        <f>'Kalimantan Only'!B35</f>
        <v>Exist_KI_7.5MW_GAS_UID2372</v>
      </c>
      <c r="AC45" s="129" t="str">
        <f t="shared" si="2"/>
        <v>PJ</v>
      </c>
      <c r="AD45" s="129" t="str">
        <f t="shared" si="3"/>
        <v>GW</v>
      </c>
    </row>
    <row r="46" spans="2:30" ht="14">
      <c r="B46" s="28" t="str">
        <f>'Kalimantan Only'!B36</f>
        <v>Exist_KI_7.5MW_GAS_UID2373</v>
      </c>
      <c r="C46" s="28" t="str">
        <f>"ELC"&amp;'Kalimantan Only'!Q36</f>
        <v>ELCGAS</v>
      </c>
      <c r="D46" s="28" t="str">
        <f t="shared" si="0"/>
        <v>ELC</v>
      </c>
      <c r="E46" s="100">
        <f>'Kalimantan Only'!V36</f>
        <v>0.30140634976367026</v>
      </c>
      <c r="F46" s="100">
        <f>VLOOKUP(Con_ELC!$C46,Parsing!$C$20:$J$24,4,FALSE)</f>
        <v>0.85000000000000009</v>
      </c>
      <c r="G46" s="99"/>
      <c r="H46" s="100">
        <f>VLOOKUP(Con_ELC!$C46,Parsing!$C$20:$J$24,6,FALSE)</f>
        <v>23.2</v>
      </c>
      <c r="I46" s="100">
        <f>VLOOKUP(Con_ELC!$C46,Parsing!$C$20:$J$24,7,FALSE)</f>
        <v>0</v>
      </c>
      <c r="J46" s="100">
        <f>VLOOKUP(Con_ELC!$C46,Parsing!$C$20:$J$24,8,FALSE)</f>
        <v>20</v>
      </c>
      <c r="K46" s="124">
        <v>31.536000000000001</v>
      </c>
      <c r="L46" s="100">
        <v>1</v>
      </c>
      <c r="M46" s="202">
        <f>'Kalimantan Only'!K36/1000</f>
        <v>7.4999999999999997E-3</v>
      </c>
      <c r="N46" s="8">
        <f>'Kalimantan Only'!S36</f>
        <v>2018</v>
      </c>
      <c r="AA46" s="129" t="str">
        <f t="shared" si="1"/>
        <v>Exist_KI_7.5MW_GAS_UID2373</v>
      </c>
      <c r="AB46" s="131" t="str">
        <f>'Kalimantan Only'!B36</f>
        <v>Exist_KI_7.5MW_GAS_UID2373</v>
      </c>
      <c r="AC46" s="129" t="str">
        <f t="shared" si="2"/>
        <v>PJ</v>
      </c>
      <c r="AD46" s="129" t="str">
        <f t="shared" si="3"/>
        <v>GW</v>
      </c>
    </row>
    <row r="47" spans="2:30" ht="14">
      <c r="B47" s="28" t="str">
        <f>'Kalimantan Only'!B37</f>
        <v>Exist_KI_7.5MW_GAS_UID2374</v>
      </c>
      <c r="C47" s="28" t="str">
        <f>"ELC"&amp;'Kalimantan Only'!Q37</f>
        <v>ELCGAS</v>
      </c>
      <c r="D47" s="28" t="str">
        <f t="shared" si="0"/>
        <v>ELC</v>
      </c>
      <c r="E47" s="100">
        <f>'Kalimantan Only'!V37</f>
        <v>0.29380910656554976</v>
      </c>
      <c r="F47" s="100">
        <f>VLOOKUP(Con_ELC!$C47,Parsing!$C$20:$J$24,4,FALSE)</f>
        <v>0.85000000000000009</v>
      </c>
      <c r="G47" s="99"/>
      <c r="H47" s="100">
        <f>VLOOKUP(Con_ELC!$C47,Parsing!$C$20:$J$24,6,FALSE)</f>
        <v>23.2</v>
      </c>
      <c r="I47" s="100">
        <f>VLOOKUP(Con_ELC!$C47,Parsing!$C$20:$J$24,7,FALSE)</f>
        <v>0</v>
      </c>
      <c r="J47" s="100">
        <f>VLOOKUP(Con_ELC!$C47,Parsing!$C$20:$J$24,8,FALSE)</f>
        <v>20</v>
      </c>
      <c r="K47" s="124">
        <v>31.536000000000001</v>
      </c>
      <c r="L47" s="100">
        <v>1</v>
      </c>
      <c r="M47" s="202">
        <f>'Kalimantan Only'!K37/1000</f>
        <v>7.4999999999999997E-3</v>
      </c>
      <c r="N47" s="8">
        <f>'Kalimantan Only'!S37</f>
        <v>2017</v>
      </c>
      <c r="AA47" s="129" t="str">
        <f t="shared" si="1"/>
        <v>Exist_KI_7.5MW_GAS_UID2374</v>
      </c>
      <c r="AB47" s="131" t="str">
        <f>'Kalimantan Only'!B37</f>
        <v>Exist_KI_7.5MW_GAS_UID2374</v>
      </c>
      <c r="AC47" s="129" t="str">
        <f t="shared" si="2"/>
        <v>PJ</v>
      </c>
      <c r="AD47" s="129" t="str">
        <f t="shared" si="3"/>
        <v>GW</v>
      </c>
    </row>
    <row r="48" spans="2:30" ht="14">
      <c r="B48" s="28" t="str">
        <f>'Kalimantan Only'!B38</f>
        <v>Exist_KI_100MW_COA_UID2384</v>
      </c>
      <c r="C48" s="28" t="str">
        <f>"ELC"&amp;'Kalimantan Only'!Q38</f>
        <v>ELCCOA</v>
      </c>
      <c r="D48" s="28" t="str">
        <f t="shared" si="0"/>
        <v>ELC</v>
      </c>
      <c r="E48" s="100">
        <f>'Kalimantan Only'!V38</f>
        <v>0.32205389588937661</v>
      </c>
      <c r="F48" s="100">
        <f>VLOOKUP(Con_ELC!$C48,Parsing!$C$20:$J$24,4,FALSE)</f>
        <v>0.84999999999999976</v>
      </c>
      <c r="G48" s="99"/>
      <c r="H48" s="100">
        <f>VLOOKUP(Con_ELC!$C48,Parsing!$C$20:$J$24,6,FALSE)</f>
        <v>56</v>
      </c>
      <c r="I48" s="100">
        <f>VLOOKUP(Con_ELC!$C48,Parsing!$C$20:$J$24,7,FALSE)</f>
        <v>4.4444444444444446E-2</v>
      </c>
      <c r="J48" s="100">
        <f>VLOOKUP(Con_ELC!$C48,Parsing!$C$20:$J$24,8,FALSE)</f>
        <v>25</v>
      </c>
      <c r="K48" s="124">
        <v>31.536000000000001</v>
      </c>
      <c r="L48" s="100">
        <v>1</v>
      </c>
      <c r="M48" s="202">
        <f>'Kalimantan Only'!K38/1000</f>
        <v>0.1</v>
      </c>
      <c r="N48" s="8">
        <f>'Kalimantan Only'!S38</f>
        <v>2017</v>
      </c>
      <c r="AA48" s="129" t="str">
        <f t="shared" si="1"/>
        <v>Exist_KI_100MW_COA_UID2384</v>
      </c>
      <c r="AB48" s="131" t="str">
        <f>'Kalimantan Only'!B38</f>
        <v>Exist_KI_100MW_COA_UID2384</v>
      </c>
      <c r="AC48" s="129" t="str">
        <f t="shared" si="2"/>
        <v>PJ</v>
      </c>
      <c r="AD48" s="129" t="str">
        <f t="shared" si="3"/>
        <v>GW</v>
      </c>
    </row>
    <row r="49" spans="2:30" ht="14">
      <c r="B49" s="28" t="str">
        <f>'Kalimantan Only'!B39</f>
        <v>Exist_KI_100MW_COA_UID2385</v>
      </c>
      <c r="C49" s="28" t="str">
        <f>"ELC"&amp;'Kalimantan Only'!Q39</f>
        <v>ELCCOA</v>
      </c>
      <c r="D49" s="28" t="str">
        <f t="shared" si="0"/>
        <v>ELC</v>
      </c>
      <c r="E49" s="100">
        <f>'Kalimantan Only'!V39</f>
        <v>0.32205389588937661</v>
      </c>
      <c r="F49" s="100">
        <f>VLOOKUP(Con_ELC!$C49,Parsing!$C$20:$J$24,4,FALSE)</f>
        <v>0.84999999999999976</v>
      </c>
      <c r="G49" s="99"/>
      <c r="H49" s="100">
        <f>VLOOKUP(Con_ELC!$C49,Parsing!$C$20:$J$24,6,FALSE)</f>
        <v>56</v>
      </c>
      <c r="I49" s="100">
        <f>VLOOKUP(Con_ELC!$C49,Parsing!$C$20:$J$24,7,FALSE)</f>
        <v>4.4444444444444446E-2</v>
      </c>
      <c r="J49" s="100">
        <f>VLOOKUP(Con_ELC!$C49,Parsing!$C$20:$J$24,8,FALSE)</f>
        <v>25</v>
      </c>
      <c r="K49" s="124">
        <v>31.536000000000001</v>
      </c>
      <c r="L49" s="100">
        <v>1</v>
      </c>
      <c r="M49" s="202">
        <f>'Kalimantan Only'!K39/1000</f>
        <v>0.1</v>
      </c>
      <c r="N49" s="8">
        <f>'Kalimantan Only'!S39</f>
        <v>2017</v>
      </c>
      <c r="AA49" s="129" t="str">
        <f t="shared" si="1"/>
        <v>Exist_KI_100MW_COA_UID2385</v>
      </c>
      <c r="AB49" s="131" t="str">
        <f>'Kalimantan Only'!B39</f>
        <v>Exist_KI_100MW_COA_UID2385</v>
      </c>
      <c r="AC49" s="129" t="str">
        <f t="shared" si="2"/>
        <v>PJ</v>
      </c>
      <c r="AD49" s="129" t="str">
        <f t="shared" si="3"/>
        <v>GW</v>
      </c>
    </row>
    <row r="50" spans="2:30" ht="14">
      <c r="B50" s="28" t="str">
        <f>'Kalimantan Only'!B40</f>
        <v>Exist_KI_20MW_GAS_UID2386</v>
      </c>
      <c r="C50" s="28" t="str">
        <f>"ELC"&amp;'Kalimantan Only'!Q40</f>
        <v>ELCGAS</v>
      </c>
      <c r="D50" s="28" t="str">
        <f t="shared" si="0"/>
        <v>ELC</v>
      </c>
      <c r="E50" s="100">
        <f>'Kalimantan Only'!V40</f>
        <v>0.41835470600421965</v>
      </c>
      <c r="F50" s="100">
        <f>VLOOKUP(Con_ELC!$C50,Parsing!$C$20:$J$24,4,FALSE)</f>
        <v>0.85000000000000009</v>
      </c>
      <c r="G50" s="99"/>
      <c r="H50" s="100">
        <f>VLOOKUP(Con_ELC!$C50,Parsing!$C$20:$J$24,6,FALSE)</f>
        <v>23.2</v>
      </c>
      <c r="I50" s="100">
        <f>VLOOKUP(Con_ELC!$C50,Parsing!$C$20:$J$24,7,FALSE)</f>
        <v>0</v>
      </c>
      <c r="J50" s="100">
        <f>VLOOKUP(Con_ELC!$C50,Parsing!$C$20:$J$24,8,FALSE)</f>
        <v>20</v>
      </c>
      <c r="K50" s="124">
        <v>31.536000000000001</v>
      </c>
      <c r="L50" s="100">
        <v>1</v>
      </c>
      <c r="M50" s="202">
        <f>'Kalimantan Only'!K40/1000</f>
        <v>0.02</v>
      </c>
      <c r="N50" s="8">
        <f>'Kalimantan Only'!S40</f>
        <v>1997</v>
      </c>
      <c r="AA50" s="129" t="str">
        <f t="shared" si="1"/>
        <v>Exist_KI_20MW_GAS_UID2386</v>
      </c>
      <c r="AB50" s="131" t="str">
        <f>'Kalimantan Only'!B40</f>
        <v>Exist_KI_20MW_GAS_UID2386</v>
      </c>
      <c r="AC50" s="129" t="str">
        <f t="shared" si="2"/>
        <v>PJ</v>
      </c>
      <c r="AD50" s="129" t="str">
        <f t="shared" si="3"/>
        <v>GW</v>
      </c>
    </row>
    <row r="51" spans="2:30" ht="14">
      <c r="B51" s="28" t="str">
        <f>'Kalimantan Only'!B41</f>
        <v>Exist_KI_20MW_GAS_UID2387</v>
      </c>
      <c r="C51" s="28" t="str">
        <f>"ELC"&amp;'Kalimantan Only'!Q41</f>
        <v>ELCGAS</v>
      </c>
      <c r="D51" s="28" t="str">
        <f t="shared" si="0"/>
        <v>ELC</v>
      </c>
      <c r="E51" s="100">
        <f>'Kalimantan Only'!V41</f>
        <v>0.41835470600421965</v>
      </c>
      <c r="F51" s="100">
        <f>VLOOKUP(Con_ELC!$C51,Parsing!$C$20:$J$24,4,FALSE)</f>
        <v>0.85000000000000009</v>
      </c>
      <c r="G51" s="99"/>
      <c r="H51" s="100">
        <f>VLOOKUP(Con_ELC!$C51,Parsing!$C$20:$J$24,6,FALSE)</f>
        <v>23.2</v>
      </c>
      <c r="I51" s="100">
        <f>VLOOKUP(Con_ELC!$C51,Parsing!$C$20:$J$24,7,FALSE)</f>
        <v>0</v>
      </c>
      <c r="J51" s="100">
        <f>VLOOKUP(Con_ELC!$C51,Parsing!$C$20:$J$24,8,FALSE)</f>
        <v>20</v>
      </c>
      <c r="K51" s="124">
        <v>31.536000000000001</v>
      </c>
      <c r="L51" s="100">
        <v>1</v>
      </c>
      <c r="M51" s="202">
        <f>'Kalimantan Only'!K41/1000</f>
        <v>0.02</v>
      </c>
      <c r="N51" s="8">
        <f>'Kalimantan Only'!S41</f>
        <v>1997</v>
      </c>
      <c r="AA51" s="129" t="str">
        <f t="shared" si="1"/>
        <v>Exist_KI_20MW_GAS_UID2387</v>
      </c>
      <c r="AB51" s="131" t="str">
        <f>'Kalimantan Only'!B41</f>
        <v>Exist_KI_20MW_GAS_UID2387</v>
      </c>
      <c r="AC51" s="129" t="str">
        <f t="shared" si="2"/>
        <v>PJ</v>
      </c>
      <c r="AD51" s="129" t="str">
        <f t="shared" si="3"/>
        <v>GW</v>
      </c>
    </row>
    <row r="52" spans="2:30" ht="14">
      <c r="B52" s="28" t="str">
        <f>'Kalimantan Only'!B42</f>
        <v>Exist_KI_14MW_GAS_UID2388</v>
      </c>
      <c r="C52" s="28" t="str">
        <f>"ELC"&amp;'Kalimantan Only'!Q42</f>
        <v>ELCGAS</v>
      </c>
      <c r="D52" s="28" t="str">
        <f t="shared" si="0"/>
        <v>ELC</v>
      </c>
      <c r="E52" s="100">
        <f>'Kalimantan Only'!V42</f>
        <v>0.37627511165842636</v>
      </c>
      <c r="F52" s="100">
        <f>VLOOKUP(Con_ELC!$C52,Parsing!$C$20:$J$24,4,FALSE)</f>
        <v>0.85000000000000009</v>
      </c>
      <c r="G52" s="99"/>
      <c r="H52" s="100">
        <f>VLOOKUP(Con_ELC!$C52,Parsing!$C$20:$J$24,6,FALSE)</f>
        <v>23.2</v>
      </c>
      <c r="I52" s="100">
        <f>VLOOKUP(Con_ELC!$C52,Parsing!$C$20:$J$24,7,FALSE)</f>
        <v>0</v>
      </c>
      <c r="J52" s="100">
        <f>VLOOKUP(Con_ELC!$C52,Parsing!$C$20:$J$24,8,FALSE)</f>
        <v>20</v>
      </c>
      <c r="K52" s="124">
        <v>31.536000000000001</v>
      </c>
      <c r="L52" s="100">
        <v>1</v>
      </c>
      <c r="M52" s="202">
        <f>'Kalimantan Only'!K42/1000</f>
        <v>1.4E-2</v>
      </c>
      <c r="N52" s="8">
        <f>'Kalimantan Only'!S42</f>
        <v>1998</v>
      </c>
      <c r="AA52" s="129" t="str">
        <f t="shared" si="1"/>
        <v>Exist_KI_14MW_GAS_UID2388</v>
      </c>
      <c r="AB52" s="131" t="str">
        <f>'Kalimantan Only'!B42</f>
        <v>Exist_KI_14MW_GAS_UID2388</v>
      </c>
      <c r="AC52" s="129" t="str">
        <f t="shared" si="2"/>
        <v>PJ</v>
      </c>
      <c r="AD52" s="129" t="str">
        <f t="shared" si="3"/>
        <v>GW</v>
      </c>
    </row>
    <row r="53" spans="2:30" ht="14">
      <c r="B53" s="28" t="str">
        <f>'Kalimantan Only'!B43</f>
        <v>Exist_KI_65MW_GAS_UID2389</v>
      </c>
      <c r="C53" s="28" t="str">
        <f>"ELC"&amp;'Kalimantan Only'!Q43</f>
        <v>ELCGAS</v>
      </c>
      <c r="D53" s="28" t="str">
        <f t="shared" si="0"/>
        <v>ELC</v>
      </c>
      <c r="E53" s="100">
        <f>'Kalimantan Only'!V43</f>
        <v>0.27368854818237726</v>
      </c>
      <c r="F53" s="100">
        <f>VLOOKUP(Con_ELC!$C53,Parsing!$C$20:$J$24,4,FALSE)</f>
        <v>0.85000000000000009</v>
      </c>
      <c r="G53" s="99"/>
      <c r="H53" s="100">
        <f>VLOOKUP(Con_ELC!$C53,Parsing!$C$20:$J$24,6,FALSE)</f>
        <v>23.2</v>
      </c>
      <c r="I53" s="100">
        <f>VLOOKUP(Con_ELC!$C53,Parsing!$C$20:$J$24,7,FALSE)</f>
        <v>0</v>
      </c>
      <c r="J53" s="100">
        <f>VLOOKUP(Con_ELC!$C53,Parsing!$C$20:$J$24,8,FALSE)</f>
        <v>20</v>
      </c>
      <c r="K53" s="124">
        <v>31.536000000000001</v>
      </c>
      <c r="L53" s="100">
        <v>1</v>
      </c>
      <c r="M53" s="202">
        <f>'Kalimantan Only'!K43/1000</f>
        <v>6.5000000000000002E-2</v>
      </c>
      <c r="N53" s="8">
        <f>'Kalimantan Only'!S43</f>
        <v>2014</v>
      </c>
      <c r="AA53" s="129" t="str">
        <f t="shared" si="1"/>
        <v>Exist_KI_65MW_GAS_UID2389</v>
      </c>
      <c r="AB53" s="131" t="str">
        <f>'Kalimantan Only'!B43</f>
        <v>Exist_KI_65MW_GAS_UID2389</v>
      </c>
      <c r="AC53" s="129" t="str">
        <f t="shared" si="2"/>
        <v>PJ</v>
      </c>
      <c r="AD53" s="129" t="str">
        <f t="shared" si="3"/>
        <v>GW</v>
      </c>
    </row>
    <row r="54" spans="2:30" ht="14">
      <c r="B54" s="28" t="str">
        <f>'Kalimantan Only'!B44</f>
        <v>Exist_KI_65MW_GAS_UID2390</v>
      </c>
      <c r="C54" s="28" t="str">
        <f>"ELC"&amp;'Kalimantan Only'!Q44</f>
        <v>ELCGAS</v>
      </c>
      <c r="D54" s="28" t="str">
        <f t="shared" si="0"/>
        <v>ELC</v>
      </c>
      <c r="E54" s="100">
        <f>'Kalimantan Only'!V44</f>
        <v>0.27368854818237726</v>
      </c>
      <c r="F54" s="100">
        <f>VLOOKUP(Con_ELC!$C54,Parsing!$C$20:$J$24,4,FALSE)</f>
        <v>0.85000000000000009</v>
      </c>
      <c r="G54" s="99"/>
      <c r="H54" s="100">
        <f>VLOOKUP(Con_ELC!$C54,Parsing!$C$20:$J$24,6,FALSE)</f>
        <v>23.2</v>
      </c>
      <c r="I54" s="100">
        <f>VLOOKUP(Con_ELC!$C54,Parsing!$C$20:$J$24,7,FALSE)</f>
        <v>0</v>
      </c>
      <c r="J54" s="100">
        <f>VLOOKUP(Con_ELC!$C54,Parsing!$C$20:$J$24,8,FALSE)</f>
        <v>20</v>
      </c>
      <c r="K54" s="124">
        <v>31.536000000000001</v>
      </c>
      <c r="L54" s="100">
        <v>1</v>
      </c>
      <c r="M54" s="202">
        <f>'Kalimantan Only'!K44/1000</f>
        <v>6.5000000000000002E-2</v>
      </c>
      <c r="N54" s="8">
        <f>'Kalimantan Only'!S44</f>
        <v>2014</v>
      </c>
      <c r="AA54" s="129" t="str">
        <f t="shared" si="1"/>
        <v>Exist_KI_65MW_GAS_UID2390</v>
      </c>
      <c r="AB54" s="131" t="str">
        <f>'Kalimantan Only'!B44</f>
        <v>Exist_KI_65MW_GAS_UID2390</v>
      </c>
      <c r="AC54" s="129" t="str">
        <f t="shared" si="2"/>
        <v>PJ</v>
      </c>
      <c r="AD54" s="129" t="str">
        <f t="shared" si="3"/>
        <v>GW</v>
      </c>
    </row>
    <row r="55" spans="2:30" ht="14">
      <c r="B55" s="28" t="str">
        <f>'Kalimantan Only'!B45</f>
        <v>Exist_KI_17MW_GAS_UID2391</v>
      </c>
      <c r="C55" s="28" t="str">
        <f>"ELC"&amp;'Kalimantan Only'!Q45</f>
        <v>ELCGAS</v>
      </c>
      <c r="D55" s="28" t="str">
        <f t="shared" si="0"/>
        <v>ELC</v>
      </c>
      <c r="E55" s="100">
        <f>'Kalimantan Only'!V45</f>
        <v>0.29874067698209689</v>
      </c>
      <c r="F55" s="100">
        <f>VLOOKUP(Con_ELC!$C55,Parsing!$C$20:$J$24,4,FALSE)</f>
        <v>0.85000000000000009</v>
      </c>
      <c r="G55" s="99"/>
      <c r="H55" s="100">
        <f>VLOOKUP(Con_ELC!$C55,Parsing!$C$20:$J$24,6,FALSE)</f>
        <v>23.2</v>
      </c>
      <c r="I55" s="100">
        <f>VLOOKUP(Con_ELC!$C55,Parsing!$C$20:$J$24,7,FALSE)</f>
        <v>0</v>
      </c>
      <c r="J55" s="100">
        <f>VLOOKUP(Con_ELC!$C55,Parsing!$C$20:$J$24,8,FALSE)</f>
        <v>20</v>
      </c>
      <c r="K55" s="124">
        <v>31.536000000000001</v>
      </c>
      <c r="L55" s="100">
        <v>1</v>
      </c>
      <c r="M55" s="202">
        <f>'Kalimantan Only'!K45/1000</f>
        <v>1.7000000000000001E-2</v>
      </c>
      <c r="N55" s="8">
        <f>'Kalimantan Only'!S45</f>
        <v>2009</v>
      </c>
      <c r="AA55" s="129" t="str">
        <f t="shared" si="1"/>
        <v>Exist_KI_17MW_GAS_UID2391</v>
      </c>
      <c r="AB55" s="131" t="str">
        <f>'Kalimantan Only'!B45</f>
        <v>Exist_KI_17MW_GAS_UID2391</v>
      </c>
      <c r="AC55" s="129" t="str">
        <f t="shared" si="2"/>
        <v>PJ</v>
      </c>
      <c r="AD55" s="129" t="str">
        <f t="shared" si="3"/>
        <v>GW</v>
      </c>
    </row>
    <row r="56" spans="2:30" ht="14">
      <c r="B56" s="28" t="str">
        <f>'Kalimantan Only'!B46</f>
        <v>Exist_KI_17MW_GAS_UID2392</v>
      </c>
      <c r="C56" s="28" t="str">
        <f>"ELC"&amp;'Kalimantan Only'!Q46</f>
        <v>ELCGAS</v>
      </c>
      <c r="D56" s="28" t="str">
        <f t="shared" si="0"/>
        <v>ELC</v>
      </c>
      <c r="E56" s="100">
        <f>'Kalimantan Only'!V46</f>
        <v>0.29874067698209689</v>
      </c>
      <c r="F56" s="100">
        <f>VLOOKUP(Con_ELC!$C56,Parsing!$C$20:$J$24,4,FALSE)</f>
        <v>0.85000000000000009</v>
      </c>
      <c r="G56" s="99"/>
      <c r="H56" s="100">
        <f>VLOOKUP(Con_ELC!$C56,Parsing!$C$20:$J$24,6,FALSE)</f>
        <v>23.2</v>
      </c>
      <c r="I56" s="100">
        <f>VLOOKUP(Con_ELC!$C56,Parsing!$C$20:$J$24,7,FALSE)</f>
        <v>0</v>
      </c>
      <c r="J56" s="100">
        <f>VLOOKUP(Con_ELC!$C56,Parsing!$C$20:$J$24,8,FALSE)</f>
        <v>20</v>
      </c>
      <c r="K56" s="124">
        <v>31.536000000000001</v>
      </c>
      <c r="L56" s="100">
        <v>1</v>
      </c>
      <c r="M56" s="202">
        <f>'Kalimantan Only'!K46/1000</f>
        <v>1.7000000000000001E-2</v>
      </c>
      <c r="N56" s="8">
        <f>'Kalimantan Only'!S46</f>
        <v>2009</v>
      </c>
      <c r="AA56" s="129" t="str">
        <f t="shared" si="1"/>
        <v>Exist_KI_17MW_GAS_UID2392</v>
      </c>
      <c r="AB56" s="131" t="str">
        <f>'Kalimantan Only'!B46</f>
        <v>Exist_KI_17MW_GAS_UID2392</v>
      </c>
      <c r="AC56" s="129" t="str">
        <f t="shared" si="2"/>
        <v>PJ</v>
      </c>
      <c r="AD56" s="129" t="str">
        <f t="shared" si="3"/>
        <v>GW</v>
      </c>
    </row>
    <row r="57" spans="2:30" ht="14">
      <c r="B57" s="28" t="str">
        <f>'Kalimantan Only'!B47</f>
        <v>Exist_KI_0.7MW_OIL_UID2393</v>
      </c>
      <c r="C57" s="28" t="str">
        <f>"ELC"&amp;'Kalimantan Only'!Q47</f>
        <v>ELCOIL</v>
      </c>
      <c r="D57" s="28" t="str">
        <f t="shared" si="0"/>
        <v>ELC</v>
      </c>
      <c r="E57" s="100">
        <f>'Kalimantan Only'!V47</f>
        <v>0.31338197955563979</v>
      </c>
      <c r="F57" s="100">
        <f>VLOOKUP(Con_ELC!$C57,Parsing!$C$20:$J$24,4,FALSE)</f>
        <v>0.5</v>
      </c>
      <c r="G57" s="99"/>
      <c r="H57" s="100">
        <f>VLOOKUP(Con_ELC!$C57,Parsing!$C$20:$J$24,6,FALSE)</f>
        <v>8</v>
      </c>
      <c r="I57" s="100">
        <f>VLOOKUP(Con_ELC!$C57,Parsing!$C$20:$J$24,7,FALSE)</f>
        <v>1.7777777777777779</v>
      </c>
      <c r="J57" s="100">
        <f>VLOOKUP(Con_ELC!$C57,Parsing!$C$20:$J$24,8,FALSE)</f>
        <v>10</v>
      </c>
      <c r="K57" s="124">
        <v>31.536000000000001</v>
      </c>
      <c r="L57" s="100">
        <v>1</v>
      </c>
      <c r="M57" s="202">
        <f>'Kalimantan Only'!K47/1000</f>
        <v>6.9999999999999999E-4</v>
      </c>
      <c r="N57" s="8">
        <f>'Kalimantan Only'!S47</f>
        <v>2005</v>
      </c>
      <c r="AA57" s="129" t="str">
        <f t="shared" si="1"/>
        <v>Exist_KI_0.7MW_OIL_UID2393</v>
      </c>
      <c r="AB57" s="131" t="str">
        <f>'Kalimantan Only'!B47</f>
        <v>Exist_KI_0.7MW_OIL_UID2393</v>
      </c>
      <c r="AC57" s="129" t="str">
        <f t="shared" si="2"/>
        <v>PJ</v>
      </c>
      <c r="AD57" s="129" t="str">
        <f t="shared" si="3"/>
        <v>GW</v>
      </c>
    </row>
    <row r="58" spans="2:30" ht="14">
      <c r="B58" s="28" t="str">
        <f>'Kalimantan Only'!B48</f>
        <v>Exist_KI_0.8MW_OIL_UID2394</v>
      </c>
      <c r="C58" s="28" t="str">
        <f>"ELC"&amp;'Kalimantan Only'!Q48</f>
        <v>ELCOIL</v>
      </c>
      <c r="D58" s="28" t="str">
        <f t="shared" si="0"/>
        <v>ELC</v>
      </c>
      <c r="E58" s="100">
        <f>'Kalimantan Only'!V48</f>
        <v>0.31338197955563979</v>
      </c>
      <c r="F58" s="100">
        <f>VLOOKUP(Con_ELC!$C58,Parsing!$C$20:$J$24,4,FALSE)</f>
        <v>0.5</v>
      </c>
      <c r="G58" s="99"/>
      <c r="H58" s="100">
        <f>VLOOKUP(Con_ELC!$C58,Parsing!$C$20:$J$24,6,FALSE)</f>
        <v>8</v>
      </c>
      <c r="I58" s="100">
        <f>VLOOKUP(Con_ELC!$C58,Parsing!$C$20:$J$24,7,FALSE)</f>
        <v>1.7777777777777779</v>
      </c>
      <c r="J58" s="100">
        <f>VLOOKUP(Con_ELC!$C58,Parsing!$C$20:$J$24,8,FALSE)</f>
        <v>10</v>
      </c>
      <c r="K58" s="124">
        <v>31.536000000000001</v>
      </c>
      <c r="L58" s="100">
        <v>1</v>
      </c>
      <c r="M58" s="202">
        <f>'Kalimantan Only'!K48/1000</f>
        <v>7.5000000000000002E-4</v>
      </c>
      <c r="N58" s="8">
        <f>'Kalimantan Only'!S48</f>
        <v>1996</v>
      </c>
      <c r="AA58" s="129" t="str">
        <f t="shared" si="1"/>
        <v>Exist_KI_0.8MW_OIL_UID2394</v>
      </c>
      <c r="AB58" s="131" t="str">
        <f>'Kalimantan Only'!B48</f>
        <v>Exist_KI_0.8MW_OIL_UID2394</v>
      </c>
      <c r="AC58" s="129" t="str">
        <f t="shared" si="2"/>
        <v>PJ</v>
      </c>
      <c r="AD58" s="129" t="str">
        <f t="shared" si="3"/>
        <v>GW</v>
      </c>
    </row>
    <row r="59" spans="2:30" ht="14">
      <c r="B59" s="28" t="str">
        <f>'Kalimantan Only'!B49</f>
        <v>Exist_KI_0.3MW_OIL_UID2395</v>
      </c>
      <c r="C59" s="28" t="str">
        <f>"ELC"&amp;'Kalimantan Only'!Q49</f>
        <v>ELCOIL</v>
      </c>
      <c r="D59" s="28" t="str">
        <f t="shared" si="0"/>
        <v>ELC</v>
      </c>
      <c r="E59" s="100">
        <f>'Kalimantan Only'!V49</f>
        <v>0.31338197955563979</v>
      </c>
      <c r="F59" s="100">
        <f>VLOOKUP(Con_ELC!$C59,Parsing!$C$20:$J$24,4,FALSE)</f>
        <v>0.5</v>
      </c>
      <c r="G59" s="99"/>
      <c r="H59" s="100">
        <f>VLOOKUP(Con_ELC!$C59,Parsing!$C$20:$J$24,6,FALSE)</f>
        <v>8</v>
      </c>
      <c r="I59" s="100">
        <f>VLOOKUP(Con_ELC!$C59,Parsing!$C$20:$J$24,7,FALSE)</f>
        <v>1.7777777777777779</v>
      </c>
      <c r="J59" s="100">
        <f>VLOOKUP(Con_ELC!$C59,Parsing!$C$20:$J$24,8,FALSE)</f>
        <v>10</v>
      </c>
      <c r="K59" s="124">
        <v>31.536000000000001</v>
      </c>
      <c r="L59" s="100">
        <v>1</v>
      </c>
      <c r="M59" s="202">
        <f>'Kalimantan Only'!K49/1000</f>
        <v>3.2000000000000003E-4</v>
      </c>
      <c r="N59" s="8">
        <f>'Kalimantan Only'!S49</f>
        <v>2002</v>
      </c>
      <c r="AA59" s="129" t="str">
        <f t="shared" si="1"/>
        <v>Exist_KI_0.3MW_OIL_UID2395</v>
      </c>
      <c r="AB59" s="131" t="str">
        <f>'Kalimantan Only'!B49</f>
        <v>Exist_KI_0.3MW_OIL_UID2395</v>
      </c>
      <c r="AC59" s="129" t="str">
        <f t="shared" si="2"/>
        <v>PJ</v>
      </c>
      <c r="AD59" s="129" t="str">
        <f t="shared" si="3"/>
        <v>GW</v>
      </c>
    </row>
    <row r="60" spans="2:30" ht="14">
      <c r="B60" s="28" t="str">
        <f>'Kalimantan Only'!B50</f>
        <v>Exist_KI_0.3MW_OIL_UID2396</v>
      </c>
      <c r="C60" s="28" t="str">
        <f>"ELC"&amp;'Kalimantan Only'!Q50</f>
        <v>ELCOIL</v>
      </c>
      <c r="D60" s="28" t="str">
        <f t="shared" si="0"/>
        <v>ELC</v>
      </c>
      <c r="E60" s="100">
        <f>'Kalimantan Only'!V50</f>
        <v>0.31338197955563979</v>
      </c>
      <c r="F60" s="100">
        <f>VLOOKUP(Con_ELC!$C60,Parsing!$C$20:$J$24,4,FALSE)</f>
        <v>0.5</v>
      </c>
      <c r="G60" s="99"/>
      <c r="H60" s="100">
        <f>VLOOKUP(Con_ELC!$C60,Parsing!$C$20:$J$24,6,FALSE)</f>
        <v>8</v>
      </c>
      <c r="I60" s="100">
        <f>VLOOKUP(Con_ELC!$C60,Parsing!$C$20:$J$24,7,FALSE)</f>
        <v>1.7777777777777779</v>
      </c>
      <c r="J60" s="100">
        <f>VLOOKUP(Con_ELC!$C60,Parsing!$C$20:$J$24,8,FALSE)</f>
        <v>10</v>
      </c>
      <c r="K60" s="124">
        <v>31.536000000000001</v>
      </c>
      <c r="L60" s="100">
        <v>1</v>
      </c>
      <c r="M60" s="202">
        <f>'Kalimantan Only'!K50/1000</f>
        <v>3.2000000000000003E-4</v>
      </c>
      <c r="N60" s="8">
        <f>'Kalimantan Only'!S50</f>
        <v>2002</v>
      </c>
      <c r="AA60" s="129" t="str">
        <f t="shared" si="1"/>
        <v>Exist_KI_0.3MW_OIL_UID2396</v>
      </c>
      <c r="AB60" s="131" t="str">
        <f>'Kalimantan Only'!B50</f>
        <v>Exist_KI_0.3MW_OIL_UID2396</v>
      </c>
      <c r="AC60" s="129" t="str">
        <f t="shared" si="2"/>
        <v>PJ</v>
      </c>
      <c r="AD60" s="129" t="str">
        <f t="shared" si="3"/>
        <v>GW</v>
      </c>
    </row>
    <row r="61" spans="2:30" ht="14">
      <c r="B61" s="28" t="str">
        <f>'Kalimantan Only'!B51</f>
        <v>Exist_KI_0.2MW_OIL_UID2397</v>
      </c>
      <c r="C61" s="28" t="str">
        <f>"ELC"&amp;'Kalimantan Only'!Q51</f>
        <v>ELCOIL</v>
      </c>
      <c r="D61" s="28" t="str">
        <f t="shared" si="0"/>
        <v>ELC</v>
      </c>
      <c r="E61" s="100">
        <f>'Kalimantan Only'!V51</f>
        <v>0.31338197955563979</v>
      </c>
      <c r="F61" s="100">
        <f>VLOOKUP(Con_ELC!$C61,Parsing!$C$20:$J$24,4,FALSE)</f>
        <v>0.5</v>
      </c>
      <c r="G61" s="99"/>
      <c r="H61" s="100">
        <f>VLOOKUP(Con_ELC!$C61,Parsing!$C$20:$J$24,6,FALSE)</f>
        <v>8</v>
      </c>
      <c r="I61" s="100">
        <f>VLOOKUP(Con_ELC!$C61,Parsing!$C$20:$J$24,7,FALSE)</f>
        <v>1.7777777777777779</v>
      </c>
      <c r="J61" s="100">
        <f>VLOOKUP(Con_ELC!$C61,Parsing!$C$20:$J$24,8,FALSE)</f>
        <v>10</v>
      </c>
      <c r="K61" s="124">
        <v>31.536000000000001</v>
      </c>
      <c r="L61" s="100">
        <v>1</v>
      </c>
      <c r="M61" s="202">
        <f>'Kalimantan Only'!K51/1000</f>
        <v>2.0000000000000001E-4</v>
      </c>
      <c r="N61" s="8">
        <f>'Kalimantan Only'!S51</f>
        <v>2002</v>
      </c>
      <c r="AA61" s="129" t="str">
        <f t="shared" si="1"/>
        <v>Exist_KI_0.2MW_OIL_UID2397</v>
      </c>
      <c r="AB61" s="131" t="str">
        <f>'Kalimantan Only'!B51</f>
        <v>Exist_KI_0.2MW_OIL_UID2397</v>
      </c>
      <c r="AC61" s="129" t="str">
        <f t="shared" si="2"/>
        <v>PJ</v>
      </c>
      <c r="AD61" s="129" t="str">
        <f t="shared" si="3"/>
        <v>GW</v>
      </c>
    </row>
    <row r="62" spans="2:30" ht="14">
      <c r="B62" s="28" t="str">
        <f>'Kalimantan Only'!B52</f>
        <v>Exist_KI_0.5MW_OIL_UID2398</v>
      </c>
      <c r="C62" s="28" t="str">
        <f>"ELC"&amp;'Kalimantan Only'!Q52</f>
        <v>ELCOIL</v>
      </c>
      <c r="D62" s="28" t="str">
        <f t="shared" si="0"/>
        <v>ELC</v>
      </c>
      <c r="E62" s="100">
        <f>'Kalimantan Only'!V52</f>
        <v>0.31338197955563979</v>
      </c>
      <c r="F62" s="100">
        <f>VLOOKUP(Con_ELC!$C62,Parsing!$C$20:$J$24,4,FALSE)</f>
        <v>0.5</v>
      </c>
      <c r="G62" s="99"/>
      <c r="H62" s="100">
        <f>VLOOKUP(Con_ELC!$C62,Parsing!$C$20:$J$24,6,FALSE)</f>
        <v>8</v>
      </c>
      <c r="I62" s="100">
        <f>VLOOKUP(Con_ELC!$C62,Parsing!$C$20:$J$24,7,FALSE)</f>
        <v>1.7777777777777779</v>
      </c>
      <c r="J62" s="100">
        <f>VLOOKUP(Con_ELC!$C62,Parsing!$C$20:$J$24,8,FALSE)</f>
        <v>10</v>
      </c>
      <c r="K62" s="124">
        <v>31.536000000000001</v>
      </c>
      <c r="L62" s="100">
        <v>1</v>
      </c>
      <c r="M62" s="202">
        <f>'Kalimantan Only'!K52/1000</f>
        <v>5.0000000000000001E-4</v>
      </c>
      <c r="N62" s="8">
        <f>'Kalimantan Only'!S52</f>
        <v>2004</v>
      </c>
      <c r="AA62" s="129" t="str">
        <f t="shared" si="1"/>
        <v>Exist_KI_0.5MW_OIL_UID2398</v>
      </c>
      <c r="AB62" s="131" t="str">
        <f>'Kalimantan Only'!B52</f>
        <v>Exist_KI_0.5MW_OIL_UID2398</v>
      </c>
      <c r="AC62" s="129" t="str">
        <f t="shared" si="2"/>
        <v>PJ</v>
      </c>
      <c r="AD62" s="129" t="str">
        <f t="shared" si="3"/>
        <v>GW</v>
      </c>
    </row>
    <row r="63" spans="2:30" ht="14">
      <c r="B63" s="28" t="str">
        <f>'Kalimantan Only'!B53</f>
        <v>Exist_KI_0.3MW_OIL_UID2400</v>
      </c>
      <c r="C63" s="28" t="str">
        <f>"ELC"&amp;'Kalimantan Only'!Q53</f>
        <v>ELCOIL</v>
      </c>
      <c r="D63" s="28" t="str">
        <f t="shared" si="0"/>
        <v>ELC</v>
      </c>
      <c r="E63" s="100">
        <f>'Kalimantan Only'!V53</f>
        <v>0.31338197955563979</v>
      </c>
      <c r="F63" s="100">
        <f>VLOOKUP(Con_ELC!$C63,Parsing!$C$20:$J$24,4,FALSE)</f>
        <v>0.5</v>
      </c>
      <c r="G63" s="99"/>
      <c r="H63" s="100">
        <f>VLOOKUP(Con_ELC!$C63,Parsing!$C$20:$J$24,6,FALSE)</f>
        <v>8</v>
      </c>
      <c r="I63" s="100">
        <f>VLOOKUP(Con_ELC!$C63,Parsing!$C$20:$J$24,7,FALSE)</f>
        <v>1.7777777777777779</v>
      </c>
      <c r="J63" s="100">
        <f>VLOOKUP(Con_ELC!$C63,Parsing!$C$20:$J$24,8,FALSE)</f>
        <v>10</v>
      </c>
      <c r="K63" s="124">
        <v>31.536000000000001</v>
      </c>
      <c r="L63" s="100">
        <v>1</v>
      </c>
      <c r="M63" s="202">
        <f>'Kalimantan Only'!K53/1000</f>
        <v>2.5000000000000001E-4</v>
      </c>
      <c r="N63" s="8">
        <f>'Kalimantan Only'!S53</f>
        <v>2001</v>
      </c>
      <c r="AA63" s="129" t="str">
        <f t="shared" si="1"/>
        <v>Exist_KI_0.3MW_OIL_UID2400</v>
      </c>
      <c r="AB63" s="131" t="str">
        <f>'Kalimantan Only'!B53</f>
        <v>Exist_KI_0.3MW_OIL_UID2400</v>
      </c>
      <c r="AC63" s="129" t="str">
        <f t="shared" si="2"/>
        <v>PJ</v>
      </c>
      <c r="AD63" s="129" t="str">
        <f t="shared" si="3"/>
        <v>GW</v>
      </c>
    </row>
    <row r="64" spans="2:30" ht="14">
      <c r="B64" s="28" t="str">
        <f>'Kalimantan Only'!B54</f>
        <v>Exist_KI_0.8MW_OIL_UID2402</v>
      </c>
      <c r="C64" s="28" t="str">
        <f>"ELC"&amp;'Kalimantan Only'!Q54</f>
        <v>ELCOIL</v>
      </c>
      <c r="D64" s="28" t="str">
        <f t="shared" si="0"/>
        <v>ELC</v>
      </c>
      <c r="E64" s="100">
        <f>'Kalimantan Only'!V54</f>
        <v>0.31338197955563979</v>
      </c>
      <c r="F64" s="100">
        <f>VLOOKUP(Con_ELC!$C64,Parsing!$C$20:$J$24,4,FALSE)</f>
        <v>0.5</v>
      </c>
      <c r="G64" s="99"/>
      <c r="H64" s="100">
        <f>VLOOKUP(Con_ELC!$C64,Parsing!$C$20:$J$24,6,FALSE)</f>
        <v>8</v>
      </c>
      <c r="I64" s="100">
        <f>VLOOKUP(Con_ELC!$C64,Parsing!$C$20:$J$24,7,FALSE)</f>
        <v>1.7777777777777779</v>
      </c>
      <c r="J64" s="100">
        <f>VLOOKUP(Con_ELC!$C64,Parsing!$C$20:$J$24,8,FALSE)</f>
        <v>10</v>
      </c>
      <c r="K64" s="124">
        <v>31.536000000000001</v>
      </c>
      <c r="L64" s="100">
        <v>1</v>
      </c>
      <c r="M64" s="202">
        <f>'Kalimantan Only'!K54/1000</f>
        <v>7.5000000000000002E-4</v>
      </c>
      <c r="N64" s="8">
        <f>'Kalimantan Only'!S54</f>
        <v>1996</v>
      </c>
      <c r="AA64" s="129" t="str">
        <f t="shared" si="1"/>
        <v>Exist_KI_0.8MW_OIL_UID2402</v>
      </c>
      <c r="AB64" s="131" t="str">
        <f>'Kalimantan Only'!B54</f>
        <v>Exist_KI_0.8MW_OIL_UID2402</v>
      </c>
      <c r="AC64" s="129" t="str">
        <f t="shared" si="2"/>
        <v>PJ</v>
      </c>
      <c r="AD64" s="129" t="str">
        <f t="shared" si="3"/>
        <v>GW</v>
      </c>
    </row>
    <row r="65" spans="2:30" ht="14">
      <c r="B65" s="28" t="str">
        <f>'Kalimantan Only'!B55</f>
        <v>Exist_KI_0.8MW_OIL_UID2403</v>
      </c>
      <c r="C65" s="28" t="str">
        <f>"ELC"&amp;'Kalimantan Only'!Q55</f>
        <v>ELCOIL</v>
      </c>
      <c r="D65" s="28" t="str">
        <f t="shared" si="0"/>
        <v>ELC</v>
      </c>
      <c r="E65" s="100">
        <f>'Kalimantan Only'!V55</f>
        <v>0.31338197955563979</v>
      </c>
      <c r="F65" s="100">
        <f>VLOOKUP(Con_ELC!$C65,Parsing!$C$20:$J$24,4,FALSE)</f>
        <v>0.5</v>
      </c>
      <c r="G65" s="99"/>
      <c r="H65" s="100">
        <f>VLOOKUP(Con_ELC!$C65,Parsing!$C$20:$J$24,6,FALSE)</f>
        <v>8</v>
      </c>
      <c r="I65" s="100">
        <f>VLOOKUP(Con_ELC!$C65,Parsing!$C$20:$J$24,7,FALSE)</f>
        <v>1.7777777777777779</v>
      </c>
      <c r="J65" s="100">
        <f>VLOOKUP(Con_ELC!$C65,Parsing!$C$20:$J$24,8,FALSE)</f>
        <v>10</v>
      </c>
      <c r="K65" s="124">
        <v>31.536000000000001</v>
      </c>
      <c r="L65" s="100">
        <v>1</v>
      </c>
      <c r="M65" s="202">
        <f>'Kalimantan Only'!K55/1000</f>
        <v>7.5000000000000002E-4</v>
      </c>
      <c r="N65" s="8">
        <f>'Kalimantan Only'!S55</f>
        <v>1998</v>
      </c>
      <c r="AA65" s="129" t="str">
        <f t="shared" si="1"/>
        <v>Exist_KI_0.8MW_OIL_UID2403</v>
      </c>
      <c r="AB65" s="131" t="str">
        <f>'Kalimantan Only'!B55</f>
        <v>Exist_KI_0.8MW_OIL_UID2403</v>
      </c>
      <c r="AC65" s="129" t="str">
        <f t="shared" si="2"/>
        <v>PJ</v>
      </c>
      <c r="AD65" s="129" t="str">
        <f t="shared" si="3"/>
        <v>GW</v>
      </c>
    </row>
    <row r="66" spans="2:30" ht="14">
      <c r="B66" s="28" t="str">
        <f>'Kalimantan Only'!B56</f>
        <v>Exist_KI_0.4MW_OIL_UID2404</v>
      </c>
      <c r="C66" s="28" t="str">
        <f>"ELC"&amp;'Kalimantan Only'!Q56</f>
        <v>ELCOIL</v>
      </c>
      <c r="D66" s="28" t="str">
        <f t="shared" si="0"/>
        <v>ELC</v>
      </c>
      <c r="E66" s="100">
        <f>'Kalimantan Only'!V56</f>
        <v>0.31338197955563979</v>
      </c>
      <c r="F66" s="100">
        <f>VLOOKUP(Con_ELC!$C66,Parsing!$C$20:$J$24,4,FALSE)</f>
        <v>0.5</v>
      </c>
      <c r="G66" s="99"/>
      <c r="H66" s="100">
        <f>VLOOKUP(Con_ELC!$C66,Parsing!$C$20:$J$24,6,FALSE)</f>
        <v>8</v>
      </c>
      <c r="I66" s="100">
        <f>VLOOKUP(Con_ELC!$C66,Parsing!$C$20:$J$24,7,FALSE)</f>
        <v>1.7777777777777779</v>
      </c>
      <c r="J66" s="100">
        <f>VLOOKUP(Con_ELC!$C66,Parsing!$C$20:$J$24,8,FALSE)</f>
        <v>10</v>
      </c>
      <c r="K66" s="124">
        <v>31.536000000000001</v>
      </c>
      <c r="L66" s="100">
        <v>1</v>
      </c>
      <c r="M66" s="202">
        <f>'Kalimantan Only'!K56/1000</f>
        <v>3.5E-4</v>
      </c>
      <c r="N66" s="8">
        <f>'Kalimantan Only'!S56</f>
        <v>1998</v>
      </c>
      <c r="AA66" s="129" t="str">
        <f t="shared" si="1"/>
        <v>Exist_KI_0.4MW_OIL_UID2404</v>
      </c>
      <c r="AB66" s="131" t="str">
        <f>'Kalimantan Only'!B56</f>
        <v>Exist_KI_0.4MW_OIL_UID2404</v>
      </c>
      <c r="AC66" s="129" t="str">
        <f t="shared" si="2"/>
        <v>PJ</v>
      </c>
      <c r="AD66" s="129" t="str">
        <f t="shared" si="3"/>
        <v>GW</v>
      </c>
    </row>
    <row r="67" spans="2:30" ht="14">
      <c r="B67" s="28" t="str">
        <f>'Kalimantan Only'!B57</f>
        <v>Exist_KI_0.4MW_OIL_UID2405</v>
      </c>
      <c r="C67" s="28" t="str">
        <f>"ELC"&amp;'Kalimantan Only'!Q57</f>
        <v>ELCOIL</v>
      </c>
      <c r="D67" s="28" t="str">
        <f t="shared" si="0"/>
        <v>ELC</v>
      </c>
      <c r="E67" s="100">
        <f>'Kalimantan Only'!V57</f>
        <v>0.31338197955563979</v>
      </c>
      <c r="F67" s="100">
        <f>VLOOKUP(Con_ELC!$C67,Parsing!$C$20:$J$24,4,FALSE)</f>
        <v>0.5</v>
      </c>
      <c r="G67" s="99"/>
      <c r="H67" s="100">
        <f>VLOOKUP(Con_ELC!$C67,Parsing!$C$20:$J$24,6,FALSE)</f>
        <v>8</v>
      </c>
      <c r="I67" s="100">
        <f>VLOOKUP(Con_ELC!$C67,Parsing!$C$20:$J$24,7,FALSE)</f>
        <v>1.7777777777777779</v>
      </c>
      <c r="J67" s="100">
        <f>VLOOKUP(Con_ELC!$C67,Parsing!$C$20:$J$24,8,FALSE)</f>
        <v>10</v>
      </c>
      <c r="K67" s="124">
        <v>31.536000000000001</v>
      </c>
      <c r="L67" s="100">
        <v>1</v>
      </c>
      <c r="M67" s="202">
        <f>'Kalimantan Only'!K57/1000</f>
        <v>3.5E-4</v>
      </c>
      <c r="N67" s="8">
        <f>'Kalimantan Only'!S57</f>
        <v>1998</v>
      </c>
      <c r="AA67" s="129" t="str">
        <f t="shared" si="1"/>
        <v>Exist_KI_0.4MW_OIL_UID2405</v>
      </c>
      <c r="AB67" s="131" t="str">
        <f>'Kalimantan Only'!B57</f>
        <v>Exist_KI_0.4MW_OIL_UID2405</v>
      </c>
      <c r="AC67" s="129" t="str">
        <f t="shared" si="2"/>
        <v>PJ</v>
      </c>
      <c r="AD67" s="129" t="str">
        <f t="shared" si="3"/>
        <v>GW</v>
      </c>
    </row>
    <row r="68" spans="2:30" ht="14">
      <c r="B68" s="28" t="str">
        <f>'Kalimantan Only'!B58</f>
        <v>Exist_KI_0.4MW_OIL_UID2406</v>
      </c>
      <c r="C68" s="28" t="str">
        <f>"ELC"&amp;'Kalimantan Only'!Q58</f>
        <v>ELCOIL</v>
      </c>
      <c r="D68" s="28" t="str">
        <f t="shared" si="0"/>
        <v>ELC</v>
      </c>
      <c r="E68" s="100">
        <f>'Kalimantan Only'!V58</f>
        <v>0.31338197955563979</v>
      </c>
      <c r="F68" s="100">
        <f>VLOOKUP(Con_ELC!$C68,Parsing!$C$20:$J$24,4,FALSE)</f>
        <v>0.5</v>
      </c>
      <c r="G68" s="99"/>
      <c r="H68" s="100">
        <f>VLOOKUP(Con_ELC!$C68,Parsing!$C$20:$J$24,6,FALSE)</f>
        <v>8</v>
      </c>
      <c r="I68" s="100">
        <f>VLOOKUP(Con_ELC!$C68,Parsing!$C$20:$J$24,7,FALSE)</f>
        <v>1.7777777777777779</v>
      </c>
      <c r="J68" s="100">
        <f>VLOOKUP(Con_ELC!$C68,Parsing!$C$20:$J$24,8,FALSE)</f>
        <v>10</v>
      </c>
      <c r="K68" s="124">
        <v>31.536000000000001</v>
      </c>
      <c r="L68" s="100">
        <v>1</v>
      </c>
      <c r="M68" s="202">
        <f>'Kalimantan Only'!K58/1000</f>
        <v>3.5E-4</v>
      </c>
      <c r="N68" s="8">
        <f>'Kalimantan Only'!S58</f>
        <v>1998</v>
      </c>
      <c r="AA68" s="129" t="str">
        <f t="shared" si="1"/>
        <v>Exist_KI_0.4MW_OIL_UID2406</v>
      </c>
      <c r="AB68" s="131" t="str">
        <f>'Kalimantan Only'!B58</f>
        <v>Exist_KI_0.4MW_OIL_UID2406</v>
      </c>
      <c r="AC68" s="129" t="str">
        <f t="shared" si="2"/>
        <v>PJ</v>
      </c>
      <c r="AD68" s="129" t="str">
        <f t="shared" si="3"/>
        <v>GW</v>
      </c>
    </row>
    <row r="69" spans="2:30" ht="14">
      <c r="B69" s="28" t="str">
        <f>'Kalimantan Only'!B59</f>
        <v>Exist_KS_20MW_OIL_UID2435</v>
      </c>
      <c r="C69" s="28" t="str">
        <f>"ELC"&amp;'Kalimantan Only'!Q59</f>
        <v>ELCOIL</v>
      </c>
      <c r="D69" s="28" t="str">
        <f t="shared" si="0"/>
        <v>ELC</v>
      </c>
      <c r="E69" s="100">
        <f>'Kalimantan Only'!V59</f>
        <v>0.31338197955563979</v>
      </c>
      <c r="F69" s="100">
        <f>VLOOKUP(Con_ELC!$C69,Parsing!$C$20:$J$24,4,FALSE)</f>
        <v>0.5</v>
      </c>
      <c r="G69" s="99"/>
      <c r="H69" s="100">
        <f>VLOOKUP(Con_ELC!$C69,Parsing!$C$20:$J$24,6,FALSE)</f>
        <v>8</v>
      </c>
      <c r="I69" s="100">
        <f>VLOOKUP(Con_ELC!$C69,Parsing!$C$20:$J$24,7,FALSE)</f>
        <v>1.7777777777777779</v>
      </c>
      <c r="J69" s="100">
        <f>VLOOKUP(Con_ELC!$C69,Parsing!$C$20:$J$24,8,FALSE)</f>
        <v>10</v>
      </c>
      <c r="K69" s="124">
        <v>31.536000000000001</v>
      </c>
      <c r="L69" s="100">
        <v>1</v>
      </c>
      <c r="M69" s="202">
        <f>'Kalimantan Only'!K59/1000</f>
        <v>0.02</v>
      </c>
      <c r="N69" s="8">
        <f>'Kalimantan Only'!S59</f>
        <v>2016</v>
      </c>
      <c r="AA69" s="129" t="str">
        <f t="shared" si="1"/>
        <v>Exist_KS_20MW_OIL_UID2435</v>
      </c>
      <c r="AB69" s="131" t="str">
        <f>'Kalimantan Only'!B59</f>
        <v>Exist_KS_20MW_OIL_UID2435</v>
      </c>
      <c r="AC69" s="129" t="str">
        <f t="shared" si="2"/>
        <v>PJ</v>
      </c>
      <c r="AD69" s="129" t="str">
        <f t="shared" si="3"/>
        <v>GW</v>
      </c>
    </row>
    <row r="70" spans="2:30" ht="14">
      <c r="B70" s="28" t="str">
        <f>'Kalimantan Only'!B60</f>
        <v>Exist_KS_20MW_OIL_UID2436</v>
      </c>
      <c r="C70" s="28" t="str">
        <f>"ELC"&amp;'Kalimantan Only'!Q60</f>
        <v>ELCOIL</v>
      </c>
      <c r="D70" s="28" t="str">
        <f t="shared" si="0"/>
        <v>ELC</v>
      </c>
      <c r="E70" s="100">
        <f>'Kalimantan Only'!V60</f>
        <v>0.31338197955563979</v>
      </c>
      <c r="F70" s="100">
        <f>VLOOKUP(Con_ELC!$C70,Parsing!$C$20:$J$24,4,FALSE)</f>
        <v>0.5</v>
      </c>
      <c r="G70" s="99"/>
      <c r="H70" s="100">
        <f>VLOOKUP(Con_ELC!$C70,Parsing!$C$20:$J$24,6,FALSE)</f>
        <v>8</v>
      </c>
      <c r="I70" s="100">
        <f>VLOOKUP(Con_ELC!$C70,Parsing!$C$20:$J$24,7,FALSE)</f>
        <v>1.7777777777777779</v>
      </c>
      <c r="J70" s="100">
        <f>VLOOKUP(Con_ELC!$C70,Parsing!$C$20:$J$24,8,FALSE)</f>
        <v>10</v>
      </c>
      <c r="K70" s="124">
        <v>31.536000000000001</v>
      </c>
      <c r="L70" s="100">
        <v>1</v>
      </c>
      <c r="M70" s="202">
        <f>'Kalimantan Only'!K60/1000</f>
        <v>0.02</v>
      </c>
      <c r="N70" s="8">
        <f>'Kalimantan Only'!S60</f>
        <v>2016</v>
      </c>
      <c r="AA70" s="129" t="str">
        <f t="shared" si="1"/>
        <v>Exist_KS_20MW_OIL_UID2436</v>
      </c>
      <c r="AB70" s="131" t="str">
        <f>'Kalimantan Only'!B60</f>
        <v>Exist_KS_20MW_OIL_UID2436</v>
      </c>
      <c r="AC70" s="129" t="str">
        <f t="shared" si="2"/>
        <v>PJ</v>
      </c>
      <c r="AD70" s="129" t="str">
        <f t="shared" si="3"/>
        <v>GW</v>
      </c>
    </row>
    <row r="71" spans="2:30" ht="14">
      <c r="B71" s="28" t="str">
        <f>'Kalimantan Only'!B61</f>
        <v>Exist_KT_6MW_OIL_UID2437</v>
      </c>
      <c r="C71" s="28" t="str">
        <f>"ELC"&amp;'Kalimantan Only'!Q61</f>
        <v>ELCOIL</v>
      </c>
      <c r="D71" s="28" t="str">
        <f t="shared" si="0"/>
        <v>ELC</v>
      </c>
      <c r="E71" s="100">
        <f>'Kalimantan Only'!V61</f>
        <v>0.31338197955563979</v>
      </c>
      <c r="F71" s="100">
        <f>VLOOKUP(Con_ELC!$C71,Parsing!$C$20:$J$24,4,FALSE)</f>
        <v>0.5</v>
      </c>
      <c r="G71" s="99"/>
      <c r="H71" s="100">
        <f>VLOOKUP(Con_ELC!$C71,Parsing!$C$20:$J$24,6,FALSE)</f>
        <v>8</v>
      </c>
      <c r="I71" s="100">
        <f>VLOOKUP(Con_ELC!$C71,Parsing!$C$20:$J$24,7,FALSE)</f>
        <v>1.7777777777777779</v>
      </c>
      <c r="J71" s="100">
        <f>VLOOKUP(Con_ELC!$C71,Parsing!$C$20:$J$24,8,FALSE)</f>
        <v>10</v>
      </c>
      <c r="K71" s="124">
        <v>31.536000000000001</v>
      </c>
      <c r="L71" s="100">
        <v>1</v>
      </c>
      <c r="M71" s="202">
        <f>'Kalimantan Only'!K61/1000</f>
        <v>6.0000000000000001E-3</v>
      </c>
      <c r="N71" s="8">
        <f>'Kalimantan Only'!S61</f>
        <v>2008</v>
      </c>
      <c r="AA71" s="129" t="str">
        <f t="shared" si="1"/>
        <v>Exist_KT_6MW_OIL_UID2437</v>
      </c>
      <c r="AB71" s="131" t="str">
        <f>'Kalimantan Only'!B61</f>
        <v>Exist_KT_6MW_OIL_UID2437</v>
      </c>
      <c r="AC71" s="129" t="str">
        <f t="shared" si="2"/>
        <v>PJ</v>
      </c>
      <c r="AD71" s="129" t="str">
        <f t="shared" si="3"/>
        <v>GW</v>
      </c>
    </row>
    <row r="72" spans="2:30" ht="14">
      <c r="B72" s="28" t="str">
        <f>'Kalimantan Only'!B62</f>
        <v>Exist_KI_10MW_OIL_UID2439</v>
      </c>
      <c r="C72" s="28" t="str">
        <f>"ELC"&amp;'Kalimantan Only'!Q62</f>
        <v>ELCOIL</v>
      </c>
      <c r="D72" s="28" t="str">
        <f t="shared" si="0"/>
        <v>ELC</v>
      </c>
      <c r="E72" s="100">
        <f>'Kalimantan Only'!V62</f>
        <v>0.31338197955563979</v>
      </c>
      <c r="F72" s="100">
        <f>VLOOKUP(Con_ELC!$C72,Parsing!$C$20:$J$24,4,FALSE)</f>
        <v>0.5</v>
      </c>
      <c r="G72" s="99"/>
      <c r="H72" s="100">
        <f>VLOOKUP(Con_ELC!$C72,Parsing!$C$20:$J$24,6,FALSE)</f>
        <v>8</v>
      </c>
      <c r="I72" s="100">
        <f>VLOOKUP(Con_ELC!$C72,Parsing!$C$20:$J$24,7,FALSE)</f>
        <v>1.7777777777777779</v>
      </c>
      <c r="J72" s="100">
        <f>VLOOKUP(Con_ELC!$C72,Parsing!$C$20:$J$24,8,FALSE)</f>
        <v>10</v>
      </c>
      <c r="K72" s="124">
        <v>31.536000000000001</v>
      </c>
      <c r="L72" s="100">
        <v>1</v>
      </c>
      <c r="M72" s="202">
        <f>'Kalimantan Only'!K62/1000</f>
        <v>0.01</v>
      </c>
      <c r="N72" s="8">
        <f>'Kalimantan Only'!S62</f>
        <v>2010</v>
      </c>
      <c r="AA72" s="129" t="str">
        <f t="shared" si="1"/>
        <v>Exist_KI_10MW_OIL_UID2439</v>
      </c>
      <c r="AB72" s="131" t="str">
        <f>'Kalimantan Only'!B62</f>
        <v>Exist_KI_10MW_OIL_UID2439</v>
      </c>
      <c r="AC72" s="129" t="str">
        <f t="shared" si="2"/>
        <v>PJ</v>
      </c>
      <c r="AD72" s="129" t="str">
        <f t="shared" si="3"/>
        <v>GW</v>
      </c>
    </row>
    <row r="73" spans="2:30" ht="14">
      <c r="B73" s="28" t="str">
        <f>'Kalimantan Only'!B63</f>
        <v>Exist_KI_10MW_OIL_UID2440</v>
      </c>
      <c r="C73" s="28" t="str">
        <f>"ELC"&amp;'Kalimantan Only'!Q63</f>
        <v>ELCOIL</v>
      </c>
      <c r="D73" s="28" t="str">
        <f t="shared" si="0"/>
        <v>ELC</v>
      </c>
      <c r="E73" s="100">
        <f>'Kalimantan Only'!V63</f>
        <v>0.31338197955563979</v>
      </c>
      <c r="F73" s="100">
        <f>VLOOKUP(Con_ELC!$C73,Parsing!$C$20:$J$24,4,FALSE)</f>
        <v>0.5</v>
      </c>
      <c r="G73" s="99"/>
      <c r="H73" s="100">
        <f>VLOOKUP(Con_ELC!$C73,Parsing!$C$20:$J$24,6,FALSE)</f>
        <v>8</v>
      </c>
      <c r="I73" s="100">
        <f>VLOOKUP(Con_ELC!$C73,Parsing!$C$20:$J$24,7,FALSE)</f>
        <v>1.7777777777777779</v>
      </c>
      <c r="J73" s="100">
        <f>VLOOKUP(Con_ELC!$C73,Parsing!$C$20:$J$24,8,FALSE)</f>
        <v>10</v>
      </c>
      <c r="K73" s="124">
        <v>31.536000000000001</v>
      </c>
      <c r="L73" s="100">
        <v>1</v>
      </c>
      <c r="M73" s="202">
        <f>'Kalimantan Only'!K63/1000</f>
        <v>0.01</v>
      </c>
      <c r="N73" s="8">
        <f>'Kalimantan Only'!S63</f>
        <v>2010</v>
      </c>
      <c r="AA73" s="129" t="str">
        <f>B73</f>
        <v>Exist_KI_10MW_OIL_UID2440</v>
      </c>
      <c r="AB73" s="131" t="str">
        <f>'Kalimantan Only'!B63</f>
        <v>Exist_KI_10MW_OIL_UID2440</v>
      </c>
      <c r="AC73" s="129" t="str">
        <f>$E$2</f>
        <v>PJ</v>
      </c>
      <c r="AD73" s="129" t="str">
        <f>$F$2</f>
        <v>GW</v>
      </c>
    </row>
    <row r="74" spans="2:30" ht="14">
      <c r="B74" s="28" t="str">
        <f>'Kalimantan Only'!B64</f>
        <v>Exist_KI_6MW_GAS_UID2441</v>
      </c>
      <c r="C74" s="28" t="str">
        <f>"ELC"&amp;'Kalimantan Only'!Q64</f>
        <v>ELCGAS</v>
      </c>
      <c r="D74" s="28" t="str">
        <f t="shared" si="0"/>
        <v>ELC</v>
      </c>
      <c r="E74" s="100">
        <f>'Kalimantan Only'!V64</f>
        <v>0.28529319604764514</v>
      </c>
      <c r="F74" s="100">
        <f>VLOOKUP(Con_ELC!$C74,Parsing!$C$20:$J$24,4,FALSE)</f>
        <v>0.85000000000000009</v>
      </c>
      <c r="G74" s="99"/>
      <c r="H74" s="100">
        <f>VLOOKUP(Con_ELC!$C74,Parsing!$C$20:$J$24,6,FALSE)</f>
        <v>23.2</v>
      </c>
      <c r="I74" s="100">
        <f>VLOOKUP(Con_ELC!$C74,Parsing!$C$20:$J$24,7,FALSE)</f>
        <v>0</v>
      </c>
      <c r="J74" s="100">
        <f>VLOOKUP(Con_ELC!$C74,Parsing!$C$20:$J$24,8,FALSE)</f>
        <v>20</v>
      </c>
      <c r="K74" s="124">
        <v>31.536000000000001</v>
      </c>
      <c r="L74" s="100">
        <v>1</v>
      </c>
      <c r="M74" s="202">
        <f>'Kalimantan Only'!K64/1000</f>
        <v>6.0000000000000001E-3</v>
      </c>
      <c r="N74" s="8">
        <f>'Kalimantan Only'!S64</f>
        <v>2008</v>
      </c>
      <c r="AA74" s="129" t="str">
        <f t="shared" ref="AA74:AA122" si="4">B74</f>
        <v>Exist_KI_6MW_GAS_UID2441</v>
      </c>
      <c r="AB74" s="131" t="str">
        <f>'Kalimantan Only'!B64</f>
        <v>Exist_KI_6MW_GAS_UID2441</v>
      </c>
      <c r="AC74" s="129" t="str">
        <f t="shared" si="2"/>
        <v>PJ</v>
      </c>
      <c r="AD74" s="129" t="str">
        <f t="shared" si="3"/>
        <v>GW</v>
      </c>
    </row>
    <row r="75" spans="2:30" ht="14">
      <c r="B75" s="28" t="str">
        <f>'Kalimantan Only'!B65</f>
        <v>Exist_KI_0.4MW_OIL_UID2442</v>
      </c>
      <c r="C75" s="28" t="str">
        <f>"ELC"&amp;'Kalimantan Only'!Q65</f>
        <v>ELCOIL</v>
      </c>
      <c r="D75" s="28" t="str">
        <f t="shared" si="0"/>
        <v>ELC</v>
      </c>
      <c r="E75" s="100">
        <f>'Kalimantan Only'!V65</f>
        <v>0.31338197955563979</v>
      </c>
      <c r="F75" s="100">
        <f>VLOOKUP(Con_ELC!$C75,Parsing!$C$20:$J$24,4,FALSE)</f>
        <v>0.5</v>
      </c>
      <c r="G75" s="99"/>
      <c r="H75" s="100">
        <f>VLOOKUP(Con_ELC!$C75,Parsing!$C$20:$J$24,6,FALSE)</f>
        <v>8</v>
      </c>
      <c r="I75" s="100">
        <f>VLOOKUP(Con_ELC!$C75,Parsing!$C$20:$J$24,7,FALSE)</f>
        <v>1.7777777777777779</v>
      </c>
      <c r="J75" s="100">
        <f>VLOOKUP(Con_ELC!$C75,Parsing!$C$20:$J$24,8,FALSE)</f>
        <v>10</v>
      </c>
      <c r="K75" s="124">
        <v>31.536000000000001</v>
      </c>
      <c r="L75" s="100">
        <v>1</v>
      </c>
      <c r="M75" s="202">
        <f>'Kalimantan Only'!K65/1000</f>
        <v>3.5E-4</v>
      </c>
      <c r="N75" s="8">
        <f>'Kalimantan Only'!S65</f>
        <v>2002</v>
      </c>
      <c r="AA75" s="129" t="str">
        <f t="shared" si="4"/>
        <v>Exist_KI_0.4MW_OIL_UID2442</v>
      </c>
      <c r="AB75" s="131" t="str">
        <f>'Kalimantan Only'!B65</f>
        <v>Exist_KI_0.4MW_OIL_UID2442</v>
      </c>
      <c r="AC75" s="129" t="str">
        <f t="shared" si="2"/>
        <v>PJ</v>
      </c>
      <c r="AD75" s="129" t="str">
        <f t="shared" si="3"/>
        <v>GW</v>
      </c>
    </row>
    <row r="76" spans="2:30" ht="14">
      <c r="B76" s="28" t="str">
        <f>'Kalimantan Only'!B66</f>
        <v>Exist_KI_0.4MW_OIL_UID2443</v>
      </c>
      <c r="C76" s="28" t="str">
        <f>"ELC"&amp;'Kalimantan Only'!Q66</f>
        <v>ELCOIL</v>
      </c>
      <c r="D76" s="28" t="str">
        <f t="shared" si="0"/>
        <v>ELC</v>
      </c>
      <c r="E76" s="100">
        <f>'Kalimantan Only'!V66</f>
        <v>0.31338197955563979</v>
      </c>
      <c r="F76" s="100">
        <f>VLOOKUP(Con_ELC!$C76,Parsing!$C$20:$J$24,4,FALSE)</f>
        <v>0.5</v>
      </c>
      <c r="G76" s="99"/>
      <c r="H76" s="100">
        <f>VLOOKUP(Con_ELC!$C76,Parsing!$C$20:$J$24,6,FALSE)</f>
        <v>8</v>
      </c>
      <c r="I76" s="100">
        <f>VLOOKUP(Con_ELC!$C76,Parsing!$C$20:$J$24,7,FALSE)</f>
        <v>1.7777777777777779</v>
      </c>
      <c r="J76" s="100">
        <f>VLOOKUP(Con_ELC!$C76,Parsing!$C$20:$J$24,8,FALSE)</f>
        <v>10</v>
      </c>
      <c r="K76" s="124">
        <v>31.536000000000001</v>
      </c>
      <c r="L76" s="100">
        <v>1</v>
      </c>
      <c r="M76" s="202">
        <f>'Kalimantan Only'!K66/1000</f>
        <v>3.5E-4</v>
      </c>
      <c r="N76" s="8">
        <f>'Kalimantan Only'!S66</f>
        <v>2002</v>
      </c>
      <c r="AA76" s="129" t="str">
        <f t="shared" si="4"/>
        <v>Exist_KI_0.4MW_OIL_UID2443</v>
      </c>
      <c r="AB76" s="131" t="str">
        <f>'Kalimantan Only'!B66</f>
        <v>Exist_KI_0.4MW_OIL_UID2443</v>
      </c>
      <c r="AC76" s="129" t="str">
        <f t="shared" si="2"/>
        <v>PJ</v>
      </c>
      <c r="AD76" s="129" t="str">
        <f t="shared" si="3"/>
        <v>GW</v>
      </c>
    </row>
    <row r="77" spans="2:30" ht="14">
      <c r="B77" s="28" t="str">
        <f>'Kalimantan Only'!B67</f>
        <v>Exist_KI_0.4MW_OIL_UID2444</v>
      </c>
      <c r="C77" s="28" t="str">
        <f>"ELC"&amp;'Kalimantan Only'!Q67</f>
        <v>ELCOIL</v>
      </c>
      <c r="D77" s="28" t="str">
        <f t="shared" ref="D77:D120" si="5">$AA$5</f>
        <v>ELC</v>
      </c>
      <c r="E77" s="100">
        <f>'Kalimantan Only'!V67</f>
        <v>0.31338197955563979</v>
      </c>
      <c r="F77" s="100">
        <f>VLOOKUP(Con_ELC!$C77,Parsing!$C$20:$J$24,4,FALSE)</f>
        <v>0.5</v>
      </c>
      <c r="G77" s="99"/>
      <c r="H77" s="100">
        <f>VLOOKUP(Con_ELC!$C77,Parsing!$C$20:$J$24,6,FALSE)</f>
        <v>8</v>
      </c>
      <c r="I77" s="100">
        <f>VLOOKUP(Con_ELC!$C77,Parsing!$C$20:$J$24,7,FALSE)</f>
        <v>1.7777777777777779</v>
      </c>
      <c r="J77" s="100">
        <f>VLOOKUP(Con_ELC!$C77,Parsing!$C$20:$J$24,8,FALSE)</f>
        <v>10</v>
      </c>
      <c r="K77" s="124">
        <v>31.536000000000001</v>
      </c>
      <c r="L77" s="100">
        <v>1</v>
      </c>
      <c r="M77" s="202">
        <f>'Kalimantan Only'!K67/1000</f>
        <v>4.0000000000000002E-4</v>
      </c>
      <c r="N77" s="8">
        <f>'Kalimantan Only'!S67</f>
        <v>2002</v>
      </c>
      <c r="AA77" s="129" t="str">
        <f t="shared" si="4"/>
        <v>Exist_KI_0.4MW_OIL_UID2444</v>
      </c>
      <c r="AB77" s="131" t="str">
        <f>'Kalimantan Only'!B67</f>
        <v>Exist_KI_0.4MW_OIL_UID2444</v>
      </c>
      <c r="AC77" s="129" t="str">
        <f t="shared" ref="AC77:AC122" si="6">$E$2</f>
        <v>PJ</v>
      </c>
      <c r="AD77" s="129" t="str">
        <f t="shared" ref="AD77:AD122" si="7">$F$2</f>
        <v>GW</v>
      </c>
    </row>
    <row r="78" spans="2:30" ht="14">
      <c r="B78" s="28" t="str">
        <f>'Kalimantan Only'!B68</f>
        <v>Exist_KI_0.4MW_OIL_UID2445</v>
      </c>
      <c r="C78" s="28" t="str">
        <f>"ELC"&amp;'Kalimantan Only'!Q68</f>
        <v>ELCOIL</v>
      </c>
      <c r="D78" s="28" t="str">
        <f t="shared" si="5"/>
        <v>ELC</v>
      </c>
      <c r="E78" s="100">
        <f>'Kalimantan Only'!V68</f>
        <v>0.31338197955563979</v>
      </c>
      <c r="F78" s="100">
        <f>VLOOKUP(Con_ELC!$C78,Parsing!$C$20:$J$24,4,FALSE)</f>
        <v>0.5</v>
      </c>
      <c r="G78" s="99"/>
      <c r="H78" s="100">
        <f>VLOOKUP(Con_ELC!$C78,Parsing!$C$20:$J$24,6,FALSE)</f>
        <v>8</v>
      </c>
      <c r="I78" s="100">
        <f>VLOOKUP(Con_ELC!$C78,Parsing!$C$20:$J$24,7,FALSE)</f>
        <v>1.7777777777777779</v>
      </c>
      <c r="J78" s="100">
        <f>VLOOKUP(Con_ELC!$C78,Parsing!$C$20:$J$24,8,FALSE)</f>
        <v>10</v>
      </c>
      <c r="K78" s="124">
        <v>31.536000000000001</v>
      </c>
      <c r="L78" s="100">
        <v>1</v>
      </c>
      <c r="M78" s="202">
        <f>'Kalimantan Only'!K68/1000</f>
        <v>4.0000000000000002E-4</v>
      </c>
      <c r="N78" s="8">
        <f>'Kalimantan Only'!S68</f>
        <v>2002</v>
      </c>
      <c r="AA78" s="129" t="str">
        <f t="shared" si="4"/>
        <v>Exist_KI_0.4MW_OIL_UID2445</v>
      </c>
      <c r="AB78" s="131" t="str">
        <f>'Kalimantan Only'!B68</f>
        <v>Exist_KI_0.4MW_OIL_UID2445</v>
      </c>
      <c r="AC78" s="129" t="str">
        <f t="shared" si="6"/>
        <v>PJ</v>
      </c>
      <c r="AD78" s="129" t="str">
        <f t="shared" si="7"/>
        <v>GW</v>
      </c>
    </row>
    <row r="79" spans="2:30" ht="14">
      <c r="B79" s="28" t="str">
        <f>'Kalimantan Only'!B69</f>
        <v>Exist_KI_12MW_OIL_UID2446</v>
      </c>
      <c r="C79" s="28" t="str">
        <f>"ELC"&amp;'Kalimantan Only'!Q69</f>
        <v>ELCOIL</v>
      </c>
      <c r="D79" s="28" t="str">
        <f t="shared" si="5"/>
        <v>ELC</v>
      </c>
      <c r="E79" s="100">
        <f>'Kalimantan Only'!V69</f>
        <v>0.31338197955563979</v>
      </c>
      <c r="F79" s="100">
        <f>VLOOKUP(Con_ELC!$C79,Parsing!$C$20:$J$24,4,FALSE)</f>
        <v>0.5</v>
      </c>
      <c r="G79" s="99"/>
      <c r="H79" s="100">
        <f>VLOOKUP(Con_ELC!$C79,Parsing!$C$20:$J$24,6,FALSE)</f>
        <v>8</v>
      </c>
      <c r="I79" s="100">
        <f>VLOOKUP(Con_ELC!$C79,Parsing!$C$20:$J$24,7,FALSE)</f>
        <v>1.7777777777777779</v>
      </c>
      <c r="J79" s="100">
        <f>VLOOKUP(Con_ELC!$C79,Parsing!$C$20:$J$24,8,FALSE)</f>
        <v>10</v>
      </c>
      <c r="K79" s="124">
        <v>31.536000000000001</v>
      </c>
      <c r="L79" s="100">
        <v>1</v>
      </c>
      <c r="M79" s="202">
        <f>'Kalimantan Only'!K69/1000</f>
        <v>1.2E-2</v>
      </c>
      <c r="N79" s="8">
        <f>'Kalimantan Only'!S69</f>
        <v>2016</v>
      </c>
      <c r="AA79" s="129" t="str">
        <f t="shared" si="4"/>
        <v>Exist_KI_12MW_OIL_UID2446</v>
      </c>
      <c r="AB79" s="131" t="str">
        <f>'Kalimantan Only'!B69</f>
        <v>Exist_KI_12MW_OIL_UID2446</v>
      </c>
      <c r="AC79" s="129" t="str">
        <f t="shared" si="6"/>
        <v>PJ</v>
      </c>
      <c r="AD79" s="129" t="str">
        <f t="shared" si="7"/>
        <v>GW</v>
      </c>
    </row>
    <row r="80" spans="2:30" ht="14">
      <c r="B80" s="28" t="str">
        <f>'Kalimantan Only'!B70</f>
        <v>Exist_KI_4MW_OIL_UID2447</v>
      </c>
      <c r="C80" s="28" t="str">
        <f>"ELC"&amp;'Kalimantan Only'!Q70</f>
        <v>ELCOIL</v>
      </c>
      <c r="D80" s="28" t="str">
        <f t="shared" si="5"/>
        <v>ELC</v>
      </c>
      <c r="E80" s="100">
        <f>'Kalimantan Only'!V70</f>
        <v>0.31338197955563979</v>
      </c>
      <c r="F80" s="100">
        <f>VLOOKUP(Con_ELC!$C80,Parsing!$C$20:$J$24,4,FALSE)</f>
        <v>0.5</v>
      </c>
      <c r="G80" s="99"/>
      <c r="H80" s="100">
        <f>VLOOKUP(Con_ELC!$C80,Parsing!$C$20:$J$24,6,FALSE)</f>
        <v>8</v>
      </c>
      <c r="I80" s="100">
        <f>VLOOKUP(Con_ELC!$C80,Parsing!$C$20:$J$24,7,FALSE)</f>
        <v>1.7777777777777779</v>
      </c>
      <c r="J80" s="100">
        <f>VLOOKUP(Con_ELC!$C80,Parsing!$C$20:$J$24,8,FALSE)</f>
        <v>10</v>
      </c>
      <c r="K80" s="124">
        <v>31.536000000000001</v>
      </c>
      <c r="L80" s="100">
        <v>1</v>
      </c>
      <c r="M80" s="202">
        <f>'Kalimantan Only'!K70/1000</f>
        <v>4.0000000000000001E-3</v>
      </c>
      <c r="N80" s="8">
        <f>'Kalimantan Only'!S70</f>
        <v>2016</v>
      </c>
      <c r="AA80" s="129" t="str">
        <f t="shared" si="4"/>
        <v>Exist_KI_4MW_OIL_UID2447</v>
      </c>
      <c r="AB80" s="131" t="str">
        <f>'Kalimantan Only'!B70</f>
        <v>Exist_KI_4MW_OIL_UID2447</v>
      </c>
      <c r="AC80" s="129" t="str">
        <f t="shared" si="6"/>
        <v>PJ</v>
      </c>
      <c r="AD80" s="129" t="str">
        <f t="shared" si="7"/>
        <v>GW</v>
      </c>
    </row>
    <row r="81" spans="2:30" ht="14">
      <c r="B81" s="28" t="str">
        <f>'Kalimantan Only'!B71</f>
        <v>Exist_KI_0.8MW_GAS_UID2448</v>
      </c>
      <c r="C81" s="28" t="str">
        <f>"ELC"&amp;'Kalimantan Only'!Q71</f>
        <v>ELCGAS</v>
      </c>
      <c r="D81" s="28" t="str">
        <f t="shared" si="5"/>
        <v>ELC</v>
      </c>
      <c r="E81" s="100">
        <f>'Kalimantan Only'!V71</f>
        <v>0.30114524845811375</v>
      </c>
      <c r="F81" s="100">
        <f>VLOOKUP(Con_ELC!$C81,Parsing!$C$20:$J$24,4,FALSE)</f>
        <v>0.85000000000000009</v>
      </c>
      <c r="G81" s="99"/>
      <c r="H81" s="100">
        <f>VLOOKUP(Con_ELC!$C81,Parsing!$C$20:$J$24,6,FALSE)</f>
        <v>23.2</v>
      </c>
      <c r="I81" s="100">
        <f>VLOOKUP(Con_ELC!$C81,Parsing!$C$20:$J$24,7,FALSE)</f>
        <v>0</v>
      </c>
      <c r="J81" s="100">
        <f>VLOOKUP(Con_ELC!$C81,Parsing!$C$20:$J$24,8,FALSE)</f>
        <v>20</v>
      </c>
      <c r="K81" s="124">
        <v>31.536000000000001</v>
      </c>
      <c r="L81" s="100">
        <v>1</v>
      </c>
      <c r="M81" s="202">
        <f>'Kalimantan Only'!K71/1000</f>
        <v>8.0000000000000004E-4</v>
      </c>
      <c r="N81" s="8">
        <f>'Kalimantan Only'!S71</f>
        <v>2010</v>
      </c>
      <c r="AA81" s="129" t="str">
        <f t="shared" si="4"/>
        <v>Exist_KI_0.8MW_GAS_UID2448</v>
      </c>
      <c r="AB81" s="131" t="str">
        <f>'Kalimantan Only'!B71</f>
        <v>Exist_KI_0.8MW_GAS_UID2448</v>
      </c>
      <c r="AC81" s="129" t="str">
        <f t="shared" si="6"/>
        <v>PJ</v>
      </c>
      <c r="AD81" s="129" t="str">
        <f t="shared" si="7"/>
        <v>GW</v>
      </c>
    </row>
    <row r="82" spans="2:30" ht="14">
      <c r="B82" s="28" t="str">
        <f>'Kalimantan Only'!B72</f>
        <v>Exist_KI_0.8MW_GAS_UID2449</v>
      </c>
      <c r="C82" s="28" t="str">
        <f>"ELC"&amp;'Kalimantan Only'!Q72</f>
        <v>ELCGAS</v>
      </c>
      <c r="D82" s="28" t="str">
        <f t="shared" si="5"/>
        <v>ELC</v>
      </c>
      <c r="E82" s="100">
        <f>'Kalimantan Only'!V72</f>
        <v>0.30114524845811375</v>
      </c>
      <c r="F82" s="100">
        <f>VLOOKUP(Con_ELC!$C82,Parsing!$C$20:$J$24,4,FALSE)</f>
        <v>0.85000000000000009</v>
      </c>
      <c r="G82" s="99"/>
      <c r="H82" s="100">
        <f>VLOOKUP(Con_ELC!$C82,Parsing!$C$20:$J$24,6,FALSE)</f>
        <v>23.2</v>
      </c>
      <c r="I82" s="100">
        <f>VLOOKUP(Con_ELC!$C82,Parsing!$C$20:$J$24,7,FALSE)</f>
        <v>0</v>
      </c>
      <c r="J82" s="100">
        <f>VLOOKUP(Con_ELC!$C82,Parsing!$C$20:$J$24,8,FALSE)</f>
        <v>20</v>
      </c>
      <c r="K82" s="124">
        <v>31.536000000000001</v>
      </c>
      <c r="L82" s="100">
        <v>1</v>
      </c>
      <c r="M82" s="202">
        <f>'Kalimantan Only'!K72/1000</f>
        <v>8.0000000000000004E-4</v>
      </c>
      <c r="N82" s="8">
        <f>'Kalimantan Only'!S72</f>
        <v>2010</v>
      </c>
      <c r="AA82" s="129" t="str">
        <f t="shared" si="4"/>
        <v>Exist_KI_0.8MW_GAS_UID2449</v>
      </c>
      <c r="AB82" s="131" t="str">
        <f>'Kalimantan Only'!B72</f>
        <v>Exist_KI_0.8MW_GAS_UID2449</v>
      </c>
      <c r="AC82" s="129" t="str">
        <f t="shared" si="6"/>
        <v>PJ</v>
      </c>
      <c r="AD82" s="129" t="str">
        <f t="shared" si="7"/>
        <v>GW</v>
      </c>
    </row>
    <row r="83" spans="2:30" ht="14">
      <c r="B83" s="28" t="str">
        <f>'Kalimantan Only'!B73</f>
        <v>Exist_KI_0.8MW_GAS_UID2450</v>
      </c>
      <c r="C83" s="28" t="str">
        <f>"ELC"&amp;'Kalimantan Only'!Q73</f>
        <v>ELCGAS</v>
      </c>
      <c r="D83" s="28" t="str">
        <f t="shared" si="5"/>
        <v>ELC</v>
      </c>
      <c r="E83" s="100">
        <f>'Kalimantan Only'!V73</f>
        <v>0.30114524845811375</v>
      </c>
      <c r="F83" s="100">
        <f>VLOOKUP(Con_ELC!$C83,Parsing!$C$20:$J$24,4,FALSE)</f>
        <v>0.85000000000000009</v>
      </c>
      <c r="G83" s="99"/>
      <c r="H83" s="100">
        <f>VLOOKUP(Con_ELC!$C83,Parsing!$C$20:$J$24,6,FALSE)</f>
        <v>23.2</v>
      </c>
      <c r="I83" s="100">
        <f>VLOOKUP(Con_ELC!$C83,Parsing!$C$20:$J$24,7,FALSE)</f>
        <v>0</v>
      </c>
      <c r="J83" s="100">
        <f>VLOOKUP(Con_ELC!$C83,Parsing!$C$20:$J$24,8,FALSE)</f>
        <v>20</v>
      </c>
      <c r="K83" s="124">
        <v>31.536000000000001</v>
      </c>
      <c r="L83" s="100">
        <v>1</v>
      </c>
      <c r="M83" s="202">
        <f>'Kalimantan Only'!K73/1000</f>
        <v>8.0000000000000004E-4</v>
      </c>
      <c r="N83" s="8">
        <f>'Kalimantan Only'!S73</f>
        <v>2010</v>
      </c>
      <c r="AA83" s="129" t="str">
        <f t="shared" si="4"/>
        <v>Exist_KI_0.8MW_GAS_UID2450</v>
      </c>
      <c r="AB83" s="131" t="str">
        <f>'Kalimantan Only'!B73</f>
        <v>Exist_KI_0.8MW_GAS_UID2450</v>
      </c>
      <c r="AC83" s="129" t="str">
        <f t="shared" si="6"/>
        <v>PJ</v>
      </c>
      <c r="AD83" s="129" t="str">
        <f t="shared" si="7"/>
        <v>GW</v>
      </c>
    </row>
    <row r="84" spans="2:30" ht="14">
      <c r="B84" s="28" t="str">
        <f>'Kalimantan Only'!B74</f>
        <v>Exist_KI_0.8MW_GAS_UID2451</v>
      </c>
      <c r="C84" s="28" t="str">
        <f>"ELC"&amp;'Kalimantan Only'!Q74</f>
        <v>ELCGAS</v>
      </c>
      <c r="D84" s="28" t="str">
        <f t="shared" si="5"/>
        <v>ELC</v>
      </c>
      <c r="E84" s="100">
        <f>'Kalimantan Only'!V74</f>
        <v>0.30114524845811375</v>
      </c>
      <c r="F84" s="100">
        <f>VLOOKUP(Con_ELC!$C84,Parsing!$C$20:$J$24,4,FALSE)</f>
        <v>0.85000000000000009</v>
      </c>
      <c r="G84" s="99"/>
      <c r="H84" s="100">
        <f>VLOOKUP(Con_ELC!$C84,Parsing!$C$20:$J$24,6,FALSE)</f>
        <v>23.2</v>
      </c>
      <c r="I84" s="100">
        <f>VLOOKUP(Con_ELC!$C84,Parsing!$C$20:$J$24,7,FALSE)</f>
        <v>0</v>
      </c>
      <c r="J84" s="100">
        <f>VLOOKUP(Con_ELC!$C84,Parsing!$C$20:$J$24,8,FALSE)</f>
        <v>20</v>
      </c>
      <c r="K84" s="124">
        <v>31.536000000000001</v>
      </c>
      <c r="L84" s="100">
        <v>1</v>
      </c>
      <c r="M84" s="202">
        <f>'Kalimantan Only'!K74/1000</f>
        <v>8.0000000000000004E-4</v>
      </c>
      <c r="N84" s="8">
        <f>'Kalimantan Only'!S74</f>
        <v>2010</v>
      </c>
      <c r="AA84" s="129" t="str">
        <f t="shared" si="4"/>
        <v>Exist_KI_0.8MW_GAS_UID2451</v>
      </c>
      <c r="AB84" s="131" t="str">
        <f>'Kalimantan Only'!B74</f>
        <v>Exist_KI_0.8MW_GAS_UID2451</v>
      </c>
      <c r="AC84" s="129" t="str">
        <f t="shared" si="6"/>
        <v>PJ</v>
      </c>
      <c r="AD84" s="129" t="str">
        <f t="shared" si="7"/>
        <v>GW</v>
      </c>
    </row>
    <row r="85" spans="2:30" ht="14">
      <c r="B85" s="28" t="str">
        <f>'Kalimantan Only'!B75</f>
        <v>Exist_KI_11MW_COA_UID2457</v>
      </c>
      <c r="C85" s="28" t="str">
        <f>"ELC"&amp;'Kalimantan Only'!Q75</f>
        <v>ELCCOA</v>
      </c>
      <c r="D85" s="28" t="str">
        <f t="shared" si="5"/>
        <v>ELC</v>
      </c>
      <c r="E85" s="100">
        <f>'Kalimantan Only'!V75</f>
        <v>0.31105134808669693</v>
      </c>
      <c r="F85" s="100">
        <f>VLOOKUP(Con_ELC!$C85,Parsing!$C$20:$J$24,4,FALSE)</f>
        <v>0.84999999999999976</v>
      </c>
      <c r="G85" s="99"/>
      <c r="H85" s="100">
        <f>VLOOKUP(Con_ELC!$C85,Parsing!$C$20:$J$24,6,FALSE)</f>
        <v>56</v>
      </c>
      <c r="I85" s="100">
        <f>VLOOKUP(Con_ELC!$C85,Parsing!$C$20:$J$24,7,FALSE)</f>
        <v>4.4444444444444446E-2</v>
      </c>
      <c r="J85" s="100">
        <f>VLOOKUP(Con_ELC!$C85,Parsing!$C$20:$J$24,8,FALSE)</f>
        <v>25</v>
      </c>
      <c r="K85" s="124">
        <v>31.536000000000001</v>
      </c>
      <c r="L85" s="100">
        <v>1</v>
      </c>
      <c r="M85" s="202">
        <f>'Kalimantan Only'!K75/1000</f>
        <v>1.0999999999999999E-2</v>
      </c>
      <c r="N85" s="8">
        <f>'Kalimantan Only'!S75</f>
        <v>2014</v>
      </c>
      <c r="AA85" s="129" t="str">
        <f t="shared" si="4"/>
        <v>Exist_KI_11MW_COA_UID2457</v>
      </c>
      <c r="AB85" s="131" t="str">
        <f>'Kalimantan Only'!B75</f>
        <v>Exist_KI_11MW_COA_UID2457</v>
      </c>
      <c r="AC85" s="129" t="str">
        <f t="shared" si="6"/>
        <v>PJ</v>
      </c>
      <c r="AD85" s="129" t="str">
        <f t="shared" si="7"/>
        <v>GW</v>
      </c>
    </row>
    <row r="86" spans="2:30" ht="14">
      <c r="B86" s="28" t="str">
        <f>'Kalimantan Only'!B76</f>
        <v>Exist_KI_11MW_COA_UID2458</v>
      </c>
      <c r="C86" s="28" t="str">
        <f>"ELC"&amp;'Kalimantan Only'!Q76</f>
        <v>ELCCOA</v>
      </c>
      <c r="D86" s="28" t="str">
        <f t="shared" si="5"/>
        <v>ELC</v>
      </c>
      <c r="E86" s="100">
        <f>'Kalimantan Only'!V76</f>
        <v>0.31105134808669693</v>
      </c>
      <c r="F86" s="100">
        <f>VLOOKUP(Con_ELC!$C86,Parsing!$C$20:$J$24,4,FALSE)</f>
        <v>0.84999999999999976</v>
      </c>
      <c r="G86" s="99"/>
      <c r="H86" s="100">
        <f>VLOOKUP(Con_ELC!$C86,Parsing!$C$20:$J$24,6,FALSE)</f>
        <v>56</v>
      </c>
      <c r="I86" s="100">
        <f>VLOOKUP(Con_ELC!$C86,Parsing!$C$20:$J$24,7,FALSE)</f>
        <v>4.4444444444444446E-2</v>
      </c>
      <c r="J86" s="100">
        <f>VLOOKUP(Con_ELC!$C86,Parsing!$C$20:$J$24,8,FALSE)</f>
        <v>25</v>
      </c>
      <c r="K86" s="124">
        <v>31.536000000000001</v>
      </c>
      <c r="L86" s="100">
        <v>1</v>
      </c>
      <c r="M86" s="202">
        <f>'Kalimantan Only'!K76/1000</f>
        <v>1.0999999999999999E-2</v>
      </c>
      <c r="N86" s="8">
        <f>'Kalimantan Only'!S76</f>
        <v>2014</v>
      </c>
      <c r="AA86" s="129" t="str">
        <f t="shared" si="4"/>
        <v>Exist_KI_11MW_COA_UID2458</v>
      </c>
      <c r="AB86" s="131" t="str">
        <f>'Kalimantan Only'!B76</f>
        <v>Exist_KI_11MW_COA_UID2458</v>
      </c>
      <c r="AC86" s="129" t="str">
        <f t="shared" si="6"/>
        <v>PJ</v>
      </c>
      <c r="AD86" s="129" t="str">
        <f t="shared" si="7"/>
        <v>GW</v>
      </c>
    </row>
    <row r="87" spans="2:30" ht="14">
      <c r="B87" s="28" t="str">
        <f>'Kalimantan Only'!B77</f>
        <v>Exist_KI_8MW_OIL_UID2463</v>
      </c>
      <c r="C87" s="28" t="str">
        <f>"ELC"&amp;'Kalimantan Only'!Q77</f>
        <v>ELCOIL</v>
      </c>
      <c r="D87" s="28" t="str">
        <f t="shared" si="5"/>
        <v>ELC</v>
      </c>
      <c r="E87" s="100">
        <f>'Kalimantan Only'!V77</f>
        <v>0.31338197955563979</v>
      </c>
      <c r="F87" s="100">
        <f>VLOOKUP(Con_ELC!$C87,Parsing!$C$20:$J$24,4,FALSE)</f>
        <v>0.5</v>
      </c>
      <c r="G87" s="99"/>
      <c r="H87" s="100">
        <f>VLOOKUP(Con_ELC!$C87,Parsing!$C$20:$J$24,6,FALSE)</f>
        <v>8</v>
      </c>
      <c r="I87" s="100">
        <f>VLOOKUP(Con_ELC!$C87,Parsing!$C$20:$J$24,7,FALSE)</f>
        <v>1.7777777777777779</v>
      </c>
      <c r="J87" s="100">
        <f>VLOOKUP(Con_ELC!$C87,Parsing!$C$20:$J$24,8,FALSE)</f>
        <v>10</v>
      </c>
      <c r="K87" s="124">
        <v>31.536000000000001</v>
      </c>
      <c r="L87" s="100">
        <v>1</v>
      </c>
      <c r="M87" s="202">
        <f>'Kalimantan Only'!K77/1000</f>
        <v>8.0000000000000002E-3</v>
      </c>
      <c r="N87" s="8">
        <f>'Kalimantan Only'!S77</f>
        <v>2009</v>
      </c>
      <c r="AA87" s="129" t="str">
        <f t="shared" si="4"/>
        <v>Exist_KI_8MW_OIL_UID2463</v>
      </c>
      <c r="AB87" s="131" t="str">
        <f>'Kalimantan Only'!B77</f>
        <v>Exist_KI_8MW_OIL_UID2463</v>
      </c>
      <c r="AC87" s="129" t="str">
        <f t="shared" si="6"/>
        <v>PJ</v>
      </c>
      <c r="AD87" s="129" t="str">
        <f t="shared" si="7"/>
        <v>GW</v>
      </c>
    </row>
    <row r="88" spans="2:30" ht="14">
      <c r="B88" s="28" t="str">
        <f>'Kalimantan Only'!B78</f>
        <v>Exist_KI_8MW_OIL_UID2464</v>
      </c>
      <c r="C88" s="28" t="str">
        <f>"ELC"&amp;'Kalimantan Only'!Q78</f>
        <v>ELCOIL</v>
      </c>
      <c r="D88" s="28" t="str">
        <f t="shared" si="5"/>
        <v>ELC</v>
      </c>
      <c r="E88" s="100">
        <f>'Kalimantan Only'!V78</f>
        <v>0.31338197955563979</v>
      </c>
      <c r="F88" s="100">
        <f>VLOOKUP(Con_ELC!$C88,Parsing!$C$20:$J$24,4,FALSE)</f>
        <v>0.5</v>
      </c>
      <c r="G88" s="99"/>
      <c r="H88" s="100">
        <f>VLOOKUP(Con_ELC!$C88,Parsing!$C$20:$J$24,6,FALSE)</f>
        <v>8</v>
      </c>
      <c r="I88" s="100">
        <f>VLOOKUP(Con_ELC!$C88,Parsing!$C$20:$J$24,7,FALSE)</f>
        <v>1.7777777777777779</v>
      </c>
      <c r="J88" s="100">
        <f>VLOOKUP(Con_ELC!$C88,Parsing!$C$20:$J$24,8,FALSE)</f>
        <v>10</v>
      </c>
      <c r="K88" s="124">
        <v>31.536000000000001</v>
      </c>
      <c r="L88" s="100">
        <v>1</v>
      </c>
      <c r="M88" s="202">
        <f>'Kalimantan Only'!K78/1000</f>
        <v>8.0000000000000002E-3</v>
      </c>
      <c r="N88" s="8">
        <f>'Kalimantan Only'!S78</f>
        <v>2009</v>
      </c>
      <c r="AA88" s="129" t="str">
        <f t="shared" si="4"/>
        <v>Exist_KI_8MW_OIL_UID2464</v>
      </c>
      <c r="AB88" s="131" t="str">
        <f>'Kalimantan Only'!B78</f>
        <v>Exist_KI_8MW_OIL_UID2464</v>
      </c>
      <c r="AC88" s="129" t="str">
        <f t="shared" si="6"/>
        <v>PJ</v>
      </c>
      <c r="AD88" s="129" t="str">
        <f t="shared" si="7"/>
        <v>GW</v>
      </c>
    </row>
    <row r="89" spans="2:30" ht="14">
      <c r="B89" s="28" t="str">
        <f>'Kalimantan Only'!B79</f>
        <v>Exist_KI_8MW_OIL_UID2465</v>
      </c>
      <c r="C89" s="28" t="str">
        <f>"ELC"&amp;'Kalimantan Only'!Q79</f>
        <v>ELCOIL</v>
      </c>
      <c r="D89" s="28" t="str">
        <f t="shared" si="5"/>
        <v>ELC</v>
      </c>
      <c r="E89" s="100">
        <f>'Kalimantan Only'!V79</f>
        <v>0.31338197955563979</v>
      </c>
      <c r="F89" s="100">
        <f>VLOOKUP(Con_ELC!$C89,Parsing!$C$20:$J$24,4,FALSE)</f>
        <v>0.5</v>
      </c>
      <c r="G89" s="99"/>
      <c r="H89" s="100">
        <f>VLOOKUP(Con_ELC!$C89,Parsing!$C$20:$J$24,6,FALSE)</f>
        <v>8</v>
      </c>
      <c r="I89" s="100">
        <f>VLOOKUP(Con_ELC!$C89,Parsing!$C$20:$J$24,7,FALSE)</f>
        <v>1.7777777777777779</v>
      </c>
      <c r="J89" s="100">
        <f>VLOOKUP(Con_ELC!$C89,Parsing!$C$20:$J$24,8,FALSE)</f>
        <v>10</v>
      </c>
      <c r="K89" s="124">
        <v>31.536000000000001</v>
      </c>
      <c r="L89" s="100">
        <v>1</v>
      </c>
      <c r="M89" s="202">
        <f>'Kalimantan Only'!K79/1000</f>
        <v>8.0000000000000002E-3</v>
      </c>
      <c r="N89" s="8">
        <f>'Kalimantan Only'!S79</f>
        <v>2009</v>
      </c>
      <c r="AA89" s="129" t="str">
        <f t="shared" si="4"/>
        <v>Exist_KI_8MW_OIL_UID2465</v>
      </c>
      <c r="AB89" s="131" t="str">
        <f>'Kalimantan Only'!B79</f>
        <v>Exist_KI_8MW_OIL_UID2465</v>
      </c>
      <c r="AC89" s="129" t="str">
        <f t="shared" si="6"/>
        <v>PJ</v>
      </c>
      <c r="AD89" s="129" t="str">
        <f t="shared" si="7"/>
        <v>GW</v>
      </c>
    </row>
    <row r="90" spans="2:30" ht="14">
      <c r="B90" s="28" t="str">
        <f>'Kalimantan Only'!B80</f>
        <v>Exist_KI_8MW_OIL_UID2466</v>
      </c>
      <c r="C90" s="28" t="str">
        <f>"ELC"&amp;'Kalimantan Only'!Q80</f>
        <v>ELCOIL</v>
      </c>
      <c r="D90" s="28" t="str">
        <f t="shared" si="5"/>
        <v>ELC</v>
      </c>
      <c r="E90" s="100">
        <f>'Kalimantan Only'!V80</f>
        <v>0.31338197955563979</v>
      </c>
      <c r="F90" s="100">
        <f>VLOOKUP(Con_ELC!$C90,Parsing!$C$20:$J$24,4,FALSE)</f>
        <v>0.5</v>
      </c>
      <c r="G90" s="99"/>
      <c r="H90" s="100">
        <f>VLOOKUP(Con_ELC!$C90,Parsing!$C$20:$J$24,6,FALSE)</f>
        <v>8</v>
      </c>
      <c r="I90" s="100">
        <f>VLOOKUP(Con_ELC!$C90,Parsing!$C$20:$J$24,7,FALSE)</f>
        <v>1.7777777777777779</v>
      </c>
      <c r="J90" s="100">
        <f>VLOOKUP(Con_ELC!$C90,Parsing!$C$20:$J$24,8,FALSE)</f>
        <v>10</v>
      </c>
      <c r="K90" s="124">
        <v>31.536000000000001</v>
      </c>
      <c r="L90" s="100">
        <v>1</v>
      </c>
      <c r="M90" s="202">
        <f>'Kalimantan Only'!K80/1000</f>
        <v>8.0000000000000002E-3</v>
      </c>
      <c r="N90" s="8">
        <f>'Kalimantan Only'!S80</f>
        <v>2009</v>
      </c>
      <c r="AA90" s="129" t="str">
        <f t="shared" si="4"/>
        <v>Exist_KI_8MW_OIL_UID2466</v>
      </c>
      <c r="AB90" s="131" t="str">
        <f>'Kalimantan Only'!B80</f>
        <v>Exist_KI_8MW_OIL_UID2466</v>
      </c>
      <c r="AC90" s="129" t="str">
        <f t="shared" si="6"/>
        <v>PJ</v>
      </c>
      <c r="AD90" s="129" t="str">
        <f t="shared" si="7"/>
        <v>GW</v>
      </c>
    </row>
    <row r="91" spans="2:30" ht="14">
      <c r="B91" s="28" t="str">
        <f>'Kalimantan Only'!B81</f>
        <v>Exist_KI_8MW_OIL_UID2467</v>
      </c>
      <c r="C91" s="28" t="str">
        <f>"ELC"&amp;'Kalimantan Only'!Q81</f>
        <v>ELCOIL</v>
      </c>
      <c r="D91" s="28" t="str">
        <f t="shared" si="5"/>
        <v>ELC</v>
      </c>
      <c r="E91" s="100">
        <f>'Kalimantan Only'!V81</f>
        <v>0.31338197955563979</v>
      </c>
      <c r="F91" s="100">
        <f>VLOOKUP(Con_ELC!$C91,Parsing!$C$20:$J$24,4,FALSE)</f>
        <v>0.5</v>
      </c>
      <c r="G91" s="99"/>
      <c r="H91" s="100">
        <f>VLOOKUP(Con_ELC!$C91,Parsing!$C$20:$J$24,6,FALSE)</f>
        <v>8</v>
      </c>
      <c r="I91" s="100">
        <f>VLOOKUP(Con_ELC!$C91,Parsing!$C$20:$J$24,7,FALSE)</f>
        <v>1.7777777777777779</v>
      </c>
      <c r="J91" s="100">
        <f>VLOOKUP(Con_ELC!$C91,Parsing!$C$20:$J$24,8,FALSE)</f>
        <v>10</v>
      </c>
      <c r="K91" s="124">
        <v>31.536000000000001</v>
      </c>
      <c r="L91" s="100">
        <v>1</v>
      </c>
      <c r="M91" s="202">
        <f>'Kalimantan Only'!K81/1000</f>
        <v>8.0000000000000002E-3</v>
      </c>
      <c r="N91" s="8">
        <f>'Kalimantan Only'!S81</f>
        <v>2009</v>
      </c>
      <c r="AA91" s="129" t="str">
        <f t="shared" si="4"/>
        <v>Exist_KI_8MW_OIL_UID2467</v>
      </c>
      <c r="AB91" s="131" t="str">
        <f>'Kalimantan Only'!B81</f>
        <v>Exist_KI_8MW_OIL_UID2467</v>
      </c>
      <c r="AC91" s="129" t="str">
        <f t="shared" si="6"/>
        <v>PJ</v>
      </c>
      <c r="AD91" s="129" t="str">
        <f t="shared" si="7"/>
        <v>GW</v>
      </c>
    </row>
    <row r="92" spans="2:30" ht="14">
      <c r="B92" s="28" t="str">
        <f>'Kalimantan Only'!B82</f>
        <v>Exist_KI_27.5MW_COA_UID2469</v>
      </c>
      <c r="C92" s="28" t="str">
        <f>"ELC"&amp;'Kalimantan Only'!Q82</f>
        <v>ELCCOA</v>
      </c>
      <c r="D92" s="28" t="str">
        <f t="shared" si="5"/>
        <v>ELC</v>
      </c>
      <c r="E92" s="100">
        <f>'Kalimantan Only'!V82</f>
        <v>0.30788666305720996</v>
      </c>
      <c r="F92" s="100">
        <f>VLOOKUP(Con_ELC!$C92,Parsing!$C$20:$J$24,4,FALSE)</f>
        <v>0.84999999999999976</v>
      </c>
      <c r="G92" s="99"/>
      <c r="H92" s="100">
        <f>VLOOKUP(Con_ELC!$C92,Parsing!$C$20:$J$24,6,FALSE)</f>
        <v>56</v>
      </c>
      <c r="I92" s="100">
        <f>VLOOKUP(Con_ELC!$C92,Parsing!$C$20:$J$24,7,FALSE)</f>
        <v>4.4444444444444446E-2</v>
      </c>
      <c r="J92" s="100">
        <f>VLOOKUP(Con_ELC!$C92,Parsing!$C$20:$J$24,8,FALSE)</f>
        <v>25</v>
      </c>
      <c r="K92" s="124">
        <v>31.536000000000001</v>
      </c>
      <c r="L92" s="100">
        <v>1</v>
      </c>
      <c r="M92" s="202">
        <f>'Kalimantan Only'!K82/1000</f>
        <v>2.75E-2</v>
      </c>
      <c r="N92" s="8">
        <f>'Kalimantan Only'!S82</f>
        <v>2018</v>
      </c>
      <c r="AA92" s="129" t="str">
        <f t="shared" si="4"/>
        <v>Exist_KI_27.5MW_COA_UID2469</v>
      </c>
      <c r="AB92" s="131" t="str">
        <f>'Kalimantan Only'!B82</f>
        <v>Exist_KI_27.5MW_COA_UID2469</v>
      </c>
      <c r="AC92" s="129" t="str">
        <f t="shared" si="6"/>
        <v>PJ</v>
      </c>
      <c r="AD92" s="129" t="str">
        <f t="shared" si="7"/>
        <v>GW</v>
      </c>
    </row>
    <row r="93" spans="2:30" ht="14">
      <c r="B93" s="28" t="str">
        <f>'Kalimantan Only'!B83</f>
        <v>Exist_KI_46MW_GAS_UID2474</v>
      </c>
      <c r="C93" s="28" t="str">
        <f>"ELC"&amp;'Kalimantan Only'!Q83</f>
        <v>ELCGAS</v>
      </c>
      <c r="D93" s="28" t="str">
        <f t="shared" si="5"/>
        <v>ELC</v>
      </c>
      <c r="E93" s="100">
        <f>'Kalimantan Only'!V83</f>
        <v>0.27368854818237726</v>
      </c>
      <c r="F93" s="100">
        <f>VLOOKUP(Con_ELC!$C93,Parsing!$C$20:$J$24,4,FALSE)</f>
        <v>0.85000000000000009</v>
      </c>
      <c r="G93" s="99"/>
      <c r="H93" s="100">
        <f>VLOOKUP(Con_ELC!$C93,Parsing!$C$20:$J$24,6,FALSE)</f>
        <v>23.2</v>
      </c>
      <c r="I93" s="100">
        <f>VLOOKUP(Con_ELC!$C93,Parsing!$C$20:$J$24,7,FALSE)</f>
        <v>0</v>
      </c>
      <c r="J93" s="100">
        <f>VLOOKUP(Con_ELC!$C93,Parsing!$C$20:$J$24,8,FALSE)</f>
        <v>20</v>
      </c>
      <c r="K93" s="124">
        <v>31.536000000000001</v>
      </c>
      <c r="L93" s="100">
        <v>1</v>
      </c>
      <c r="M93" s="202">
        <f>'Kalimantan Only'!K83/1000</f>
        <v>4.5999999999999999E-2</v>
      </c>
      <c r="N93" s="8">
        <f>'Kalimantan Only'!S83</f>
        <v>2014</v>
      </c>
      <c r="AA93" s="129" t="str">
        <f t="shared" si="4"/>
        <v>Exist_KI_46MW_GAS_UID2474</v>
      </c>
      <c r="AB93" s="131" t="str">
        <f>'Kalimantan Only'!B83</f>
        <v>Exist_KI_46MW_GAS_UID2474</v>
      </c>
      <c r="AC93" s="129" t="str">
        <f t="shared" si="6"/>
        <v>PJ</v>
      </c>
      <c r="AD93" s="129" t="str">
        <f t="shared" si="7"/>
        <v>GW</v>
      </c>
    </row>
    <row r="94" spans="2:30" ht="14">
      <c r="B94" s="28" t="str">
        <f>'Kalimantan Only'!B84</f>
        <v>Exist_KI_46MW_GAS_UID2475</v>
      </c>
      <c r="C94" s="28" t="str">
        <f>"ELC"&amp;'Kalimantan Only'!Q84</f>
        <v>ELCGAS</v>
      </c>
      <c r="D94" s="28" t="str">
        <f t="shared" si="5"/>
        <v>ELC</v>
      </c>
      <c r="E94" s="100">
        <f>'Kalimantan Only'!V84</f>
        <v>0.31181044795959068</v>
      </c>
      <c r="F94" s="100">
        <f>VLOOKUP(Con_ELC!$C94,Parsing!$C$20:$J$24,4,FALSE)</f>
        <v>0.85000000000000009</v>
      </c>
      <c r="G94" s="99"/>
      <c r="H94" s="100">
        <f>VLOOKUP(Con_ELC!$C94,Parsing!$C$20:$J$24,6,FALSE)</f>
        <v>23.2</v>
      </c>
      <c r="I94" s="100">
        <f>VLOOKUP(Con_ELC!$C94,Parsing!$C$20:$J$24,7,FALSE)</f>
        <v>0</v>
      </c>
      <c r="J94" s="100">
        <f>VLOOKUP(Con_ELC!$C94,Parsing!$C$20:$J$24,8,FALSE)</f>
        <v>20</v>
      </c>
      <c r="K94" s="124">
        <v>31.536000000000001</v>
      </c>
      <c r="L94" s="100">
        <v>1</v>
      </c>
      <c r="M94" s="202">
        <f>'Kalimantan Only'!K84/1000</f>
        <v>4.5999999999999999E-2</v>
      </c>
      <c r="N94" s="8">
        <f>'Kalimantan Only'!S84</f>
        <v>2015</v>
      </c>
      <c r="AA94" s="129" t="str">
        <f t="shared" si="4"/>
        <v>Exist_KI_46MW_GAS_UID2475</v>
      </c>
      <c r="AB94" s="131" t="str">
        <f>'Kalimantan Only'!B84</f>
        <v>Exist_KI_46MW_GAS_UID2475</v>
      </c>
      <c r="AC94" s="129" t="str">
        <f t="shared" si="6"/>
        <v>PJ</v>
      </c>
      <c r="AD94" s="129" t="str">
        <f t="shared" si="7"/>
        <v>GW</v>
      </c>
    </row>
    <row r="95" spans="2:30" ht="14">
      <c r="B95" s="28" t="str">
        <f>'Kalimantan Only'!B85</f>
        <v>Exist_KI_22.5MW_COA_UID2476</v>
      </c>
      <c r="C95" s="28" t="str">
        <f>"ELC"&amp;'Kalimantan Only'!Q85</f>
        <v>ELCCOA</v>
      </c>
      <c r="D95" s="28" t="str">
        <f t="shared" si="5"/>
        <v>ELC</v>
      </c>
      <c r="E95" s="100">
        <f>'Kalimantan Only'!V85</f>
        <v>0.32496606999928568</v>
      </c>
      <c r="F95" s="100">
        <f>VLOOKUP(Con_ELC!$C95,Parsing!$C$20:$J$24,4,FALSE)</f>
        <v>0.84999999999999976</v>
      </c>
      <c r="G95" s="99"/>
      <c r="H95" s="100">
        <f>VLOOKUP(Con_ELC!$C95,Parsing!$C$20:$J$24,6,FALSE)</f>
        <v>56</v>
      </c>
      <c r="I95" s="100">
        <f>VLOOKUP(Con_ELC!$C95,Parsing!$C$20:$J$24,7,FALSE)</f>
        <v>4.4444444444444446E-2</v>
      </c>
      <c r="J95" s="100">
        <f>VLOOKUP(Con_ELC!$C95,Parsing!$C$20:$J$24,8,FALSE)</f>
        <v>25</v>
      </c>
      <c r="K95" s="124">
        <v>31.536000000000001</v>
      </c>
      <c r="L95" s="100">
        <v>1</v>
      </c>
      <c r="M95" s="202">
        <f>'Kalimantan Only'!K85/1000</f>
        <v>2.2499999999999999E-2</v>
      </c>
      <c r="N95" s="8">
        <f>'Kalimantan Only'!S85</f>
        <v>2008</v>
      </c>
      <c r="AA95" s="129" t="str">
        <f t="shared" si="4"/>
        <v>Exist_KI_22.5MW_COA_UID2476</v>
      </c>
      <c r="AB95" s="131" t="str">
        <f>'Kalimantan Only'!B85</f>
        <v>Exist_KI_22.5MW_COA_UID2476</v>
      </c>
      <c r="AC95" s="129" t="str">
        <f t="shared" si="6"/>
        <v>PJ</v>
      </c>
      <c r="AD95" s="129" t="str">
        <f t="shared" si="7"/>
        <v>GW</v>
      </c>
    </row>
    <row r="96" spans="2:30" ht="14">
      <c r="B96" s="28" t="str">
        <f>'Kalimantan Only'!B86</f>
        <v>Exist_KI_22.5MW_COA_UID2477</v>
      </c>
      <c r="C96" s="28" t="str">
        <f>"ELC"&amp;'Kalimantan Only'!Q86</f>
        <v>ELCCOA</v>
      </c>
      <c r="D96" s="28" t="str">
        <f t="shared" si="5"/>
        <v>ELC</v>
      </c>
      <c r="E96" s="100">
        <f>'Kalimantan Only'!V86</f>
        <v>0.32496606999928568</v>
      </c>
      <c r="F96" s="100">
        <f>VLOOKUP(Con_ELC!$C96,Parsing!$C$20:$J$24,4,FALSE)</f>
        <v>0.84999999999999976</v>
      </c>
      <c r="G96" s="99"/>
      <c r="H96" s="100">
        <f>VLOOKUP(Con_ELC!$C96,Parsing!$C$20:$J$24,6,FALSE)</f>
        <v>56</v>
      </c>
      <c r="I96" s="100">
        <f>VLOOKUP(Con_ELC!$C96,Parsing!$C$20:$J$24,7,FALSE)</f>
        <v>4.4444444444444446E-2</v>
      </c>
      <c r="J96" s="100">
        <f>VLOOKUP(Con_ELC!$C96,Parsing!$C$20:$J$24,8,FALSE)</f>
        <v>25</v>
      </c>
      <c r="K96" s="124">
        <v>31.536000000000001</v>
      </c>
      <c r="L96" s="100">
        <v>1</v>
      </c>
      <c r="M96" s="202">
        <f>'Kalimantan Only'!K86/1000</f>
        <v>2.2499999999999999E-2</v>
      </c>
      <c r="N96" s="8">
        <f>'Kalimantan Only'!S86</f>
        <v>2008</v>
      </c>
      <c r="AA96" s="129" t="str">
        <f t="shared" si="4"/>
        <v>Exist_KI_22.5MW_COA_UID2477</v>
      </c>
      <c r="AB96" s="131" t="str">
        <f>'Kalimantan Only'!B86</f>
        <v>Exist_KI_22.5MW_COA_UID2477</v>
      </c>
      <c r="AC96" s="129" t="str">
        <f t="shared" si="6"/>
        <v>PJ</v>
      </c>
      <c r="AD96" s="129" t="str">
        <f t="shared" si="7"/>
        <v>GW</v>
      </c>
    </row>
    <row r="97" spans="2:30" ht="14">
      <c r="B97" s="28" t="str">
        <f>'Kalimantan Only'!B87</f>
        <v>Exist_KI_50MW_COA_UID2478</v>
      </c>
      <c r="C97" s="28" t="str">
        <f>"ELC"&amp;'Kalimantan Only'!Q87</f>
        <v>ELCCOA</v>
      </c>
      <c r="D97" s="28" t="str">
        <f t="shared" si="5"/>
        <v>ELC</v>
      </c>
      <c r="E97" s="100">
        <f>'Kalimantan Only'!V87</f>
        <v>0.31105134808669693</v>
      </c>
      <c r="F97" s="100">
        <f>VLOOKUP(Con_ELC!$C97,Parsing!$C$20:$J$24,4,FALSE)</f>
        <v>0.84999999999999976</v>
      </c>
      <c r="G97" s="99"/>
      <c r="H97" s="100">
        <f>VLOOKUP(Con_ELC!$C97,Parsing!$C$20:$J$24,6,FALSE)</f>
        <v>56</v>
      </c>
      <c r="I97" s="100">
        <f>VLOOKUP(Con_ELC!$C97,Parsing!$C$20:$J$24,7,FALSE)</f>
        <v>4.4444444444444446E-2</v>
      </c>
      <c r="J97" s="100">
        <f>VLOOKUP(Con_ELC!$C97,Parsing!$C$20:$J$24,8,FALSE)</f>
        <v>25</v>
      </c>
      <c r="K97" s="124">
        <v>31.536000000000001</v>
      </c>
      <c r="L97" s="100">
        <v>1</v>
      </c>
      <c r="M97" s="202">
        <f>'Kalimantan Only'!K87/1000</f>
        <v>0.05</v>
      </c>
      <c r="N97" s="8">
        <f>'Kalimantan Only'!S87</f>
        <v>2014</v>
      </c>
      <c r="AA97" s="129" t="str">
        <f t="shared" si="4"/>
        <v>Exist_KI_50MW_COA_UID2478</v>
      </c>
      <c r="AB97" s="131" t="str">
        <f>'Kalimantan Only'!B87</f>
        <v>Exist_KI_50MW_COA_UID2478</v>
      </c>
      <c r="AC97" s="129" t="str">
        <f t="shared" si="6"/>
        <v>PJ</v>
      </c>
      <c r="AD97" s="129" t="str">
        <f t="shared" si="7"/>
        <v>GW</v>
      </c>
    </row>
    <row r="98" spans="2:30" ht="14">
      <c r="B98" s="28" t="str">
        <f>'Kalimantan Only'!B88</f>
        <v>Exist_KT_2MW_OIL_UID2777</v>
      </c>
      <c r="C98" s="28" t="str">
        <f>"ELC"&amp;'Kalimantan Only'!Q88</f>
        <v>ELCOIL</v>
      </c>
      <c r="D98" s="28" t="str">
        <f t="shared" si="5"/>
        <v>ELC</v>
      </c>
      <c r="E98" s="100">
        <f>'Kalimantan Only'!V88</f>
        <v>0.31338197955563979</v>
      </c>
      <c r="F98" s="100">
        <f>VLOOKUP(Con_ELC!$C98,Parsing!$C$20:$J$24,4,FALSE)</f>
        <v>0.5</v>
      </c>
      <c r="G98" s="99"/>
      <c r="H98" s="100">
        <f>VLOOKUP(Con_ELC!$C98,Parsing!$C$20:$J$24,6,FALSE)</f>
        <v>8</v>
      </c>
      <c r="I98" s="100">
        <f>VLOOKUP(Con_ELC!$C98,Parsing!$C$20:$J$24,7,FALSE)</f>
        <v>1.7777777777777779</v>
      </c>
      <c r="J98" s="100">
        <f>VLOOKUP(Con_ELC!$C98,Parsing!$C$20:$J$24,8,FALSE)</f>
        <v>10</v>
      </c>
      <c r="K98" s="124">
        <v>31.536000000000001</v>
      </c>
      <c r="L98" s="100">
        <v>1</v>
      </c>
      <c r="M98" s="202">
        <f>'Kalimantan Only'!K88/1000</f>
        <v>2E-3</v>
      </c>
      <c r="N98" s="8">
        <f>'Kalimantan Only'!S88</f>
        <v>1995</v>
      </c>
      <c r="AA98" s="129" t="str">
        <f t="shared" si="4"/>
        <v>Exist_KT_2MW_OIL_UID2777</v>
      </c>
      <c r="AB98" s="131" t="str">
        <f>'Kalimantan Only'!B88</f>
        <v>Exist_KT_2MW_OIL_UID2777</v>
      </c>
      <c r="AC98" s="129" t="str">
        <f t="shared" si="6"/>
        <v>PJ</v>
      </c>
      <c r="AD98" s="129" t="str">
        <f t="shared" si="7"/>
        <v>GW</v>
      </c>
    </row>
    <row r="99" spans="2:30" ht="14">
      <c r="B99" s="28" t="str">
        <f>'Kalimantan Only'!B89</f>
        <v>Exist_KT_0.1MW_OIL_UID2778</v>
      </c>
      <c r="C99" s="28" t="str">
        <f>"ELC"&amp;'Kalimantan Only'!Q89</f>
        <v>ELCOIL</v>
      </c>
      <c r="D99" s="28" t="str">
        <f t="shared" si="5"/>
        <v>ELC</v>
      </c>
      <c r="E99" s="100">
        <f>'Kalimantan Only'!V89</f>
        <v>0.31338197955563979</v>
      </c>
      <c r="F99" s="100">
        <f>VLOOKUP(Con_ELC!$C99,Parsing!$C$20:$J$24,4,FALSE)</f>
        <v>0.5</v>
      </c>
      <c r="G99" s="99"/>
      <c r="H99" s="100">
        <f>VLOOKUP(Con_ELC!$C99,Parsing!$C$20:$J$24,6,FALSE)</f>
        <v>8</v>
      </c>
      <c r="I99" s="100">
        <f>VLOOKUP(Con_ELC!$C99,Parsing!$C$20:$J$24,7,FALSE)</f>
        <v>1.7777777777777779</v>
      </c>
      <c r="J99" s="100">
        <f>VLOOKUP(Con_ELC!$C99,Parsing!$C$20:$J$24,8,FALSE)</f>
        <v>10</v>
      </c>
      <c r="K99" s="124">
        <v>31.536000000000001</v>
      </c>
      <c r="L99" s="100">
        <v>1</v>
      </c>
      <c r="M99" s="202">
        <f>'Kalimantan Only'!K89/1000</f>
        <v>1.15E-4</v>
      </c>
      <c r="N99" s="8">
        <f>'Kalimantan Only'!S89</f>
        <v>2000</v>
      </c>
      <c r="AA99" s="129" t="str">
        <f t="shared" si="4"/>
        <v>Exist_KT_0.1MW_OIL_UID2778</v>
      </c>
      <c r="AB99" s="131" t="str">
        <f>'Kalimantan Only'!B89</f>
        <v>Exist_KT_0.1MW_OIL_UID2778</v>
      </c>
      <c r="AC99" s="129" t="str">
        <f t="shared" si="6"/>
        <v>PJ</v>
      </c>
      <c r="AD99" s="129" t="str">
        <f t="shared" si="7"/>
        <v>GW</v>
      </c>
    </row>
    <row r="100" spans="2:30" ht="14">
      <c r="B100" s="28" t="str">
        <f>'Kalimantan Only'!B90</f>
        <v>Exist_KT_1.9MW_OIL_UID2790</v>
      </c>
      <c r="C100" s="28" t="str">
        <f>"ELC"&amp;'Kalimantan Only'!Q90</f>
        <v>ELCOIL</v>
      </c>
      <c r="D100" s="28" t="str">
        <f t="shared" si="5"/>
        <v>ELC</v>
      </c>
      <c r="E100" s="100">
        <f>'Kalimantan Only'!V90</f>
        <v>0.31338197955563979</v>
      </c>
      <c r="F100" s="100">
        <f>VLOOKUP(Con_ELC!$C100,Parsing!$C$20:$J$24,4,FALSE)</f>
        <v>0.5</v>
      </c>
      <c r="G100" s="99"/>
      <c r="H100" s="100">
        <f>VLOOKUP(Con_ELC!$C100,Parsing!$C$20:$J$24,6,FALSE)</f>
        <v>8</v>
      </c>
      <c r="I100" s="100">
        <f>VLOOKUP(Con_ELC!$C100,Parsing!$C$20:$J$24,7,FALSE)</f>
        <v>1.7777777777777779</v>
      </c>
      <c r="J100" s="100">
        <f>VLOOKUP(Con_ELC!$C100,Parsing!$C$20:$J$24,8,FALSE)</f>
        <v>10</v>
      </c>
      <c r="K100" s="124">
        <v>31.536000000000001</v>
      </c>
      <c r="L100" s="100">
        <v>1</v>
      </c>
      <c r="M100" s="202">
        <f>'Kalimantan Only'!K90/1000</f>
        <v>1.9E-3</v>
      </c>
      <c r="N100" s="8">
        <f>'Kalimantan Only'!S90</f>
        <v>1997</v>
      </c>
      <c r="AA100" s="129" t="str">
        <f t="shared" si="4"/>
        <v>Exist_KT_1.9MW_OIL_UID2790</v>
      </c>
      <c r="AB100" s="131" t="str">
        <f>'Kalimantan Only'!B90</f>
        <v>Exist_KT_1.9MW_OIL_UID2790</v>
      </c>
      <c r="AC100" s="129" t="str">
        <f t="shared" si="6"/>
        <v>PJ</v>
      </c>
      <c r="AD100" s="129" t="str">
        <f t="shared" si="7"/>
        <v>GW</v>
      </c>
    </row>
    <row r="101" spans="2:30" ht="14">
      <c r="B101" s="28" t="str">
        <f>'Kalimantan Only'!B91</f>
        <v>Exist_KT_1.9MW_OIL_UID2791</v>
      </c>
      <c r="C101" s="28" t="str">
        <f>"ELC"&amp;'Kalimantan Only'!Q91</f>
        <v>ELCOIL</v>
      </c>
      <c r="D101" s="28" t="str">
        <f t="shared" si="5"/>
        <v>ELC</v>
      </c>
      <c r="E101" s="100">
        <f>'Kalimantan Only'!V91</f>
        <v>0.31338197955563979</v>
      </c>
      <c r="F101" s="100">
        <f>VLOOKUP(Con_ELC!$C101,Parsing!$C$20:$J$24,4,FALSE)</f>
        <v>0.5</v>
      </c>
      <c r="G101" s="99"/>
      <c r="H101" s="100">
        <f>VLOOKUP(Con_ELC!$C101,Parsing!$C$20:$J$24,6,FALSE)</f>
        <v>8</v>
      </c>
      <c r="I101" s="100">
        <f>VLOOKUP(Con_ELC!$C101,Parsing!$C$20:$J$24,7,FALSE)</f>
        <v>1.7777777777777779</v>
      </c>
      <c r="J101" s="100">
        <f>VLOOKUP(Con_ELC!$C101,Parsing!$C$20:$J$24,8,FALSE)</f>
        <v>10</v>
      </c>
      <c r="K101" s="124">
        <v>31.536000000000001</v>
      </c>
      <c r="L101" s="100">
        <v>1</v>
      </c>
      <c r="M101" s="202">
        <f>'Kalimantan Only'!K91/1000</f>
        <v>1.9E-3</v>
      </c>
      <c r="N101" s="8">
        <f>'Kalimantan Only'!S91</f>
        <v>1997</v>
      </c>
      <c r="AA101" s="129" t="str">
        <f t="shared" si="4"/>
        <v>Exist_KT_1.9MW_OIL_UID2791</v>
      </c>
      <c r="AB101" s="131" t="str">
        <f>'Kalimantan Only'!B91</f>
        <v>Exist_KT_1.9MW_OIL_UID2791</v>
      </c>
      <c r="AC101" s="129" t="str">
        <f t="shared" si="6"/>
        <v>PJ</v>
      </c>
      <c r="AD101" s="129" t="str">
        <f t="shared" si="7"/>
        <v>GW</v>
      </c>
    </row>
    <row r="102" spans="2:30" ht="14">
      <c r="B102" s="28" t="str">
        <f>'Kalimantan Only'!B92</f>
        <v>Exist_KT_0.1MW_OIL_UID2796</v>
      </c>
      <c r="C102" s="28" t="str">
        <f>"ELC"&amp;'Kalimantan Only'!Q92</f>
        <v>ELCOIL</v>
      </c>
      <c r="D102" s="28" t="str">
        <f t="shared" si="5"/>
        <v>ELC</v>
      </c>
      <c r="E102" s="100">
        <f>'Kalimantan Only'!V92</f>
        <v>0.31338197955563979</v>
      </c>
      <c r="F102" s="100">
        <f>VLOOKUP(Con_ELC!$C102,Parsing!$C$20:$J$24,4,FALSE)</f>
        <v>0.5</v>
      </c>
      <c r="G102" s="99"/>
      <c r="H102" s="100">
        <f>VLOOKUP(Con_ELC!$C102,Parsing!$C$20:$J$24,6,FALSE)</f>
        <v>8</v>
      </c>
      <c r="I102" s="100">
        <f>VLOOKUP(Con_ELC!$C102,Parsing!$C$20:$J$24,7,FALSE)</f>
        <v>1.7777777777777779</v>
      </c>
      <c r="J102" s="100">
        <f>VLOOKUP(Con_ELC!$C102,Parsing!$C$20:$J$24,8,FALSE)</f>
        <v>10</v>
      </c>
      <c r="K102" s="124">
        <v>31.536000000000001</v>
      </c>
      <c r="L102" s="100">
        <v>1</v>
      </c>
      <c r="M102" s="202">
        <f>'Kalimantan Only'!K92/1000</f>
        <v>1E-4</v>
      </c>
      <c r="N102" s="8">
        <f>'Kalimantan Only'!S92</f>
        <v>2017</v>
      </c>
      <c r="AA102" s="129" t="str">
        <f t="shared" si="4"/>
        <v>Exist_KT_0.1MW_OIL_UID2796</v>
      </c>
      <c r="AB102" s="131" t="str">
        <f>'Kalimantan Only'!B92</f>
        <v>Exist_KT_0.1MW_OIL_UID2796</v>
      </c>
      <c r="AC102" s="129" t="str">
        <f t="shared" si="6"/>
        <v>PJ</v>
      </c>
      <c r="AD102" s="129" t="str">
        <f t="shared" si="7"/>
        <v>GW</v>
      </c>
    </row>
    <row r="103" spans="2:30" ht="14">
      <c r="B103" s="28" t="str">
        <f>'Kalimantan Only'!B93</f>
        <v>Exist_KT_0.8MW_OIL_UID2797</v>
      </c>
      <c r="C103" s="28" t="str">
        <f>"ELC"&amp;'Kalimantan Only'!Q93</f>
        <v>ELCOIL</v>
      </c>
      <c r="D103" s="28" t="str">
        <f t="shared" si="5"/>
        <v>ELC</v>
      </c>
      <c r="E103" s="100">
        <f>'Kalimantan Only'!V93</f>
        <v>0.31338197955563979</v>
      </c>
      <c r="F103" s="100">
        <f>VLOOKUP(Con_ELC!$C103,Parsing!$C$20:$J$24,4,FALSE)</f>
        <v>0.5</v>
      </c>
      <c r="G103" s="99"/>
      <c r="H103" s="100">
        <f>VLOOKUP(Con_ELC!$C103,Parsing!$C$20:$J$24,6,FALSE)</f>
        <v>8</v>
      </c>
      <c r="I103" s="100">
        <f>VLOOKUP(Con_ELC!$C103,Parsing!$C$20:$J$24,7,FALSE)</f>
        <v>1.7777777777777779</v>
      </c>
      <c r="J103" s="100">
        <f>VLOOKUP(Con_ELC!$C103,Parsing!$C$20:$J$24,8,FALSE)</f>
        <v>10</v>
      </c>
      <c r="K103" s="124">
        <v>31.536000000000001</v>
      </c>
      <c r="L103" s="100">
        <v>1</v>
      </c>
      <c r="M103" s="202">
        <f>'Kalimantan Only'!K93/1000</f>
        <v>7.5000000000000002E-4</v>
      </c>
      <c r="N103" s="8">
        <f>'Kalimantan Only'!S93</f>
        <v>1996</v>
      </c>
      <c r="AA103" s="129" t="str">
        <f t="shared" si="4"/>
        <v>Exist_KT_0.8MW_OIL_UID2797</v>
      </c>
      <c r="AB103" s="131" t="str">
        <f>'Kalimantan Only'!B93</f>
        <v>Exist_KT_0.8MW_OIL_UID2797</v>
      </c>
      <c r="AC103" s="129" t="str">
        <f t="shared" si="6"/>
        <v>PJ</v>
      </c>
      <c r="AD103" s="129" t="str">
        <f t="shared" si="7"/>
        <v>GW</v>
      </c>
    </row>
    <row r="104" spans="2:30" ht="14">
      <c r="B104" s="28" t="str">
        <f>'Kalimantan Only'!B94</f>
        <v>Exist_KT_0.8MW_OIL_UID2798</v>
      </c>
      <c r="C104" s="28" t="str">
        <f>"ELC"&amp;'Kalimantan Only'!Q94</f>
        <v>ELCOIL</v>
      </c>
      <c r="D104" s="28" t="str">
        <f t="shared" si="5"/>
        <v>ELC</v>
      </c>
      <c r="E104" s="100">
        <f>'Kalimantan Only'!V94</f>
        <v>0.31338197955563979</v>
      </c>
      <c r="F104" s="100">
        <f>VLOOKUP(Con_ELC!$C104,Parsing!$C$20:$J$24,4,FALSE)</f>
        <v>0.5</v>
      </c>
      <c r="G104" s="99"/>
      <c r="H104" s="100">
        <f>VLOOKUP(Con_ELC!$C104,Parsing!$C$20:$J$24,6,FALSE)</f>
        <v>8</v>
      </c>
      <c r="I104" s="100">
        <f>VLOOKUP(Con_ELC!$C104,Parsing!$C$20:$J$24,7,FALSE)</f>
        <v>1.7777777777777779</v>
      </c>
      <c r="J104" s="100">
        <f>VLOOKUP(Con_ELC!$C104,Parsing!$C$20:$J$24,8,FALSE)</f>
        <v>10</v>
      </c>
      <c r="K104" s="124">
        <v>31.536000000000001</v>
      </c>
      <c r="L104" s="100">
        <v>1</v>
      </c>
      <c r="M104" s="202">
        <f>'Kalimantan Only'!K94/1000</f>
        <v>7.5000000000000002E-4</v>
      </c>
      <c r="N104" s="8">
        <f>'Kalimantan Only'!S94</f>
        <v>1996</v>
      </c>
      <c r="AA104" s="129" t="str">
        <f t="shared" si="4"/>
        <v>Exist_KT_0.8MW_OIL_UID2798</v>
      </c>
      <c r="AB104" s="131" t="str">
        <f>'Kalimantan Only'!B94</f>
        <v>Exist_KT_0.8MW_OIL_UID2798</v>
      </c>
      <c r="AC104" s="129" t="str">
        <f t="shared" si="6"/>
        <v>PJ</v>
      </c>
      <c r="AD104" s="129" t="str">
        <f t="shared" si="7"/>
        <v>GW</v>
      </c>
    </row>
    <row r="105" spans="2:30" ht="14">
      <c r="B105" s="28" t="str">
        <f>'Kalimantan Only'!B95</f>
        <v>Exist_KT_0.8MW_OIL_UID2799</v>
      </c>
      <c r="C105" s="28" t="str">
        <f>"ELC"&amp;'Kalimantan Only'!Q95</f>
        <v>ELCOIL</v>
      </c>
      <c r="D105" s="28" t="str">
        <f t="shared" si="5"/>
        <v>ELC</v>
      </c>
      <c r="E105" s="100">
        <f>'Kalimantan Only'!V95</f>
        <v>0.31338197955563979</v>
      </c>
      <c r="F105" s="100">
        <f>VLOOKUP(Con_ELC!$C105,Parsing!$C$20:$J$24,4,FALSE)</f>
        <v>0.5</v>
      </c>
      <c r="G105" s="99"/>
      <c r="H105" s="100">
        <f>VLOOKUP(Con_ELC!$C105,Parsing!$C$20:$J$24,6,FALSE)</f>
        <v>8</v>
      </c>
      <c r="I105" s="100">
        <f>VLOOKUP(Con_ELC!$C105,Parsing!$C$20:$J$24,7,FALSE)</f>
        <v>1.7777777777777779</v>
      </c>
      <c r="J105" s="100">
        <f>VLOOKUP(Con_ELC!$C105,Parsing!$C$20:$J$24,8,FALSE)</f>
        <v>10</v>
      </c>
      <c r="K105" s="124">
        <v>31.536000000000001</v>
      </c>
      <c r="L105" s="100">
        <v>1</v>
      </c>
      <c r="M105" s="202">
        <f>'Kalimantan Only'!K95/1000</f>
        <v>8.0000000000000004E-4</v>
      </c>
      <c r="N105" s="8">
        <f>'Kalimantan Only'!S95</f>
        <v>2004</v>
      </c>
      <c r="AA105" s="129" t="str">
        <f t="shared" si="4"/>
        <v>Exist_KT_0.8MW_OIL_UID2799</v>
      </c>
      <c r="AB105" s="131" t="str">
        <f>'Kalimantan Only'!B95</f>
        <v>Exist_KT_0.8MW_OIL_UID2799</v>
      </c>
      <c r="AC105" s="129" t="str">
        <f t="shared" si="6"/>
        <v>PJ</v>
      </c>
      <c r="AD105" s="129" t="str">
        <f t="shared" si="7"/>
        <v>GW</v>
      </c>
    </row>
    <row r="106" spans="2:30" ht="14">
      <c r="B106" s="28" t="str">
        <f>'Kalimantan Only'!B96</f>
        <v>Exist_KT_0.6MW_OIL_UID2800</v>
      </c>
      <c r="C106" s="28" t="str">
        <f>"ELC"&amp;'Kalimantan Only'!Q96</f>
        <v>ELCOIL</v>
      </c>
      <c r="D106" s="28" t="str">
        <f t="shared" si="5"/>
        <v>ELC</v>
      </c>
      <c r="E106" s="100">
        <f>'Kalimantan Only'!V96</f>
        <v>0.31338197955563979</v>
      </c>
      <c r="F106" s="100">
        <f>VLOOKUP(Con_ELC!$C106,Parsing!$C$20:$J$24,4,FALSE)</f>
        <v>0.5</v>
      </c>
      <c r="G106" s="99"/>
      <c r="H106" s="100">
        <f>VLOOKUP(Con_ELC!$C106,Parsing!$C$20:$J$24,6,FALSE)</f>
        <v>8</v>
      </c>
      <c r="I106" s="100">
        <f>VLOOKUP(Con_ELC!$C106,Parsing!$C$20:$J$24,7,FALSE)</f>
        <v>1.7777777777777779</v>
      </c>
      <c r="J106" s="100">
        <f>VLOOKUP(Con_ELC!$C106,Parsing!$C$20:$J$24,8,FALSE)</f>
        <v>10</v>
      </c>
      <c r="K106" s="124">
        <v>31.536000000000001</v>
      </c>
      <c r="L106" s="100">
        <v>1</v>
      </c>
      <c r="M106" s="202">
        <f>'Kalimantan Only'!K96/1000</f>
        <v>5.5000000000000003E-4</v>
      </c>
      <c r="N106" s="8">
        <f>'Kalimantan Only'!S96</f>
        <v>2005</v>
      </c>
      <c r="AA106" s="129" t="str">
        <f t="shared" si="4"/>
        <v>Exist_KT_0.6MW_OIL_UID2800</v>
      </c>
      <c r="AB106" s="131" t="str">
        <f>'Kalimantan Only'!B96</f>
        <v>Exist_KT_0.6MW_OIL_UID2800</v>
      </c>
      <c r="AC106" s="129" t="str">
        <f t="shared" si="6"/>
        <v>PJ</v>
      </c>
      <c r="AD106" s="129" t="str">
        <f t="shared" si="7"/>
        <v>GW</v>
      </c>
    </row>
    <row r="107" spans="2:30" ht="14">
      <c r="B107" s="28" t="str">
        <f>'Kalimantan Only'!B97</f>
        <v>Exist_KT_0.7MW_OIL_UID2802</v>
      </c>
      <c r="C107" s="28" t="str">
        <f>"ELC"&amp;'Kalimantan Only'!Q97</f>
        <v>ELCOIL</v>
      </c>
      <c r="D107" s="28" t="str">
        <f t="shared" si="5"/>
        <v>ELC</v>
      </c>
      <c r="E107" s="100">
        <f>'Kalimantan Only'!V97</f>
        <v>0.31338197955563979</v>
      </c>
      <c r="F107" s="100">
        <f>VLOOKUP(Con_ELC!$C107,Parsing!$C$20:$J$24,4,FALSE)</f>
        <v>0.5</v>
      </c>
      <c r="G107" s="99"/>
      <c r="H107" s="100">
        <f>VLOOKUP(Con_ELC!$C107,Parsing!$C$20:$J$24,6,FALSE)</f>
        <v>8</v>
      </c>
      <c r="I107" s="100">
        <f>VLOOKUP(Con_ELC!$C107,Parsing!$C$20:$J$24,7,FALSE)</f>
        <v>1.7777777777777779</v>
      </c>
      <c r="J107" s="100">
        <f>VLOOKUP(Con_ELC!$C107,Parsing!$C$20:$J$24,8,FALSE)</f>
        <v>10</v>
      </c>
      <c r="K107" s="124">
        <v>31.536000000000001</v>
      </c>
      <c r="L107" s="100">
        <v>1</v>
      </c>
      <c r="M107" s="202">
        <f>'Kalimantan Only'!K97/1000</f>
        <v>6.4999999999999997E-4</v>
      </c>
      <c r="N107" s="8">
        <f>'Kalimantan Only'!S97</f>
        <v>1996</v>
      </c>
      <c r="AA107" s="129" t="str">
        <f t="shared" si="4"/>
        <v>Exist_KT_0.7MW_OIL_UID2802</v>
      </c>
      <c r="AB107" s="131" t="str">
        <f>'Kalimantan Only'!B97</f>
        <v>Exist_KT_0.7MW_OIL_UID2802</v>
      </c>
      <c r="AC107" s="129" t="str">
        <f t="shared" si="6"/>
        <v>PJ</v>
      </c>
      <c r="AD107" s="129" t="str">
        <f t="shared" si="7"/>
        <v>GW</v>
      </c>
    </row>
    <row r="108" spans="2:30" ht="14">
      <c r="B108" s="28" t="str">
        <f>'Kalimantan Only'!B98</f>
        <v>Exist_KT_0.8MW_OIL_UID2804</v>
      </c>
      <c r="C108" s="28" t="str">
        <f>"ELC"&amp;'Kalimantan Only'!Q98</f>
        <v>ELCOIL</v>
      </c>
      <c r="D108" s="28" t="str">
        <f t="shared" si="5"/>
        <v>ELC</v>
      </c>
      <c r="E108" s="100">
        <f>'Kalimantan Only'!V98</f>
        <v>0.31338197955563979</v>
      </c>
      <c r="F108" s="100">
        <f>VLOOKUP(Con_ELC!$C108,Parsing!$C$20:$J$24,4,FALSE)</f>
        <v>0.5</v>
      </c>
      <c r="G108" s="99"/>
      <c r="H108" s="100">
        <f>VLOOKUP(Con_ELC!$C108,Parsing!$C$20:$J$24,6,FALSE)</f>
        <v>8</v>
      </c>
      <c r="I108" s="100">
        <f>VLOOKUP(Con_ELC!$C108,Parsing!$C$20:$J$24,7,FALSE)</f>
        <v>1.7777777777777779</v>
      </c>
      <c r="J108" s="100">
        <f>VLOOKUP(Con_ELC!$C108,Parsing!$C$20:$J$24,8,FALSE)</f>
        <v>10</v>
      </c>
      <c r="K108" s="124">
        <v>31.536000000000001</v>
      </c>
      <c r="L108" s="100">
        <v>1</v>
      </c>
      <c r="M108" s="202">
        <f>'Kalimantan Only'!K98/1000</f>
        <v>7.5000000000000002E-4</v>
      </c>
      <c r="N108" s="8">
        <f>'Kalimantan Only'!S98</f>
        <v>2004</v>
      </c>
      <c r="AA108" s="129" t="str">
        <f t="shared" si="4"/>
        <v>Exist_KT_0.8MW_OIL_UID2804</v>
      </c>
      <c r="AB108" s="131" t="str">
        <f>'Kalimantan Only'!B98</f>
        <v>Exist_KT_0.8MW_OIL_UID2804</v>
      </c>
      <c r="AC108" s="129" t="str">
        <f t="shared" si="6"/>
        <v>PJ</v>
      </c>
      <c r="AD108" s="129" t="str">
        <f t="shared" si="7"/>
        <v>GW</v>
      </c>
    </row>
    <row r="109" spans="2:30" ht="14">
      <c r="B109" s="28" t="str">
        <f>'Kalimantan Only'!B99</f>
        <v>Exist_KT_0.8MW_OIL_UID2805</v>
      </c>
      <c r="C109" s="28" t="str">
        <f>"ELC"&amp;'Kalimantan Only'!Q99</f>
        <v>ELCOIL</v>
      </c>
      <c r="D109" s="28" t="str">
        <f t="shared" si="5"/>
        <v>ELC</v>
      </c>
      <c r="E109" s="100">
        <f>'Kalimantan Only'!V99</f>
        <v>0.31338197955563979</v>
      </c>
      <c r="F109" s="100">
        <f>VLOOKUP(Con_ELC!$C109,Parsing!$C$20:$J$24,4,FALSE)</f>
        <v>0.5</v>
      </c>
      <c r="G109" s="99"/>
      <c r="H109" s="100">
        <f>VLOOKUP(Con_ELC!$C109,Parsing!$C$20:$J$24,6,FALSE)</f>
        <v>8</v>
      </c>
      <c r="I109" s="100">
        <f>VLOOKUP(Con_ELC!$C109,Parsing!$C$20:$J$24,7,FALSE)</f>
        <v>1.7777777777777779</v>
      </c>
      <c r="J109" s="100">
        <f>VLOOKUP(Con_ELC!$C109,Parsing!$C$20:$J$24,8,FALSE)</f>
        <v>10</v>
      </c>
      <c r="K109" s="124">
        <v>31.536000000000001</v>
      </c>
      <c r="L109" s="100">
        <v>1</v>
      </c>
      <c r="M109" s="202">
        <f>'Kalimantan Only'!K99/1000</f>
        <v>7.5000000000000002E-4</v>
      </c>
      <c r="N109" s="8">
        <f>'Kalimantan Only'!S99</f>
        <v>2004</v>
      </c>
      <c r="AA109" s="129" t="str">
        <f t="shared" si="4"/>
        <v>Exist_KT_0.8MW_OIL_UID2805</v>
      </c>
      <c r="AB109" s="131" t="str">
        <f>'Kalimantan Only'!B99</f>
        <v>Exist_KT_0.8MW_OIL_UID2805</v>
      </c>
      <c r="AC109" s="129" t="str">
        <f t="shared" si="6"/>
        <v>PJ</v>
      </c>
      <c r="AD109" s="129" t="str">
        <f t="shared" si="7"/>
        <v>GW</v>
      </c>
    </row>
    <row r="110" spans="2:30" ht="14">
      <c r="B110" s="28" t="str">
        <f>'Kalimantan Only'!B100</f>
        <v>Exist_KT_0.3MW_OIL_UID2807</v>
      </c>
      <c r="C110" s="28" t="str">
        <f>"ELC"&amp;'Kalimantan Only'!Q100</f>
        <v>ELCOIL</v>
      </c>
      <c r="D110" s="28" t="str">
        <f t="shared" si="5"/>
        <v>ELC</v>
      </c>
      <c r="E110" s="100">
        <f>'Kalimantan Only'!V100</f>
        <v>0.31338197955563979</v>
      </c>
      <c r="F110" s="100">
        <f>VLOOKUP(Con_ELC!$C110,Parsing!$C$20:$J$24,4,FALSE)</f>
        <v>0.5</v>
      </c>
      <c r="G110" s="99"/>
      <c r="H110" s="100">
        <f>VLOOKUP(Con_ELC!$C110,Parsing!$C$20:$J$24,6,FALSE)</f>
        <v>8</v>
      </c>
      <c r="I110" s="100">
        <f>VLOOKUP(Con_ELC!$C110,Parsing!$C$20:$J$24,7,FALSE)</f>
        <v>1.7777777777777779</v>
      </c>
      <c r="J110" s="100">
        <f>VLOOKUP(Con_ELC!$C110,Parsing!$C$20:$J$24,8,FALSE)</f>
        <v>10</v>
      </c>
      <c r="K110" s="124">
        <v>31.536000000000001</v>
      </c>
      <c r="L110" s="100">
        <v>1</v>
      </c>
      <c r="M110" s="202">
        <f>'Kalimantan Only'!K100/1000</f>
        <v>2.5000000000000001E-4</v>
      </c>
      <c r="N110" s="8">
        <f>'Kalimantan Only'!S100</f>
        <v>2000</v>
      </c>
      <c r="AA110" s="129" t="str">
        <f t="shared" si="4"/>
        <v>Exist_KT_0.3MW_OIL_UID2807</v>
      </c>
      <c r="AB110" s="131" t="str">
        <f>'Kalimantan Only'!B100</f>
        <v>Exist_KT_0.3MW_OIL_UID2807</v>
      </c>
      <c r="AC110" s="129" t="str">
        <f t="shared" si="6"/>
        <v>PJ</v>
      </c>
      <c r="AD110" s="129" t="str">
        <f t="shared" si="7"/>
        <v>GW</v>
      </c>
    </row>
    <row r="111" spans="2:30" ht="14">
      <c r="B111" s="28" t="str">
        <f>'Kalimantan Only'!B101</f>
        <v>Exist_KT_0.3MW_OIL_UID2808</v>
      </c>
      <c r="C111" s="28" t="str">
        <f>"ELC"&amp;'Kalimantan Only'!Q101</f>
        <v>ELCOIL</v>
      </c>
      <c r="D111" s="28" t="str">
        <f t="shared" si="5"/>
        <v>ELC</v>
      </c>
      <c r="E111" s="100">
        <f>'Kalimantan Only'!V101</f>
        <v>0.31338197955563979</v>
      </c>
      <c r="F111" s="100">
        <f>VLOOKUP(Con_ELC!$C111,Parsing!$C$20:$J$24,4,FALSE)</f>
        <v>0.5</v>
      </c>
      <c r="G111" s="99"/>
      <c r="H111" s="100">
        <f>VLOOKUP(Con_ELC!$C111,Parsing!$C$20:$J$24,6,FALSE)</f>
        <v>8</v>
      </c>
      <c r="I111" s="100">
        <f>VLOOKUP(Con_ELC!$C111,Parsing!$C$20:$J$24,7,FALSE)</f>
        <v>1.7777777777777779</v>
      </c>
      <c r="J111" s="100">
        <f>VLOOKUP(Con_ELC!$C111,Parsing!$C$20:$J$24,8,FALSE)</f>
        <v>10</v>
      </c>
      <c r="K111" s="124">
        <v>31.536000000000001</v>
      </c>
      <c r="L111" s="100">
        <v>1</v>
      </c>
      <c r="M111" s="202">
        <f>'Kalimantan Only'!K101/1000</f>
        <v>2.5000000000000001E-4</v>
      </c>
      <c r="N111" s="8">
        <f>'Kalimantan Only'!S101</f>
        <v>2000</v>
      </c>
      <c r="AA111" s="129" t="str">
        <f t="shared" si="4"/>
        <v>Exist_KT_0.3MW_OIL_UID2808</v>
      </c>
      <c r="AB111" s="131" t="str">
        <f>'Kalimantan Only'!B101</f>
        <v>Exist_KT_0.3MW_OIL_UID2808</v>
      </c>
      <c r="AC111" s="129" t="str">
        <f t="shared" si="6"/>
        <v>PJ</v>
      </c>
      <c r="AD111" s="129" t="str">
        <f t="shared" si="7"/>
        <v>GW</v>
      </c>
    </row>
    <row r="112" spans="2:30" ht="14">
      <c r="B112" s="28" t="str">
        <f>'Kalimantan Only'!B102</f>
        <v>Exist_KT_1MW_OIL_UID2809</v>
      </c>
      <c r="C112" s="28" t="str">
        <f>"ELC"&amp;'Kalimantan Only'!Q102</f>
        <v>ELCOIL</v>
      </c>
      <c r="D112" s="28" t="str">
        <f t="shared" si="5"/>
        <v>ELC</v>
      </c>
      <c r="E112" s="100">
        <f>'Kalimantan Only'!V102</f>
        <v>0.31338197955563979</v>
      </c>
      <c r="F112" s="100">
        <f>VLOOKUP(Con_ELC!$C112,Parsing!$C$20:$J$24,4,FALSE)</f>
        <v>0.5</v>
      </c>
      <c r="G112" s="99"/>
      <c r="H112" s="100">
        <f>VLOOKUP(Con_ELC!$C112,Parsing!$C$20:$J$24,6,FALSE)</f>
        <v>8</v>
      </c>
      <c r="I112" s="100">
        <f>VLOOKUP(Con_ELC!$C112,Parsing!$C$20:$J$24,7,FALSE)</f>
        <v>1.7777777777777779</v>
      </c>
      <c r="J112" s="100">
        <f>VLOOKUP(Con_ELC!$C112,Parsing!$C$20:$J$24,8,FALSE)</f>
        <v>10</v>
      </c>
      <c r="K112" s="124">
        <v>31.536000000000001</v>
      </c>
      <c r="L112" s="100">
        <v>1</v>
      </c>
      <c r="M112" s="202">
        <f>'Kalimantan Only'!K102/1000</f>
        <v>1E-3</v>
      </c>
      <c r="N112" s="8">
        <f>'Kalimantan Only'!S102</f>
        <v>2000</v>
      </c>
      <c r="AA112" s="129" t="str">
        <f t="shared" si="4"/>
        <v>Exist_KT_1MW_OIL_UID2809</v>
      </c>
      <c r="AB112" s="131" t="str">
        <f>'Kalimantan Only'!B102</f>
        <v>Exist_KT_1MW_OIL_UID2809</v>
      </c>
      <c r="AC112" s="129" t="str">
        <f t="shared" si="6"/>
        <v>PJ</v>
      </c>
      <c r="AD112" s="129" t="str">
        <f t="shared" si="7"/>
        <v>GW</v>
      </c>
    </row>
    <row r="113" spans="2:30" ht="14">
      <c r="B113" s="28" t="str">
        <f>'Kalimantan Only'!B103</f>
        <v>Exist_KT_1MW_OIL_UID2810</v>
      </c>
      <c r="C113" s="28" t="str">
        <f>"ELC"&amp;'Kalimantan Only'!Q103</f>
        <v>ELCOIL</v>
      </c>
      <c r="D113" s="28" t="str">
        <f t="shared" si="5"/>
        <v>ELC</v>
      </c>
      <c r="E113" s="100">
        <f>'Kalimantan Only'!V103</f>
        <v>0.31338197955563979</v>
      </c>
      <c r="F113" s="100">
        <f>VLOOKUP(Con_ELC!$C113,Parsing!$C$20:$J$24,4,FALSE)</f>
        <v>0.5</v>
      </c>
      <c r="G113" s="99"/>
      <c r="H113" s="100">
        <f>VLOOKUP(Con_ELC!$C113,Parsing!$C$20:$J$24,6,FALSE)</f>
        <v>8</v>
      </c>
      <c r="I113" s="100">
        <f>VLOOKUP(Con_ELC!$C113,Parsing!$C$20:$J$24,7,FALSE)</f>
        <v>1.7777777777777779</v>
      </c>
      <c r="J113" s="100">
        <f>VLOOKUP(Con_ELC!$C113,Parsing!$C$20:$J$24,8,FALSE)</f>
        <v>10</v>
      </c>
      <c r="K113" s="124">
        <v>31.536000000000001</v>
      </c>
      <c r="L113" s="100">
        <v>1</v>
      </c>
      <c r="M113" s="202">
        <f>'Kalimantan Only'!K103/1000</f>
        <v>1E-3</v>
      </c>
      <c r="N113" s="8">
        <f>'Kalimantan Only'!S103</f>
        <v>2000</v>
      </c>
      <c r="AA113" s="129" t="str">
        <f t="shared" si="4"/>
        <v>Exist_KT_1MW_OIL_UID2810</v>
      </c>
      <c r="AB113" s="131" t="str">
        <f>'Kalimantan Only'!B103</f>
        <v>Exist_KT_1MW_OIL_UID2810</v>
      </c>
      <c r="AC113" s="129" t="str">
        <f t="shared" si="6"/>
        <v>PJ</v>
      </c>
      <c r="AD113" s="129" t="str">
        <f t="shared" si="7"/>
        <v>GW</v>
      </c>
    </row>
    <row r="114" spans="2:30" ht="14">
      <c r="B114" s="28" t="str">
        <f>'Kalimantan Only'!B104</f>
        <v>Exist_KT_0.5MW_OIL_UID2814</v>
      </c>
      <c r="C114" s="28" t="str">
        <f>"ELC"&amp;'Kalimantan Only'!Q104</f>
        <v>ELCOIL</v>
      </c>
      <c r="D114" s="28" t="str">
        <f t="shared" si="5"/>
        <v>ELC</v>
      </c>
      <c r="E114" s="100">
        <f>'Kalimantan Only'!V104</f>
        <v>0.31338197955563979</v>
      </c>
      <c r="F114" s="100">
        <f>VLOOKUP(Con_ELC!$C114,Parsing!$C$20:$J$24,4,FALSE)</f>
        <v>0.5</v>
      </c>
      <c r="G114" s="99"/>
      <c r="H114" s="100">
        <f>VLOOKUP(Con_ELC!$C114,Parsing!$C$20:$J$24,6,FALSE)</f>
        <v>8</v>
      </c>
      <c r="I114" s="100">
        <f>VLOOKUP(Con_ELC!$C114,Parsing!$C$20:$J$24,7,FALSE)</f>
        <v>1.7777777777777779</v>
      </c>
      <c r="J114" s="100">
        <f>VLOOKUP(Con_ELC!$C114,Parsing!$C$20:$J$24,8,FALSE)</f>
        <v>10</v>
      </c>
      <c r="K114" s="124">
        <v>31.536000000000001</v>
      </c>
      <c r="L114" s="100">
        <v>1</v>
      </c>
      <c r="M114" s="202">
        <f>'Kalimantan Only'!K104/1000</f>
        <v>4.4999999999999999E-4</v>
      </c>
      <c r="N114" s="8">
        <f>'Kalimantan Only'!S104</f>
        <v>1995</v>
      </c>
      <c r="AA114" s="129" t="str">
        <f t="shared" si="4"/>
        <v>Exist_KT_0.5MW_OIL_UID2814</v>
      </c>
      <c r="AB114" s="131" t="str">
        <f>'Kalimantan Only'!B104</f>
        <v>Exist_KT_0.5MW_OIL_UID2814</v>
      </c>
      <c r="AC114" s="129" t="str">
        <f t="shared" si="6"/>
        <v>PJ</v>
      </c>
      <c r="AD114" s="129" t="str">
        <f t="shared" si="7"/>
        <v>GW</v>
      </c>
    </row>
    <row r="115" spans="2:30" ht="14">
      <c r="B115" s="28" t="str">
        <f>'Kalimantan Only'!B105</f>
        <v>Exist_KT_0.3MW_OIL_UID2815</v>
      </c>
      <c r="C115" s="28" t="str">
        <f>"ELC"&amp;'Kalimantan Only'!Q105</f>
        <v>ELCOIL</v>
      </c>
      <c r="D115" s="28" t="str">
        <f t="shared" si="5"/>
        <v>ELC</v>
      </c>
      <c r="E115" s="100">
        <f>'Kalimantan Only'!V105</f>
        <v>0.31338197955563979</v>
      </c>
      <c r="F115" s="100">
        <f>VLOOKUP(Con_ELC!$C115,Parsing!$C$20:$J$24,4,FALSE)</f>
        <v>0.5</v>
      </c>
      <c r="G115" s="99"/>
      <c r="H115" s="100">
        <f>VLOOKUP(Con_ELC!$C115,Parsing!$C$20:$J$24,6,FALSE)</f>
        <v>8</v>
      </c>
      <c r="I115" s="100">
        <f>VLOOKUP(Con_ELC!$C115,Parsing!$C$20:$J$24,7,FALSE)</f>
        <v>1.7777777777777779</v>
      </c>
      <c r="J115" s="100">
        <f>VLOOKUP(Con_ELC!$C115,Parsing!$C$20:$J$24,8,FALSE)</f>
        <v>10</v>
      </c>
      <c r="K115" s="124">
        <v>31.536000000000001</v>
      </c>
      <c r="L115" s="100">
        <v>1</v>
      </c>
      <c r="M115" s="202">
        <f>'Kalimantan Only'!K105/1000</f>
        <v>2.9999999999999997E-4</v>
      </c>
      <c r="N115" s="8">
        <f>'Kalimantan Only'!S105</f>
        <v>1998</v>
      </c>
      <c r="AA115" s="129" t="str">
        <f t="shared" si="4"/>
        <v>Exist_KT_0.3MW_OIL_UID2815</v>
      </c>
      <c r="AB115" s="131" t="str">
        <f>'Kalimantan Only'!B105</f>
        <v>Exist_KT_0.3MW_OIL_UID2815</v>
      </c>
      <c r="AC115" s="129" t="str">
        <f t="shared" si="6"/>
        <v>PJ</v>
      </c>
      <c r="AD115" s="129" t="str">
        <f t="shared" si="7"/>
        <v>GW</v>
      </c>
    </row>
    <row r="116" spans="2:30" ht="14">
      <c r="B116" s="28" t="str">
        <f>'Kalimantan Only'!B106</f>
        <v>Exist_KT_7MW_COA_UID3234</v>
      </c>
      <c r="C116" s="28" t="str">
        <f>"ELC"&amp;'Kalimantan Only'!Q106</f>
        <v>ELCCOA</v>
      </c>
      <c r="D116" s="28" t="str">
        <f t="shared" si="5"/>
        <v>ELC</v>
      </c>
      <c r="E116" s="100">
        <f>'Kalimantan Only'!V106</f>
        <v>0.3143266436049913</v>
      </c>
      <c r="F116" s="100">
        <f>VLOOKUP(Con_ELC!$C116,Parsing!$C$20:$J$24,4,FALSE)</f>
        <v>0.84999999999999976</v>
      </c>
      <c r="G116" s="99"/>
      <c r="H116" s="100">
        <f>VLOOKUP(Con_ELC!$C116,Parsing!$C$20:$J$24,6,FALSE)</f>
        <v>56</v>
      </c>
      <c r="I116" s="100">
        <f>VLOOKUP(Con_ELC!$C116,Parsing!$C$20:$J$24,7,FALSE)</f>
        <v>4.4444444444444446E-2</v>
      </c>
      <c r="J116" s="100">
        <f>VLOOKUP(Con_ELC!$C116,Parsing!$C$20:$J$24,8,FALSE)</f>
        <v>25</v>
      </c>
      <c r="K116" s="124">
        <v>31.536000000000001</v>
      </c>
      <c r="L116" s="100">
        <v>1</v>
      </c>
      <c r="M116" s="202">
        <f>'Kalimantan Only'!K106/1000</f>
        <v>7.0000000000000001E-3</v>
      </c>
      <c r="N116" s="8">
        <f>'Kalimantan Only'!S106</f>
        <v>2013</v>
      </c>
      <c r="AA116" s="129" t="str">
        <f t="shared" si="4"/>
        <v>Exist_KT_7MW_COA_UID3234</v>
      </c>
      <c r="AB116" s="131" t="str">
        <f>'Kalimantan Only'!B106</f>
        <v>Exist_KT_7MW_COA_UID3234</v>
      </c>
      <c r="AC116" s="129" t="str">
        <f t="shared" si="6"/>
        <v>PJ</v>
      </c>
      <c r="AD116" s="129" t="str">
        <f t="shared" si="7"/>
        <v>GW</v>
      </c>
    </row>
    <row r="117" spans="2:30" ht="14">
      <c r="B117" s="28" t="str">
        <f>'Kalimantan Only'!B107</f>
        <v>Exist_KT_2MW_OIL_UID3236</v>
      </c>
      <c r="C117" s="28" t="str">
        <f>"ELC"&amp;'Kalimantan Only'!Q107</f>
        <v>ELCOIL</v>
      </c>
      <c r="D117" s="28" t="str">
        <f t="shared" si="5"/>
        <v>ELC</v>
      </c>
      <c r="E117" s="100">
        <f>'Kalimantan Only'!V107</f>
        <v>0.31338197955563979</v>
      </c>
      <c r="F117" s="100">
        <f>VLOOKUP(Con_ELC!$C117,Parsing!$C$20:$J$24,4,FALSE)</f>
        <v>0.5</v>
      </c>
      <c r="G117" s="99"/>
      <c r="H117" s="100">
        <f>VLOOKUP(Con_ELC!$C117,Parsing!$C$20:$J$24,6,FALSE)</f>
        <v>8</v>
      </c>
      <c r="I117" s="100">
        <f>VLOOKUP(Con_ELC!$C117,Parsing!$C$20:$J$24,7,FALSE)</f>
        <v>1.7777777777777779</v>
      </c>
      <c r="J117" s="100">
        <f>VLOOKUP(Con_ELC!$C117,Parsing!$C$20:$J$24,8,FALSE)</f>
        <v>10</v>
      </c>
      <c r="K117" s="124">
        <v>31.536000000000001</v>
      </c>
      <c r="L117" s="100">
        <v>1</v>
      </c>
      <c r="M117" s="202">
        <f>'Kalimantan Only'!K107/1000</f>
        <v>2E-3</v>
      </c>
      <c r="N117" s="8">
        <f>'Kalimantan Only'!S107</f>
        <v>2010</v>
      </c>
      <c r="AA117" s="129" t="str">
        <f t="shared" si="4"/>
        <v>Exist_KT_2MW_OIL_UID3236</v>
      </c>
      <c r="AB117" s="131" t="str">
        <f>'Kalimantan Only'!B107</f>
        <v>Exist_KT_2MW_OIL_UID3236</v>
      </c>
      <c r="AC117" s="129" t="str">
        <f t="shared" si="6"/>
        <v>PJ</v>
      </c>
      <c r="AD117" s="129" t="str">
        <f t="shared" si="7"/>
        <v>GW</v>
      </c>
    </row>
    <row r="118" spans="2:30" ht="14">
      <c r="B118" s="28" t="str">
        <f>'Kalimantan Only'!B108</f>
        <v>Exist_KT_6MW_OIL_UID3237</v>
      </c>
      <c r="C118" s="28" t="str">
        <f>"ELC"&amp;'Kalimantan Only'!Q108</f>
        <v>ELCOIL</v>
      </c>
      <c r="D118" s="28" t="str">
        <f t="shared" si="5"/>
        <v>ELC</v>
      </c>
      <c r="E118" s="100">
        <f>'Kalimantan Only'!V108</f>
        <v>0.31338197955563979</v>
      </c>
      <c r="F118" s="100">
        <f>VLOOKUP(Con_ELC!$C118,Parsing!$C$20:$J$24,4,FALSE)</f>
        <v>0.5</v>
      </c>
      <c r="G118" s="99"/>
      <c r="H118" s="100">
        <f>VLOOKUP(Con_ELC!$C118,Parsing!$C$20:$J$24,6,FALSE)</f>
        <v>8</v>
      </c>
      <c r="I118" s="100">
        <f>VLOOKUP(Con_ELC!$C118,Parsing!$C$20:$J$24,7,FALSE)</f>
        <v>1.7777777777777779</v>
      </c>
      <c r="J118" s="100">
        <f>VLOOKUP(Con_ELC!$C118,Parsing!$C$20:$J$24,8,FALSE)</f>
        <v>10</v>
      </c>
      <c r="K118" s="124">
        <v>31.536000000000001</v>
      </c>
      <c r="L118" s="100">
        <v>1</v>
      </c>
      <c r="M118" s="202">
        <f>'Kalimantan Only'!K108/1000</f>
        <v>6.0000000000000001E-3</v>
      </c>
      <c r="N118" s="8">
        <f>'Kalimantan Only'!S108</f>
        <v>2011</v>
      </c>
      <c r="AA118" s="129" t="str">
        <f t="shared" si="4"/>
        <v>Exist_KT_6MW_OIL_UID3237</v>
      </c>
      <c r="AB118" s="131" t="str">
        <f>'Kalimantan Only'!B108</f>
        <v>Exist_KT_6MW_OIL_UID3237</v>
      </c>
      <c r="AC118" s="129" t="str">
        <f t="shared" si="6"/>
        <v>PJ</v>
      </c>
      <c r="AD118" s="129" t="str">
        <f t="shared" si="7"/>
        <v>GW</v>
      </c>
    </row>
    <row r="119" spans="2:30" ht="14">
      <c r="B119" s="28" t="str">
        <f>'Kalimantan Only'!B109</f>
        <v>Exist_KT_2.5MW_OIL_UID3238</v>
      </c>
      <c r="C119" s="28" t="str">
        <f>"ELC"&amp;'Kalimantan Only'!Q109</f>
        <v>ELCOIL</v>
      </c>
      <c r="D119" s="28" t="str">
        <f t="shared" si="5"/>
        <v>ELC</v>
      </c>
      <c r="E119" s="100">
        <f>'Kalimantan Only'!V109</f>
        <v>0.31338197955563979</v>
      </c>
      <c r="F119" s="100">
        <f>VLOOKUP(Con_ELC!$C119,Parsing!$C$20:$J$24,4,FALSE)</f>
        <v>0.5</v>
      </c>
      <c r="G119" s="99"/>
      <c r="H119" s="100">
        <f>VLOOKUP(Con_ELC!$C119,Parsing!$C$20:$J$24,6,FALSE)</f>
        <v>8</v>
      </c>
      <c r="I119" s="100">
        <f>VLOOKUP(Con_ELC!$C119,Parsing!$C$20:$J$24,7,FALSE)</f>
        <v>1.7777777777777779</v>
      </c>
      <c r="J119" s="100">
        <f>VLOOKUP(Con_ELC!$C119,Parsing!$C$20:$J$24,8,FALSE)</f>
        <v>10</v>
      </c>
      <c r="K119" s="124">
        <v>31.536000000000001</v>
      </c>
      <c r="L119" s="100">
        <v>1</v>
      </c>
      <c r="M119" s="202">
        <f>'Kalimantan Only'!K109/1000</f>
        <v>2.5000000000000001E-3</v>
      </c>
      <c r="N119" s="8">
        <f>'Kalimantan Only'!S109</f>
        <v>2011</v>
      </c>
      <c r="AA119" s="129" t="str">
        <f t="shared" si="4"/>
        <v>Exist_KT_2.5MW_OIL_UID3238</v>
      </c>
      <c r="AB119" s="131" t="str">
        <f>'Kalimantan Only'!B109</f>
        <v>Exist_KT_2.5MW_OIL_UID3238</v>
      </c>
      <c r="AC119" s="129" t="str">
        <f t="shared" si="6"/>
        <v>PJ</v>
      </c>
      <c r="AD119" s="129" t="str">
        <f t="shared" si="7"/>
        <v>GW</v>
      </c>
    </row>
    <row r="120" spans="2:30" ht="14">
      <c r="B120" s="28" t="str">
        <f>'Kalimantan Only'!B110</f>
        <v>Exist_KS_3MW_OIL_UID3240</v>
      </c>
      <c r="C120" s="28" t="str">
        <f>"ELC"&amp;'Kalimantan Only'!Q110</f>
        <v>ELCOIL</v>
      </c>
      <c r="D120" s="28" t="str">
        <f t="shared" si="5"/>
        <v>ELC</v>
      </c>
      <c r="E120" s="100">
        <f>'Kalimantan Only'!V110</f>
        <v>0.31338197955563979</v>
      </c>
      <c r="F120" s="100">
        <f>VLOOKUP(Con_ELC!$C120,Parsing!$C$20:$J$24,4,FALSE)</f>
        <v>0.5</v>
      </c>
      <c r="G120" s="99"/>
      <c r="H120" s="100">
        <f>VLOOKUP(Con_ELC!$C120,Parsing!$C$20:$J$24,6,FALSE)</f>
        <v>8</v>
      </c>
      <c r="I120" s="100">
        <f>VLOOKUP(Con_ELC!$C120,Parsing!$C$20:$J$24,7,FALSE)</f>
        <v>1.7777777777777779</v>
      </c>
      <c r="J120" s="100">
        <f>VLOOKUP(Con_ELC!$C120,Parsing!$C$20:$J$24,8,FALSE)</f>
        <v>10</v>
      </c>
      <c r="K120" s="124">
        <v>31.536000000000001</v>
      </c>
      <c r="L120" s="100">
        <v>1</v>
      </c>
      <c r="M120" s="202">
        <f>'Kalimantan Only'!K110/1000</f>
        <v>3.0000000000000001E-3</v>
      </c>
      <c r="N120" s="8">
        <f>'Kalimantan Only'!S110</f>
        <v>2018</v>
      </c>
      <c r="AA120" s="129" t="str">
        <f t="shared" si="4"/>
        <v>Exist_KS_3MW_OIL_UID3240</v>
      </c>
      <c r="AB120" s="131" t="str">
        <f>'Kalimantan Only'!B110</f>
        <v>Exist_KS_3MW_OIL_UID3240</v>
      </c>
      <c r="AC120" s="129" t="str">
        <f t="shared" si="6"/>
        <v>PJ</v>
      </c>
      <c r="AD120" s="129" t="str">
        <f t="shared" si="7"/>
        <v>GW</v>
      </c>
    </row>
    <row r="121" spans="2:30" ht="14">
      <c r="B121" s="183" t="s">
        <v>452</v>
      </c>
      <c r="C121" s="28" t="s">
        <v>387</v>
      </c>
      <c r="D121" s="28" t="s">
        <v>203</v>
      </c>
      <c r="E121" s="99">
        <v>0.20499999999999999</v>
      </c>
      <c r="F121" s="100">
        <v>0.15593607305936072</v>
      </c>
      <c r="G121" s="99"/>
      <c r="H121" s="100">
        <v>18</v>
      </c>
      <c r="I121" s="99"/>
      <c r="J121" s="99">
        <v>20</v>
      </c>
      <c r="K121" s="124">
        <v>31.536000000000001</v>
      </c>
      <c r="L121" s="100">
        <v>1</v>
      </c>
      <c r="M121" s="202">
        <v>1.9E-2</v>
      </c>
      <c r="N121" s="8">
        <v>2021</v>
      </c>
      <c r="AA121" s="129" t="str">
        <f t="shared" si="4"/>
        <v>Exist_KI_19MW_ELCTESOL00</v>
      </c>
      <c r="AB121" s="131" t="s">
        <v>450</v>
      </c>
      <c r="AC121" s="129" t="str">
        <f t="shared" si="6"/>
        <v>PJ</v>
      </c>
      <c r="AD121" s="129" t="str">
        <f t="shared" si="7"/>
        <v>GW</v>
      </c>
    </row>
    <row r="122" spans="2:30">
      <c r="B122" s="183" t="s">
        <v>453</v>
      </c>
      <c r="C122" s="28" t="s">
        <v>389</v>
      </c>
      <c r="D122" s="28" t="s">
        <v>203</v>
      </c>
      <c r="E122" s="99">
        <v>0.8</v>
      </c>
      <c r="F122" s="99">
        <v>0.76</v>
      </c>
      <c r="G122" s="99"/>
      <c r="H122" s="100">
        <v>66.3</v>
      </c>
      <c r="I122" s="100">
        <v>0.17499999999999999</v>
      </c>
      <c r="J122" s="99">
        <v>50</v>
      </c>
      <c r="K122" s="124">
        <v>31.536000000000001</v>
      </c>
      <c r="L122" s="100">
        <v>1</v>
      </c>
      <c r="M122" s="202">
        <v>0.03</v>
      </c>
      <c r="N122" s="8">
        <v>2019</v>
      </c>
      <c r="AA122" s="129" t="str">
        <f t="shared" si="4"/>
        <v>Exist_KI_30MW_ELCTEHYD00</v>
      </c>
      <c r="AB122" t="s">
        <v>451</v>
      </c>
      <c r="AC122" s="129" t="str">
        <f t="shared" si="6"/>
        <v>PJ</v>
      </c>
      <c r="AD122" s="129" t="str">
        <f t="shared" si="7"/>
        <v>GW</v>
      </c>
    </row>
    <row r="123" spans="2:30">
      <c r="E123" s="201"/>
      <c r="F123" s="201"/>
      <c r="H123" s="201"/>
      <c r="I123" s="201"/>
      <c r="J123" s="201"/>
      <c r="K123" s="182"/>
      <c r="L123" s="201"/>
      <c r="M123" s="196"/>
    </row>
    <row r="124" spans="2:30">
      <c r="E124" s="201"/>
      <c r="F124" s="201"/>
      <c r="H124" s="201"/>
      <c r="I124" s="201"/>
      <c r="J124" s="201"/>
      <c r="K124" s="182"/>
      <c r="L124" s="201"/>
      <c r="M124" s="196"/>
    </row>
    <row r="125" spans="2:30">
      <c r="E125" s="201"/>
      <c r="F125" s="201"/>
      <c r="H125" s="201"/>
      <c r="I125" s="201"/>
      <c r="J125" s="201"/>
      <c r="K125" s="182"/>
      <c r="L125" s="201"/>
      <c r="M125" s="196"/>
    </row>
    <row r="126" spans="2:30">
      <c r="E126" s="201"/>
      <c r="F126" s="201"/>
      <c r="H126" s="201"/>
      <c r="I126" s="201"/>
      <c r="J126" s="201"/>
      <c r="K126" s="182"/>
      <c r="L126" s="201"/>
      <c r="M126" s="196"/>
    </row>
    <row r="127" spans="2:30">
      <c r="E127" s="201"/>
      <c r="F127" s="201"/>
      <c r="H127" s="201"/>
      <c r="I127" s="201"/>
      <c r="J127" s="201"/>
      <c r="K127" s="182"/>
      <c r="L127" s="201"/>
      <c r="M127" s="196"/>
    </row>
    <row r="128" spans="2:30">
      <c r="E128" s="201"/>
      <c r="F128" s="201"/>
      <c r="H128" s="201"/>
      <c r="I128" s="201"/>
      <c r="J128" s="201"/>
      <c r="K128" s="182"/>
      <c r="L128" s="201"/>
      <c r="M128" s="196"/>
    </row>
    <row r="129" spans="5:13">
      <c r="E129" s="201"/>
      <c r="F129" s="201"/>
      <c r="H129" s="201"/>
      <c r="I129" s="201"/>
      <c r="J129" s="201"/>
      <c r="K129" s="182"/>
      <c r="L129" s="201"/>
      <c r="M129" s="196"/>
    </row>
    <row r="130" spans="5:13">
      <c r="E130" s="201"/>
      <c r="F130" s="201"/>
      <c r="H130" s="201"/>
      <c r="I130" s="201"/>
      <c r="J130" s="201"/>
      <c r="K130" s="182"/>
      <c r="L130" s="201"/>
      <c r="M130" s="196"/>
    </row>
    <row r="131" spans="5:13">
      <c r="E131" s="201"/>
      <c r="F131" s="201"/>
      <c r="H131" s="201"/>
      <c r="I131" s="201"/>
      <c r="J131" s="201"/>
      <c r="K131" s="182"/>
      <c r="L131" s="201"/>
      <c r="M131" s="196"/>
    </row>
    <row r="132" spans="5:13">
      <c r="E132" s="201"/>
      <c r="F132" s="201"/>
      <c r="H132" s="201"/>
      <c r="I132" s="201"/>
      <c r="J132" s="201"/>
      <c r="K132" s="182"/>
      <c r="L132" s="201"/>
      <c r="M132" s="196"/>
    </row>
    <row r="133" spans="5:13">
      <c r="E133" s="201"/>
      <c r="F133" s="201"/>
      <c r="H133" s="201"/>
      <c r="I133" s="201"/>
      <c r="J133" s="201"/>
      <c r="K133" s="182"/>
      <c r="L133" s="201"/>
      <c r="M133" s="196"/>
    </row>
    <row r="134" spans="5:13">
      <c r="E134" s="201"/>
      <c r="F134" s="201"/>
      <c r="H134" s="201"/>
      <c r="I134" s="201"/>
      <c r="J134" s="201"/>
      <c r="K134" s="182"/>
      <c r="L134" s="201"/>
      <c r="M134" s="196"/>
    </row>
    <row r="135" spans="5:13">
      <c r="E135" s="201"/>
      <c r="F135" s="201"/>
      <c r="H135" s="201"/>
      <c r="I135" s="201"/>
      <c r="J135" s="201"/>
      <c r="K135" s="182"/>
      <c r="L135" s="201"/>
      <c r="M135" s="196"/>
    </row>
    <row r="136" spans="5:13">
      <c r="E136" s="201"/>
      <c r="F136" s="201"/>
      <c r="H136" s="201"/>
      <c r="I136" s="201"/>
      <c r="J136" s="201"/>
      <c r="K136" s="182"/>
      <c r="L136" s="201"/>
      <c r="M136" s="196"/>
    </row>
    <row r="137" spans="5:13">
      <c r="E137" s="201"/>
      <c r="F137" s="201"/>
      <c r="H137" s="201"/>
      <c r="I137" s="201"/>
      <c r="J137" s="201"/>
      <c r="K137" s="182"/>
      <c r="L137" s="201"/>
      <c r="M137" s="196"/>
    </row>
    <row r="138" spans="5:13">
      <c r="E138" s="201"/>
      <c r="F138" s="201"/>
      <c r="H138" s="201"/>
      <c r="I138" s="201"/>
      <c r="J138" s="201"/>
      <c r="K138" s="182"/>
      <c r="L138" s="201"/>
      <c r="M138" s="196"/>
    </row>
    <row r="139" spans="5:13">
      <c r="E139" s="201"/>
      <c r="F139" s="201"/>
      <c r="H139" s="201"/>
      <c r="I139" s="201"/>
      <c r="J139" s="201"/>
      <c r="K139" s="182"/>
      <c r="L139" s="201"/>
      <c r="M139" s="196"/>
    </row>
    <row r="140" spans="5:13">
      <c r="E140" s="201"/>
      <c r="F140" s="201"/>
      <c r="H140" s="201"/>
      <c r="I140" s="201"/>
      <c r="J140" s="201"/>
      <c r="K140" s="182"/>
      <c r="L140" s="201"/>
      <c r="M140" s="196"/>
    </row>
    <row r="141" spans="5:13">
      <c r="E141" s="201"/>
      <c r="F141" s="201"/>
      <c r="H141" s="201"/>
      <c r="I141" s="201"/>
      <c r="J141" s="201"/>
      <c r="K141" s="182"/>
      <c r="L141" s="201"/>
      <c r="M141" s="196"/>
    </row>
    <row r="142" spans="5:13">
      <c r="E142" s="201"/>
      <c r="F142" s="201"/>
      <c r="H142" s="201"/>
      <c r="I142" s="201"/>
      <c r="J142" s="201"/>
      <c r="K142" s="182"/>
      <c r="L142" s="201"/>
      <c r="M142" s="196"/>
    </row>
    <row r="143" spans="5:13">
      <c r="E143" s="201"/>
      <c r="F143" s="201"/>
      <c r="H143" s="201"/>
      <c r="I143" s="201"/>
      <c r="J143" s="201"/>
      <c r="K143" s="182"/>
      <c r="L143" s="201"/>
      <c r="M143" s="196"/>
    </row>
    <row r="144" spans="5:13">
      <c r="E144" s="201"/>
      <c r="F144" s="201"/>
      <c r="H144" s="201"/>
      <c r="I144" s="201"/>
      <c r="J144" s="201"/>
      <c r="K144" s="182"/>
      <c r="L144" s="201"/>
      <c r="M144" s="196"/>
    </row>
    <row r="145" spans="5:13">
      <c r="E145" s="201"/>
      <c r="F145" s="201"/>
      <c r="H145" s="201"/>
      <c r="I145" s="201"/>
      <c r="J145" s="201"/>
      <c r="K145" s="182"/>
      <c r="L145" s="201"/>
      <c r="M145" s="196"/>
    </row>
    <row r="146" spans="5:13">
      <c r="E146" s="201"/>
      <c r="F146" s="201"/>
      <c r="H146" s="201"/>
      <c r="I146" s="201"/>
      <c r="J146" s="201"/>
      <c r="K146" s="182"/>
      <c r="L146" s="201"/>
      <c r="M146" s="196"/>
    </row>
    <row r="147" spans="5:13">
      <c r="E147" s="201"/>
      <c r="F147" s="201"/>
      <c r="H147" s="201"/>
      <c r="I147" s="201"/>
      <c r="J147" s="201"/>
      <c r="K147" s="182"/>
      <c r="L147" s="201"/>
      <c r="M147" s="196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FE8-35AC-E84B-A276-19A36E6B73A2}">
  <sheetPr>
    <tabColor rgb="FF92D050"/>
  </sheetPr>
  <dimension ref="B3:J24"/>
  <sheetViews>
    <sheetView zoomScale="137" workbookViewId="0">
      <selection activeCell="C8" sqref="C8"/>
    </sheetView>
  </sheetViews>
  <sheetFormatPr baseColWidth="10" defaultColWidth="8.83203125" defaultRowHeight="13"/>
  <cols>
    <col min="1" max="1" width="8.83203125" style="147"/>
    <col min="2" max="2" width="14.33203125" style="147" customWidth="1"/>
    <col min="3" max="16384" width="8.83203125" style="147"/>
  </cols>
  <sheetData>
    <row r="3" spans="2:10" ht="17.75" customHeight="1">
      <c r="B3" s="148" t="s">
        <v>428</v>
      </c>
      <c r="C3" s="148"/>
      <c r="D3" s="148"/>
      <c r="E3" s="148"/>
      <c r="F3" s="148"/>
      <c r="G3" s="148"/>
      <c r="H3" s="148"/>
      <c r="I3" s="148"/>
      <c r="J3" s="148"/>
    </row>
    <row r="4" spans="2:10" ht="17.75" customHeight="1">
      <c r="B4" s="149"/>
      <c r="C4" s="149"/>
      <c r="D4" s="149"/>
      <c r="E4" s="149"/>
      <c r="F4" s="149"/>
      <c r="G4" s="149"/>
    </row>
    <row r="5" spans="2:10" ht="18">
      <c r="B5" s="150" t="s">
        <v>429</v>
      </c>
      <c r="C5" s="151"/>
    </row>
    <row r="6" spans="2:10" ht="14" thickBot="1">
      <c r="B6" s="152" t="s">
        <v>318</v>
      </c>
      <c r="C6" s="152" t="s">
        <v>64</v>
      </c>
      <c r="D6" s="152" t="s">
        <v>45</v>
      </c>
      <c r="E6" s="152" t="s">
        <v>35</v>
      </c>
      <c r="F6" s="152" t="s">
        <v>387</v>
      </c>
      <c r="G6" s="152" t="s">
        <v>388</v>
      </c>
      <c r="H6" s="152" t="s">
        <v>389</v>
      </c>
      <c r="I6" s="152" t="s">
        <v>391</v>
      </c>
    </row>
    <row r="7" spans="2:10" ht="14" thickBot="1">
      <c r="B7" s="14" t="s">
        <v>360</v>
      </c>
      <c r="C7" s="14" t="s">
        <v>430</v>
      </c>
      <c r="D7" s="14" t="s">
        <v>430</v>
      </c>
      <c r="E7" s="14" t="s">
        <v>430</v>
      </c>
      <c r="F7" s="14" t="s">
        <v>430</v>
      </c>
      <c r="G7" s="14" t="s">
        <v>430</v>
      </c>
      <c r="H7" s="14" t="s">
        <v>430</v>
      </c>
      <c r="I7" s="14" t="s">
        <v>430</v>
      </c>
    </row>
    <row r="8" spans="2:10">
      <c r="B8" s="147" t="s">
        <v>431</v>
      </c>
      <c r="C8" s="153">
        <v>91.23</v>
      </c>
      <c r="D8" s="153">
        <v>50.33</v>
      </c>
      <c r="E8" s="153">
        <v>70.334000000000003</v>
      </c>
      <c r="F8" s="153">
        <v>0</v>
      </c>
      <c r="G8" s="153">
        <v>0</v>
      </c>
      <c r="H8" s="153">
        <v>0</v>
      </c>
      <c r="I8" s="153">
        <v>0</v>
      </c>
    </row>
    <row r="23" spans="2:3">
      <c r="B23" s="154"/>
      <c r="C23" s="147" t="s">
        <v>362</v>
      </c>
    </row>
    <row r="24" spans="2:3">
      <c r="B24" s="155"/>
      <c r="C24" s="147" t="s">
        <v>363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EnergyBalance</vt:lpstr>
      <vt:lpstr>EB1</vt:lpstr>
      <vt:lpstr>EB2</vt:lpstr>
      <vt:lpstr>RES&amp;OBJ</vt:lpstr>
      <vt:lpstr>LCOE CAL</vt:lpstr>
      <vt:lpstr>Pri_HYD</vt:lpstr>
      <vt:lpstr>Pri_BIO</vt:lpstr>
      <vt:lpstr>Pri_COA</vt:lpstr>
      <vt:lpstr>Pri_GAS</vt:lpstr>
      <vt:lpstr>Pri_OIL</vt:lpstr>
      <vt:lpstr>Pri_SOL</vt:lpstr>
      <vt:lpstr>Pri_WIN</vt:lpstr>
      <vt:lpstr>Fuel</vt:lpstr>
      <vt:lpstr>Sector_Fuels</vt:lpstr>
      <vt:lpstr>Parsing</vt:lpstr>
      <vt:lpstr>Kalimantan Only</vt:lpstr>
      <vt:lpstr>Con_ELC</vt:lpstr>
      <vt:lpstr>Emi</vt:lpstr>
      <vt:lpstr>Base_Year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Rio Kaswiyanto</cp:lastModifiedBy>
  <cp:revision/>
  <dcterms:created xsi:type="dcterms:W3CDTF">2000-12-13T15:53:11Z</dcterms:created>
  <dcterms:modified xsi:type="dcterms:W3CDTF">2023-05-08T11:53:25Z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536319673061370</vt:r8>
  </property>
</Properties>
</file>