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ioprmdt/Documents/GitHub/Portfolio/National Hydrogen Strategy/Database/"/>
    </mc:Choice>
  </mc:AlternateContent>
  <xr:revisionPtr revIDLastSave="0" documentId="13_ncr:1_{0CB24A88-5684-CB40-ABF8-978375D2C5F5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ummary" sheetId="1" r:id="rId1"/>
    <sheet name="Price Assump." sheetId="4" r:id="rId2"/>
    <sheet name="Conversion Assump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9KLHSb0nRiyWBpCfG174xBDQkcZG0YOzBk0qY78fmyo="/>
    </ext>
  </extLst>
</workbook>
</file>

<file path=xl/calcChain.xml><?xml version="1.0" encoding="utf-8"?>
<calcChain xmlns="http://schemas.openxmlformats.org/spreadsheetml/2006/main">
  <c r="X13" i="1" l="1"/>
  <c r="Y13" i="1" s="1"/>
  <c r="Z13" i="1"/>
  <c r="V13" i="1"/>
  <c r="W13" i="1" s="1"/>
  <c r="AE13" i="1"/>
  <c r="AF13" i="1"/>
  <c r="AD13" i="1"/>
  <c r="AO13" i="1"/>
  <c r="AN13" i="1"/>
  <c r="AM13" i="1"/>
  <c r="W11" i="1"/>
  <c r="E7" i="4"/>
  <c r="AA9" i="1" s="1"/>
  <c r="C7" i="4"/>
  <c r="AK7" i="1"/>
  <c r="AJ7" i="1"/>
  <c r="AE7" i="1"/>
  <c r="AD7" i="1"/>
  <c r="B34" i="5"/>
  <c r="B29" i="5"/>
  <c r="AA2" i="1"/>
  <c r="AA4" i="1"/>
  <c r="AA5" i="1"/>
  <c r="AA6" i="1"/>
  <c r="AA35" i="1"/>
  <c r="AH6" i="1"/>
  <c r="AK6" i="1" s="1"/>
  <c r="AI6" i="1"/>
  <c r="AL6" i="1" s="1"/>
  <c r="AG6" i="1"/>
  <c r="AJ6" i="1" s="1"/>
  <c r="AK3" i="1"/>
  <c r="Z2" i="1"/>
  <c r="AE2" i="1"/>
  <c r="X2" i="1"/>
  <c r="Y2" i="1" s="1"/>
  <c r="AN2" i="1"/>
  <c r="D6" i="4"/>
  <c r="AA16" i="1" l="1"/>
  <c r="AA13" i="1"/>
  <c r="AE3" i="1"/>
  <c r="AD3" i="1"/>
  <c r="B19" i="5"/>
  <c r="B15" i="5"/>
  <c r="C9" i="5"/>
  <c r="V4" i="1" s="1"/>
  <c r="W4" i="1" s="1"/>
  <c r="C10" i="4"/>
  <c r="D10" i="4" s="1"/>
  <c r="E9" i="4"/>
  <c r="D9" i="4"/>
  <c r="C9" i="4"/>
  <c r="V45" i="1" s="1"/>
  <c r="C8" i="4"/>
  <c r="C5" i="4"/>
  <c r="E4" i="4"/>
  <c r="D4" i="4"/>
  <c r="C4" i="4"/>
  <c r="E3" i="4"/>
  <c r="D3" i="4"/>
  <c r="C3" i="4"/>
  <c r="X49" i="1"/>
  <c r="Z45" i="1"/>
  <c r="Z43" i="1"/>
  <c r="Z42" i="1"/>
  <c r="X42" i="1"/>
  <c r="Z40" i="1"/>
  <c r="X39" i="1"/>
  <c r="V37" i="1"/>
  <c r="W37" i="1" s="1"/>
  <c r="Z35" i="1"/>
  <c r="V35" i="1"/>
  <c r="W35" i="1" s="1"/>
  <c r="V25" i="1"/>
  <c r="W25" i="1" s="1"/>
  <c r="Z16" i="1"/>
  <c r="X16" i="1"/>
  <c r="W16" i="1"/>
  <c r="Z15" i="1"/>
  <c r="W10" i="1"/>
  <c r="W9" i="1"/>
  <c r="Z5" i="1"/>
  <c r="X5" i="1"/>
  <c r="Y5" i="1" s="1"/>
  <c r="V5" i="1"/>
  <c r="W5" i="1" s="1"/>
  <c r="X4" i="1"/>
  <c r="Y4" i="1" s="1"/>
  <c r="Z4" i="1" l="1"/>
  <c r="V49" i="1"/>
  <c r="V42" i="1"/>
  <c r="E10" i="4"/>
  <c r="E8" i="4"/>
  <c r="D7" i="4"/>
  <c r="D8" i="4"/>
  <c r="Z53" i="1" l="1"/>
  <c r="Y9" i="1"/>
  <c r="Y10" i="1"/>
  <c r="Y39" i="1"/>
  <c r="Y16" i="1"/>
</calcChain>
</file>

<file path=xl/sharedStrings.xml><?xml version="1.0" encoding="utf-8"?>
<sst xmlns="http://schemas.openxmlformats.org/spreadsheetml/2006/main" count="863" uniqueCount="222">
  <si>
    <t>country</t>
  </si>
  <si>
    <t>country_code</t>
  </si>
  <si>
    <t>L H2</t>
  </si>
  <si>
    <t>Pipeline</t>
  </si>
  <si>
    <t>Ammonia</t>
  </si>
  <si>
    <t>Methanol</t>
  </si>
  <si>
    <t>e-Fuel</t>
  </si>
  <si>
    <t>Green Steel</t>
  </si>
  <si>
    <t>LOHC/MCH</t>
  </si>
  <si>
    <t>Other</t>
  </si>
  <si>
    <t>Trade Direction</t>
  </si>
  <si>
    <t>Increase Jobs</t>
  </si>
  <si>
    <t>Increase Export</t>
  </si>
  <si>
    <t>Abundant/Cheap Renewable</t>
  </si>
  <si>
    <t>Abundant/Cheap Gas</t>
  </si>
  <si>
    <t>Geographical/Trade Relation/Facilities</t>
  </si>
  <si>
    <t>Improve Industries/Economic</t>
  </si>
  <si>
    <t>Limited/Expensive Resources</t>
  </si>
  <si>
    <t>High Domestic Demand/Decacbonizing Industries</t>
  </si>
  <si>
    <t>Energy Security</t>
  </si>
  <si>
    <t>Trade Quant 2030 (Mt)</t>
  </si>
  <si>
    <t>Trade Value 2030 (USD)</t>
  </si>
  <si>
    <t>Trade Quant 2040 (Mt)</t>
  </si>
  <si>
    <t>Trade Value 2040 (USD)</t>
  </si>
  <si>
    <t>Trade Quant 2050 (Mt)</t>
  </si>
  <si>
    <t>Trade Value 2050 (USD)</t>
  </si>
  <si>
    <t>Algeria</t>
  </si>
  <si>
    <t>DZA</t>
  </si>
  <si>
    <t>Yes</t>
  </si>
  <si>
    <t>No</t>
  </si>
  <si>
    <t>Export</t>
  </si>
  <si>
    <t>Kenya</t>
  </si>
  <si>
    <t>KEN</t>
  </si>
  <si>
    <t>Mauritania</t>
  </si>
  <si>
    <t>MRT</t>
  </si>
  <si>
    <t>Ammonium Nitrate</t>
  </si>
  <si>
    <t>Morocco</t>
  </si>
  <si>
    <t>MAR</t>
  </si>
  <si>
    <t>Namibia</t>
  </si>
  <si>
    <t>NAM</t>
  </si>
  <si>
    <t>South Africa</t>
  </si>
  <si>
    <t>ZAF</t>
  </si>
  <si>
    <t>China</t>
  </si>
  <si>
    <t>CHN</t>
  </si>
  <si>
    <t>NA</t>
  </si>
  <si>
    <t>Japan</t>
  </si>
  <si>
    <t>JPN</t>
  </si>
  <si>
    <t>Import</t>
  </si>
  <si>
    <t>South Korea</t>
  </si>
  <si>
    <t>KOR</t>
  </si>
  <si>
    <t>India</t>
  </si>
  <si>
    <t>IND</t>
  </si>
  <si>
    <t>Indonesia</t>
  </si>
  <si>
    <t>IDN</t>
  </si>
  <si>
    <t>Malaysia</t>
  </si>
  <si>
    <t>MYS</t>
  </si>
  <si>
    <t>Singapore</t>
  </si>
  <si>
    <t>SGP</t>
  </si>
  <si>
    <t>Sri Lanka</t>
  </si>
  <si>
    <t>LKA</t>
  </si>
  <si>
    <t>Russia</t>
  </si>
  <si>
    <t>RUS</t>
  </si>
  <si>
    <t>Bulgaria</t>
  </si>
  <si>
    <t>BGR</t>
  </si>
  <si>
    <t>Fertilizer</t>
  </si>
  <si>
    <t>Czech Republic</t>
  </si>
  <si>
    <t>CZE</t>
  </si>
  <si>
    <t>Hungary</t>
  </si>
  <si>
    <t>HUN</t>
  </si>
  <si>
    <t>Poland</t>
  </si>
  <si>
    <t>POL</t>
  </si>
  <si>
    <t>Romania</t>
  </si>
  <si>
    <t>ROU</t>
  </si>
  <si>
    <t>Slovakia</t>
  </si>
  <si>
    <t>SVK</t>
  </si>
  <si>
    <t>Ukraine</t>
  </si>
  <si>
    <t>UKR</t>
  </si>
  <si>
    <t>Denmark</t>
  </si>
  <si>
    <t>DNK</t>
  </si>
  <si>
    <t>Finland</t>
  </si>
  <si>
    <t>FIN</t>
  </si>
  <si>
    <t>Ireland</t>
  </si>
  <si>
    <t>IRL</t>
  </si>
  <si>
    <t>Norway</t>
  </si>
  <si>
    <t>NOR</t>
  </si>
  <si>
    <t>Sweden</t>
  </si>
  <si>
    <t>SWE</t>
  </si>
  <si>
    <t>United Kingdom</t>
  </si>
  <si>
    <t>GBR</t>
  </si>
  <si>
    <t>Not mentioning anything specific</t>
  </si>
  <si>
    <t>Croatia</t>
  </si>
  <si>
    <t>HRV</t>
  </si>
  <si>
    <t>Portugal</t>
  </si>
  <si>
    <t>PRT</t>
  </si>
  <si>
    <t>Spain</t>
  </si>
  <si>
    <t>ESP</t>
  </si>
  <si>
    <t>Turkey</t>
  </si>
  <si>
    <t>TUR</t>
  </si>
  <si>
    <t>Borohydride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</si>
  <si>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</si>
  <si>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</si>
  <si>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</si>
  <si>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</si>
  <si>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</si>
  <si>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</si>
  <si>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</si>
  <si>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</si>
  <si>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Luxemburg</t>
  </si>
  <si>
    <t>LUX</t>
  </si>
  <si>
    <t>Netherlands</t>
  </si>
  <si>
    <t>NLD</t>
  </si>
  <si>
    <t>Sodium borohydride</t>
  </si>
  <si>
    <t>Argentina</t>
  </si>
  <si>
    <t>ARG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</si>
  <si>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</si>
  <si>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</si>
  <si>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</si>
  <si>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</si>
  <si>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</si>
  <si>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</si>
  <si>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</si>
  <si>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</si>
  <si>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Ecuador</t>
  </si>
  <si>
    <t>ECU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</si>
  <si>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</si>
  <si>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</si>
  <si>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</si>
  <si>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</si>
  <si>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</si>
  <si>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</si>
  <si>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</si>
  <si>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</si>
  <si>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Israel</t>
  </si>
  <si>
    <t>ISR</t>
  </si>
  <si>
    <t>Oman</t>
  </si>
  <si>
    <t>OMN</t>
  </si>
  <si>
    <t>United Arab Emirates</t>
  </si>
  <si>
    <t>ARE</t>
  </si>
  <si>
    <t>Canada</t>
  </si>
  <si>
    <t>CAN</t>
  </si>
  <si>
    <t>United States</t>
  </si>
  <si>
    <t>USA</t>
  </si>
  <si>
    <t>Australia</t>
  </si>
  <si>
    <t>AUS</t>
  </si>
  <si>
    <t>New Zealand</t>
  </si>
  <si>
    <t>NZL</t>
  </si>
  <si>
    <t>USD/ Mt H2</t>
  </si>
  <si>
    <t>Region</t>
  </si>
  <si>
    <t>Ref</t>
  </si>
  <si>
    <t>Usd to Eur</t>
  </si>
  <si>
    <t>Africa</t>
  </si>
  <si>
    <t>Asia</t>
  </si>
  <si>
    <t>EU</t>
  </si>
  <si>
    <t>Latam</t>
  </si>
  <si>
    <t>North America</t>
  </si>
  <si>
    <t>Ammonia to Hydrogen</t>
  </si>
  <si>
    <t>ton H2 needed to produce 1 ton Ammonia (NH3)</t>
  </si>
  <si>
    <t>https://www.mdpi.com/2305-7084/3/4/87#:~:text=According%20to%20Equation%20(1)%2C</t>
  </si>
  <si>
    <t>https://wri-india.org/blog/emission-reduction-potential-green-hydrogen-ammonia-synthesis-fertilizer-industry#:~:text=The%20fertilizer%20industry%20consumes%20hydrogen,naphtha%2C%20or%20coal%20are%20employed.</t>
  </si>
  <si>
    <t>Methanol production</t>
  </si>
  <si>
    <t xml:space="preserve">to </t>
  </si>
  <si>
    <t>kg of H2 usage per ton of methanol production</t>
  </si>
  <si>
    <t xml:space="preserve">https://www.ifri.org/sites/default/files/atoms/files/tu_china_hydrogen_economy_2020_1.pdf </t>
  </si>
  <si>
    <t>middle number=</t>
  </si>
  <si>
    <t>ton H2 per ton of Methanol</t>
  </si>
  <si>
    <t>Iron Reduction Hydrogen Requirement</t>
  </si>
  <si>
    <t>kWh of power is required to generate hydrogen to produced 1 ton of crude steel using DRI tech</t>
  </si>
  <si>
    <t>https://rmi.org/wp-content/uploads/2019/09/green-steel-insight-brief.pdf</t>
  </si>
  <si>
    <t>Hydrogen electrolysis</t>
  </si>
  <si>
    <t>kWh of power is required to generate 1 kg of hydrogen</t>
  </si>
  <si>
    <t>efficiency</t>
  </si>
  <si>
    <t>kg of hydrogen is required to produce 1 ton of crude steel using DRI</t>
  </si>
  <si>
    <t>based on Fan's recommendation</t>
  </si>
  <si>
    <t>ton of hydrogen is required to produce 1 ton of crude steel using DRI</t>
  </si>
  <si>
    <t>Hydrogen TWh</t>
  </si>
  <si>
    <t>TWh of hydrogen is equal to 1 Mt of Hydrogen</t>
  </si>
  <si>
    <t>Hydrogen LHV</t>
  </si>
  <si>
    <t>Italy</t>
  </si>
  <si>
    <t>ITA</t>
  </si>
  <si>
    <t>SMR Production 2030 (Mt)</t>
  </si>
  <si>
    <t>SMR Production 2040 (Mt)</t>
  </si>
  <si>
    <t>SMR Production 2050 (Mt)</t>
  </si>
  <si>
    <t>Source Renewable</t>
  </si>
  <si>
    <t>Domestic Issue (Renew Demand, Water, NG Demand)</t>
  </si>
  <si>
    <t>Solar (70%), Wind (30%)</t>
  </si>
  <si>
    <t>Renew Cap 2030 (GW)</t>
  </si>
  <si>
    <t>Renew Cap 2050 (GW)</t>
  </si>
  <si>
    <t>Renew Cap 2040 (GW)</t>
  </si>
  <si>
    <t>Elec Cap 2030 (GW)</t>
  </si>
  <si>
    <t>Elec Cap 2040 (GW)</t>
  </si>
  <si>
    <t>Elec Cap 2050 (GW)</t>
  </si>
  <si>
    <t>Urea</t>
  </si>
  <si>
    <t>No problem with water supply, Potential to use unused flare gas, Possibility of cofiring for power generation</t>
  </si>
  <si>
    <t>Hydrogen Tech Mastery</t>
  </si>
  <si>
    <t>Elec Production 2030 (Mt)</t>
  </si>
  <si>
    <t>Elec Production 2040 (Mt)</t>
  </si>
  <si>
    <t>Elec Production 2050 (Mt)</t>
  </si>
  <si>
    <t>Green Fertilizer</t>
  </si>
  <si>
    <t>Focused to reduce rellience on imported fertiliser, develop agriculture industry</t>
  </si>
  <si>
    <t>Hydrogen Electrolyzer</t>
  </si>
  <si>
    <t>Algeria National Strategy</t>
  </si>
  <si>
    <t>Mt is produced by 1 GW electrolysis per anum</t>
  </si>
  <si>
    <t>HBI Steel</t>
  </si>
  <si>
    <t>Namibia National Strategy</t>
  </si>
  <si>
    <t>GW of renewable plant capacity is required per 1 GW of electrolysis</t>
  </si>
  <si>
    <t>Majority wind, and solar</t>
  </si>
  <si>
    <t>Grey hydrogen demand already exist in fertilizer, aimed to be replaced</t>
  </si>
  <si>
    <t>Rail/Train</t>
  </si>
  <si>
    <t>Solar and Wind</t>
  </si>
  <si>
    <t>South Africa National Strategy</t>
  </si>
  <si>
    <t xml:space="preserve"> Mt is produced by 1 GW electrolysis</t>
  </si>
  <si>
    <t>Expensive domestic production, instead, aims to export electrolyzer technology</t>
  </si>
  <si>
    <t>Hydrogen import will be composed of green (70%) and brown coal (30%)</t>
  </si>
  <si>
    <t>By production of Chlor-alkali</t>
  </si>
  <si>
    <t>Water scarcity in Northern region, Production in hubs</t>
  </si>
  <si>
    <t>Decentralized production approach to reduce transport cost</t>
  </si>
  <si>
    <t>Solar, Wind, and Biomass (decentralized)</t>
  </si>
  <si>
    <t>By production of Chlor-alkali, production from Biomass</t>
  </si>
  <si>
    <t>Solar, Wind, Geothermal, Hydro, Nuclear</t>
  </si>
  <si>
    <t>Cofiring for power generation is one of the main target, Hydrogen is used to transport energy from the source to the population center</t>
  </si>
  <si>
    <t>Solar, small biomass, and Natural Gas</t>
  </si>
  <si>
    <t>Only import green hydrogen on the Emission Driven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</si>
</sst>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FFFF"/>
        <bgColor rgb="FF00FFFF"/>
      </patternFill>
    </fill>
    <fill>
      <patternFill patternType="solid">
        <fgColor rgb="FFF7CAAC"/>
        <bgColor rgb="FFF7CAA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164" fontId="3" fillId="0" borderId="1" xfId="0" applyNumberFormat="1" applyFont="1" applyBorder="1"/>
    <xf numFmtId="0" fontId="5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165" fontId="3" fillId="0" borderId="0" xfId="0" applyNumberFormat="1" applyFont="1"/>
    <xf numFmtId="0" fontId="3" fillId="4" borderId="2" xfId="0" applyFont="1" applyFill="1" applyBorder="1"/>
    <xf numFmtId="165" fontId="3" fillId="4" borderId="2" xfId="0" applyNumberFormat="1" applyFont="1" applyFill="1" applyBorder="1"/>
    <xf numFmtId="0" fontId="2" fillId="0" borderId="0" xfId="0" applyFont="1"/>
    <xf numFmtId="0" fontId="3" fillId="0" borderId="3" xfId="0" applyFont="1" applyBorder="1"/>
    <xf numFmtId="0" fontId="6" fillId="0" borderId="0" xfId="0" applyFont="1"/>
    <xf numFmtId="9" fontId="3" fillId="0" borderId="0" xfId="0" applyNumberFormat="1" applyFont="1"/>
    <xf numFmtId="0" fontId="3" fillId="0" borderId="5" xfId="0" applyFont="1" applyBorder="1"/>
    <xf numFmtId="164" fontId="3" fillId="0" borderId="5" xfId="0" applyNumberFormat="1" applyFont="1" applyBorder="1"/>
    <xf numFmtId="0" fontId="4" fillId="0" borderId="4" xfId="0" applyFont="1" applyBorder="1"/>
    <xf numFmtId="0" fontId="0" fillId="0" borderId="4" xfId="0" applyBorder="1"/>
    <xf numFmtId="0" fontId="2" fillId="5" borderId="4" xfId="0" applyFont="1" applyFill="1" applyBorder="1"/>
    <xf numFmtId="0" fontId="1" fillId="0" borderId="0" xfId="0" applyFont="1"/>
    <xf numFmtId="0" fontId="1" fillId="0" borderId="4" xfId="0" applyFont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9" borderId="5" xfId="0" applyFont="1" applyFill="1" applyBorder="1"/>
    <xf numFmtId="0" fontId="3" fillId="8" borderId="1" xfId="0" applyFont="1" applyFill="1" applyBorder="1"/>
    <xf numFmtId="0" fontId="7" fillId="0" borderId="0" xfId="0" applyFont="1"/>
    <xf numFmtId="2" fontId="0" fillId="0" borderId="0" xfId="0" applyNumberFormat="1"/>
    <xf numFmtId="0" fontId="8" fillId="0" borderId="0" xfId="0" applyFont="1"/>
    <xf numFmtId="2" fontId="0" fillId="0" borderId="4" xfId="0" applyNumberFormat="1" applyBorder="1"/>
    <xf numFmtId="0" fontId="2" fillId="10" borderId="1" xfId="0" applyFont="1" applyFill="1" applyBorder="1"/>
    <xf numFmtId="0" fontId="1" fillId="0" borderId="7" xfId="0" applyFont="1" applyBorder="1"/>
    <xf numFmtId="0" fontId="4" fillId="0" borderId="7" xfId="0" applyFont="1" applyBorder="1"/>
    <xf numFmtId="0" fontId="0" fillId="0" borderId="7" xfId="0" applyBorder="1"/>
    <xf numFmtId="0" fontId="3" fillId="0" borderId="7" xfId="0" applyFont="1" applyBorder="1"/>
    <xf numFmtId="0" fontId="2" fillId="6" borderId="6" xfId="0" applyFont="1" applyFill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4" fontId="3" fillId="0" borderId="8" xfId="0" applyNumberFormat="1" applyFont="1" applyBorder="1"/>
    <xf numFmtId="0" fontId="3" fillId="0" borderId="9" xfId="0" applyFont="1" applyBorder="1"/>
    <xf numFmtId="0" fontId="0" fillId="0" borderId="10" xfId="0" applyBorder="1"/>
    <xf numFmtId="0" fontId="3" fillId="0" borderId="4" xfId="0" applyFont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7F7F7F"/>
      </font>
      <fill>
        <patternFill patternType="solid">
          <fgColor rgb="FFD8D8D8"/>
          <bgColor rgb="FFD8D8D8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fri.org/sites/default/files/atoms/files/tu_china_hydrogen_economy_2020_1.pdf" TargetMode="External"/><Relationship Id="rId2" Type="http://schemas.openxmlformats.org/officeDocument/2006/relationships/hyperlink" Target="https://wri-india.org/blog/emission-reduction-potential-green-hydrogen-ammonia-synthesis-fertilizer-industry" TargetMode="External"/><Relationship Id="rId1" Type="http://schemas.openxmlformats.org/officeDocument/2006/relationships/hyperlink" Target="https://www.mdpi.com/2305-7084/3/4/87" TargetMode="External"/><Relationship Id="rId4" Type="http://schemas.openxmlformats.org/officeDocument/2006/relationships/hyperlink" Target="https://rmi.org/wp-content/uploads/2019/09/green-steel-insight-bri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showGridLines="0" tabSelected="1" zoomScale="13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S16" sqref="S16"/>
    </sheetView>
  </sheetViews>
  <sheetFormatPr baseColWidth="10" defaultColWidth="11.1640625" defaultRowHeight="15" customHeight="1" outlineLevelRow="1" outlineLevelCol="1" x14ac:dyDescent="0.2"/>
  <cols>
    <col min="1" max="1" width="16.1640625" customWidth="1"/>
    <col min="2" max="2" width="12.1640625" customWidth="1"/>
    <col min="3" max="3" width="7.1640625" customWidth="1"/>
    <col min="4" max="4" width="10.5" customWidth="1" outlineLevel="1"/>
    <col min="5" max="5" width="9.1640625" customWidth="1" outlineLevel="1"/>
    <col min="6" max="6" width="9" customWidth="1" outlineLevel="1"/>
    <col min="7" max="7" width="8.83203125" customWidth="1" outlineLevel="1"/>
    <col min="8" max="8" width="10.83203125" customWidth="1" outlineLevel="1"/>
    <col min="9" max="9" width="10.33203125" customWidth="1" outlineLevel="1"/>
    <col min="10" max="10" width="17.33203125" customWidth="1" outlineLevel="1"/>
    <col min="11" max="11" width="10.5" customWidth="1"/>
    <col min="12" max="21" width="10.5" customWidth="1" outlineLevel="1"/>
    <col min="22" max="22" width="10.5" customWidth="1"/>
    <col min="23" max="23" width="21" hidden="1" customWidth="1" outlineLevel="1"/>
    <col min="24" max="24" width="10.5" hidden="1" customWidth="1" outlineLevel="1"/>
    <col min="25" max="25" width="21" hidden="1" customWidth="1" outlineLevel="1"/>
    <col min="26" max="26" width="10.5" hidden="1" customWidth="1" outlineLevel="1"/>
    <col min="27" max="27" width="21" hidden="1" customWidth="1" outlineLevel="1"/>
    <col min="28" max="28" width="16.5" bestFit="1" customWidth="1" collapsed="1"/>
    <col min="29" max="29" width="15.5" customWidth="1" outlineLevel="1"/>
    <col min="30" max="30" width="10.1640625" customWidth="1" outlineLevel="1" collapsed="1"/>
    <col min="31" max="31" width="9.6640625" customWidth="1" outlineLevel="1"/>
    <col min="32" max="40" width="10.33203125" customWidth="1" outlineLevel="1"/>
    <col min="41" max="41" width="8.1640625" customWidth="1" outlineLevel="1"/>
    <col min="42" max="42" width="12.33203125" bestFit="1" customWidth="1"/>
  </cols>
  <sheetData>
    <row r="1" spans="1:42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8" t="s">
        <v>11</v>
      </c>
      <c r="M1" s="28" t="s">
        <v>12</v>
      </c>
      <c r="N1" s="28" t="s">
        <v>13</v>
      </c>
      <c r="O1" s="36" t="s">
        <v>14</v>
      </c>
      <c r="P1" s="28" t="s">
        <v>15</v>
      </c>
      <c r="Q1" s="28" t="s">
        <v>16</v>
      </c>
      <c r="R1" s="28" t="s">
        <v>193</v>
      </c>
      <c r="S1" s="27" t="s">
        <v>17</v>
      </c>
      <c r="T1" s="27" t="s">
        <v>18</v>
      </c>
      <c r="U1" s="27" t="s">
        <v>19</v>
      </c>
      <c r="V1" s="29" t="s">
        <v>20</v>
      </c>
      <c r="W1" s="29" t="s">
        <v>21</v>
      </c>
      <c r="X1" s="29" t="s">
        <v>22</v>
      </c>
      <c r="Y1" s="29" t="s">
        <v>23</v>
      </c>
      <c r="Z1" s="29" t="s">
        <v>24</v>
      </c>
      <c r="AA1" s="30" t="s">
        <v>25</v>
      </c>
      <c r="AB1" s="22" t="s">
        <v>182</v>
      </c>
      <c r="AC1" s="22" t="s">
        <v>183</v>
      </c>
      <c r="AD1" s="22" t="s">
        <v>194</v>
      </c>
      <c r="AE1" s="22" t="s">
        <v>195</v>
      </c>
      <c r="AF1" s="22" t="s">
        <v>196</v>
      </c>
      <c r="AG1" s="26" t="s">
        <v>188</v>
      </c>
      <c r="AH1" s="26" t="s">
        <v>189</v>
      </c>
      <c r="AI1" s="26" t="s">
        <v>190</v>
      </c>
      <c r="AJ1" s="22" t="s">
        <v>185</v>
      </c>
      <c r="AK1" s="22" t="s">
        <v>187</v>
      </c>
      <c r="AL1" s="22" t="s">
        <v>186</v>
      </c>
      <c r="AM1" s="25" t="s">
        <v>179</v>
      </c>
      <c r="AN1" s="25" t="s">
        <v>180</v>
      </c>
      <c r="AO1" s="25" t="s">
        <v>181</v>
      </c>
      <c r="AP1" s="41" t="s">
        <v>9</v>
      </c>
    </row>
    <row r="2" spans="1:42" ht="15.75" hidden="1" customHeight="1" outlineLevel="1" x14ac:dyDescent="0.2">
      <c r="A2" s="31" t="s">
        <v>26</v>
      </c>
      <c r="B2" s="31" t="s">
        <v>27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29</v>
      </c>
      <c r="I2" s="4" t="s">
        <v>28</v>
      </c>
      <c r="J2" s="3" t="s">
        <v>191</v>
      </c>
      <c r="K2" s="3" t="s">
        <v>30</v>
      </c>
      <c r="L2" s="3"/>
      <c r="M2" s="3"/>
      <c r="N2" s="3" t="s">
        <v>28</v>
      </c>
      <c r="O2" s="3"/>
      <c r="P2" s="3" t="s">
        <v>28</v>
      </c>
      <c r="Q2" s="3" t="s">
        <v>28</v>
      </c>
      <c r="R2" s="3"/>
      <c r="S2" s="3"/>
      <c r="T2" s="3"/>
      <c r="U2" s="3"/>
      <c r="V2" s="5">
        <v>0</v>
      </c>
      <c r="W2" s="3">
        <v>0</v>
      </c>
      <c r="X2" s="5">
        <f>35/'Conversion Assump'!$B$23</f>
        <v>1.0606060606060606</v>
      </c>
      <c r="Y2" s="19">
        <f>X2*'Price Assump.'!$D$6</f>
        <v>1039393939.3939394</v>
      </c>
      <c r="Z2" s="5">
        <f>40/'Conversion Assump'!$B$23</f>
        <v>1.2121212121212122</v>
      </c>
      <c r="AA2" s="19">
        <f>Z2*'Price Assump.'!$D$6</f>
        <v>1187878787.878788</v>
      </c>
      <c r="AB2" s="24" t="s">
        <v>184</v>
      </c>
      <c r="AC2" s="24" t="s">
        <v>192</v>
      </c>
      <c r="AD2" s="24">
        <v>0</v>
      </c>
      <c r="AE2" s="5">
        <f>40/'Conversion Assump'!$B$23</f>
        <v>1.2121212121212122</v>
      </c>
      <c r="AF2" s="24" t="s">
        <v>44</v>
      </c>
      <c r="AG2" s="24">
        <v>0.2</v>
      </c>
      <c r="AH2" s="24">
        <v>2.5</v>
      </c>
      <c r="AI2" s="24" t="s">
        <v>44</v>
      </c>
      <c r="AJ2" s="24">
        <v>0</v>
      </c>
      <c r="AK2" s="24">
        <v>20</v>
      </c>
      <c r="AL2" s="24" t="s">
        <v>44</v>
      </c>
      <c r="AM2" s="24" t="s">
        <v>44</v>
      </c>
      <c r="AN2" s="5">
        <f>10/'Conversion Assump'!$B$23</f>
        <v>0.30303030303030304</v>
      </c>
      <c r="AO2" s="24" t="s">
        <v>44</v>
      </c>
      <c r="AP2" s="24" t="s">
        <v>44</v>
      </c>
    </row>
    <row r="3" spans="1:42" ht="15.75" hidden="1" customHeight="1" outlineLevel="1" x14ac:dyDescent="0.2">
      <c r="A3" s="31" t="s">
        <v>31</v>
      </c>
      <c r="B3" s="31" t="s">
        <v>32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3" t="s">
        <v>197</v>
      </c>
      <c r="K3" s="3" t="s">
        <v>30</v>
      </c>
      <c r="L3" s="3" t="s">
        <v>28</v>
      </c>
      <c r="M3" s="3" t="s">
        <v>28</v>
      </c>
      <c r="N3" s="3" t="s">
        <v>28</v>
      </c>
      <c r="O3" s="3"/>
      <c r="P3" s="3" t="s">
        <v>28</v>
      </c>
      <c r="Q3" s="3" t="s">
        <v>28</v>
      </c>
      <c r="R3" s="3"/>
      <c r="S3" s="3"/>
      <c r="T3" s="3"/>
      <c r="U3" s="3"/>
      <c r="V3" s="24" t="s">
        <v>44</v>
      </c>
      <c r="W3" s="24" t="s">
        <v>44</v>
      </c>
      <c r="X3" s="24" t="s">
        <v>44</v>
      </c>
      <c r="Y3" s="24" t="s">
        <v>44</v>
      </c>
      <c r="Z3" s="24" t="s">
        <v>44</v>
      </c>
      <c r="AA3" s="24" t="s">
        <v>44</v>
      </c>
      <c r="AB3" s="24" t="s">
        <v>44</v>
      </c>
      <c r="AC3" s="24" t="s">
        <v>198</v>
      </c>
      <c r="AD3" s="35">
        <f>AG3*'Conversion Assump'!$B$29</f>
        <v>4.8484848484848492E-2</v>
      </c>
      <c r="AE3" s="35">
        <f>AH3*'Conversion Assump'!$B$29</f>
        <v>9.6969696969696983E-2</v>
      </c>
      <c r="AF3" s="24" t="s">
        <v>44</v>
      </c>
      <c r="AG3" s="21">
        <v>0.1</v>
      </c>
      <c r="AH3" s="21">
        <v>0.2</v>
      </c>
      <c r="AI3" s="24" t="s">
        <v>44</v>
      </c>
      <c r="AJ3" s="21">
        <v>0.15</v>
      </c>
      <c r="AK3" s="21">
        <f>0.4+AJ3</f>
        <v>0.55000000000000004</v>
      </c>
      <c r="AL3" s="24" t="s">
        <v>44</v>
      </c>
      <c r="AM3" s="24" t="s">
        <v>44</v>
      </c>
      <c r="AN3" s="24" t="s">
        <v>44</v>
      </c>
      <c r="AO3" s="24" t="s">
        <v>44</v>
      </c>
      <c r="AP3" s="24" t="s">
        <v>44</v>
      </c>
    </row>
    <row r="4" spans="1:42" ht="15.75" hidden="1" customHeight="1" outlineLevel="1" x14ac:dyDescent="0.2">
      <c r="A4" s="3" t="s">
        <v>33</v>
      </c>
      <c r="B4" s="3" t="s">
        <v>34</v>
      </c>
      <c r="C4" s="4" t="s">
        <v>28</v>
      </c>
      <c r="D4" s="4" t="s">
        <v>29</v>
      </c>
      <c r="E4" s="4" t="s">
        <v>28</v>
      </c>
      <c r="F4" s="4" t="s">
        <v>28</v>
      </c>
      <c r="G4" s="4" t="s">
        <v>29</v>
      </c>
      <c r="H4" s="4" t="s">
        <v>28</v>
      </c>
      <c r="I4" s="4" t="s">
        <v>29</v>
      </c>
      <c r="J4" s="3" t="s">
        <v>35</v>
      </c>
      <c r="K4" s="3" t="s">
        <v>30</v>
      </c>
      <c r="L4" s="3"/>
      <c r="M4" s="3"/>
      <c r="N4" s="3" t="s">
        <v>28</v>
      </c>
      <c r="O4" s="3"/>
      <c r="P4" s="3" t="s">
        <v>28</v>
      </c>
      <c r="Q4" s="3"/>
      <c r="R4" s="3"/>
      <c r="S4" s="3"/>
      <c r="T4" s="3"/>
      <c r="U4" s="3"/>
      <c r="V4" s="5">
        <f>6.9*'Conversion Assump'!$B$3+0*'Conversion Assump'!$C$9+0*'Conversion Assump'!$B$19</f>
        <v>1.2213000000000001</v>
      </c>
      <c r="W4" s="7">
        <f>V4*'Price Assump.'!$C$3</f>
        <v>2638008000</v>
      </c>
      <c r="X4" s="5">
        <f>15.9*'Conversion Assump'!$B$3+1.8*'Conversion Assump'!$C$9+2.7*'Conversion Assump'!$B$19</f>
        <v>3.2046389999999998</v>
      </c>
      <c r="Y4" s="7">
        <f>X4*'Price Assump.'!$D$3</f>
        <v>5883717204</v>
      </c>
      <c r="Z4" s="5">
        <f>24.4*'Conversion Assump'!$B$3+5.5*'Conversion Assump'!$C$9+18.7*'Conversion Assump'!$B$19</f>
        <v>6.0862524999999996</v>
      </c>
      <c r="AA4" s="19">
        <f>Z4*'Price Assump.'!$E$3</f>
        <v>9859729050</v>
      </c>
      <c r="AB4" s="20"/>
      <c r="AC4" s="21"/>
      <c r="AD4" s="20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4"/>
    </row>
    <row r="5" spans="1:42" ht="15.75" hidden="1" customHeight="1" outlineLevel="1" x14ac:dyDescent="0.2">
      <c r="A5" s="3" t="s">
        <v>36</v>
      </c>
      <c r="B5" s="3" t="s">
        <v>37</v>
      </c>
      <c r="C5" s="4" t="s">
        <v>29</v>
      </c>
      <c r="D5" s="4" t="s">
        <v>28</v>
      </c>
      <c r="E5" s="4" t="s">
        <v>28</v>
      </c>
      <c r="F5" s="4" t="s">
        <v>29</v>
      </c>
      <c r="G5" s="4" t="s">
        <v>28</v>
      </c>
      <c r="H5" s="4" t="s">
        <v>29</v>
      </c>
      <c r="I5" s="4" t="s">
        <v>29</v>
      </c>
      <c r="J5" s="3"/>
      <c r="K5" s="3" t="s">
        <v>30</v>
      </c>
      <c r="L5" s="3" t="s">
        <v>28</v>
      </c>
      <c r="M5" s="3"/>
      <c r="N5" s="3"/>
      <c r="O5" s="3"/>
      <c r="P5" s="3"/>
      <c r="Q5" s="3" t="s">
        <v>28</v>
      </c>
      <c r="R5" s="3"/>
      <c r="S5" s="3"/>
      <c r="T5" s="3"/>
      <c r="U5" s="3"/>
      <c r="V5" s="5">
        <f>(7.3+3)/'Conversion Assump'!$B$23</f>
        <v>0.31212121212121213</v>
      </c>
      <c r="W5" s="7">
        <f>V5*'Price Assump.'!$C$3</f>
        <v>674181818.18181825</v>
      </c>
      <c r="X5" s="5">
        <f>(32.6+13.3)/'Conversion Assump'!$B$23</f>
        <v>1.3909090909090911</v>
      </c>
      <c r="Y5" s="7">
        <f>X5*'Price Assump.'!$D$3</f>
        <v>2553709090.9090915</v>
      </c>
      <c r="Z5" s="5">
        <f>(81.4+33.3)/'Conversion Assump'!$B$23</f>
        <v>3.475757575757576</v>
      </c>
      <c r="AA5" s="19">
        <f>Z5*'Price Assump.'!$E$3</f>
        <v>5630727272.727273</v>
      </c>
      <c r="AB5" s="20"/>
      <c r="AC5" s="21"/>
      <c r="AD5" s="20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4"/>
    </row>
    <row r="6" spans="1:42" ht="15.75" hidden="1" customHeight="1" outlineLevel="1" x14ac:dyDescent="0.2">
      <c r="A6" s="31" t="s">
        <v>38</v>
      </c>
      <c r="B6" s="31" t="s">
        <v>39</v>
      </c>
      <c r="C6" s="4" t="s">
        <v>29</v>
      </c>
      <c r="D6" s="4" t="s">
        <v>29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29</v>
      </c>
      <c r="J6" s="3" t="s">
        <v>202</v>
      </c>
      <c r="K6" s="3" t="s">
        <v>30</v>
      </c>
      <c r="L6" s="3" t="s">
        <v>28</v>
      </c>
      <c r="M6" s="3"/>
      <c r="N6" s="3" t="s">
        <v>28</v>
      </c>
      <c r="O6" s="3"/>
      <c r="P6" s="3"/>
      <c r="Q6" s="3" t="s">
        <v>28</v>
      </c>
      <c r="R6" s="3"/>
      <c r="S6" s="3"/>
      <c r="T6" s="3"/>
      <c r="U6" s="3"/>
      <c r="V6" s="24" t="s">
        <v>44</v>
      </c>
      <c r="W6" s="24" t="s">
        <v>44</v>
      </c>
      <c r="X6" s="24" t="s">
        <v>44</v>
      </c>
      <c r="Y6" s="24" t="s">
        <v>44</v>
      </c>
      <c r="Z6" s="5">
        <v>20</v>
      </c>
      <c r="AA6" s="19">
        <f>Z6*'Price Assump.'!$E$3</f>
        <v>32400000000</v>
      </c>
      <c r="AB6" s="24" t="s">
        <v>205</v>
      </c>
      <c r="AC6" s="24" t="s">
        <v>206</v>
      </c>
      <c r="AD6" s="20">
        <v>1.5</v>
      </c>
      <c r="AE6" s="21">
        <v>6</v>
      </c>
      <c r="AF6" s="21">
        <v>12.5</v>
      </c>
      <c r="AG6" s="21">
        <f>AD6/'Conversion Assump'!$B$31</f>
        <v>15</v>
      </c>
      <c r="AH6" s="21">
        <f>AE6/'Conversion Assump'!$B$31</f>
        <v>60</v>
      </c>
      <c r="AI6" s="21">
        <f>AF6/'Conversion Assump'!$B$31</f>
        <v>125</v>
      </c>
      <c r="AJ6" s="21">
        <f>AG6*'Conversion Assump'!$B$32</f>
        <v>30</v>
      </c>
      <c r="AK6" s="21">
        <f>AH6*'Conversion Assump'!$B$32</f>
        <v>120</v>
      </c>
      <c r="AL6" s="21">
        <f>AI6*'Conversion Assump'!$B$32</f>
        <v>250</v>
      </c>
      <c r="AM6" s="24" t="s">
        <v>44</v>
      </c>
      <c r="AN6" s="24" t="s">
        <v>44</v>
      </c>
      <c r="AO6" s="24" t="s">
        <v>44</v>
      </c>
      <c r="AP6" s="24" t="s">
        <v>44</v>
      </c>
    </row>
    <row r="7" spans="1:42" ht="15.75" hidden="1" customHeight="1" outlineLevel="1" collapsed="1" x14ac:dyDescent="0.2">
      <c r="A7" s="31" t="s">
        <v>40</v>
      </c>
      <c r="B7" s="31" t="s">
        <v>41</v>
      </c>
      <c r="C7" s="4" t="s">
        <v>29</v>
      </c>
      <c r="D7" s="4" t="s">
        <v>29</v>
      </c>
      <c r="E7" s="4" t="s">
        <v>28</v>
      </c>
      <c r="F7" s="4" t="s">
        <v>28</v>
      </c>
      <c r="G7" s="4" t="s">
        <v>29</v>
      </c>
      <c r="H7" s="4" t="s">
        <v>29</v>
      </c>
      <c r="I7" s="4" t="s">
        <v>29</v>
      </c>
      <c r="J7" s="3" t="s">
        <v>207</v>
      </c>
      <c r="K7" s="3" t="s">
        <v>30</v>
      </c>
      <c r="L7" s="3" t="s">
        <v>28</v>
      </c>
      <c r="M7" s="3" t="s">
        <v>28</v>
      </c>
      <c r="N7" s="3" t="s">
        <v>28</v>
      </c>
      <c r="O7" s="3"/>
      <c r="P7" s="3"/>
      <c r="Q7" s="3" t="s">
        <v>28</v>
      </c>
      <c r="R7" s="3"/>
      <c r="S7" s="3"/>
      <c r="T7" s="3"/>
      <c r="U7" s="3"/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24" t="s">
        <v>208</v>
      </c>
      <c r="AC7" s="24" t="s">
        <v>214</v>
      </c>
      <c r="AD7" s="24">
        <f>AG7*'Conversion Assump'!$B$34</f>
        <v>0.46799999999999997</v>
      </c>
      <c r="AE7" s="24">
        <f>AH7*'Conversion Assump'!$B$34</f>
        <v>0.6</v>
      </c>
      <c r="AF7" s="24" t="s">
        <v>44</v>
      </c>
      <c r="AG7" s="21">
        <v>11.7</v>
      </c>
      <c r="AH7" s="21">
        <v>15</v>
      </c>
      <c r="AI7" s="24" t="s">
        <v>44</v>
      </c>
      <c r="AJ7" s="21">
        <f>AG7*'Conversion Assump'!$B$32</f>
        <v>23.4</v>
      </c>
      <c r="AK7" s="21">
        <f>AH7*'Conversion Assump'!$B$32</f>
        <v>30</v>
      </c>
      <c r="AL7" s="24" t="s">
        <v>44</v>
      </c>
      <c r="AM7" s="24" t="s">
        <v>44</v>
      </c>
      <c r="AN7" s="24" t="s">
        <v>44</v>
      </c>
      <c r="AO7" s="24" t="s">
        <v>44</v>
      </c>
      <c r="AP7" s="24" t="s">
        <v>44</v>
      </c>
    </row>
    <row r="8" spans="1:42" ht="15.75" hidden="1" customHeight="1" outlineLevel="1" x14ac:dyDescent="0.2">
      <c r="A8" s="3" t="s">
        <v>42</v>
      </c>
      <c r="B8" s="3" t="s">
        <v>43</v>
      </c>
      <c r="C8" s="4" t="s">
        <v>29</v>
      </c>
      <c r="D8" s="4" t="s">
        <v>28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3"/>
      <c r="K8" s="3" t="s">
        <v>44</v>
      </c>
      <c r="L8" s="3"/>
      <c r="M8" s="3"/>
      <c r="N8" s="3"/>
      <c r="O8" s="3"/>
      <c r="P8" s="3"/>
      <c r="Q8" s="3"/>
      <c r="R8" s="3"/>
      <c r="S8" s="3"/>
      <c r="T8" s="3"/>
      <c r="U8" s="3"/>
      <c r="V8" s="5"/>
      <c r="W8" s="3"/>
      <c r="X8" s="5"/>
      <c r="Y8" s="3"/>
      <c r="Z8" s="5"/>
      <c r="AA8" s="18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4"/>
    </row>
    <row r="9" spans="1:42" ht="15.75" hidden="1" customHeight="1" outlineLevel="1" collapsed="1" x14ac:dyDescent="0.2">
      <c r="A9" s="31" t="s">
        <v>45</v>
      </c>
      <c r="B9" s="31" t="s">
        <v>46</v>
      </c>
      <c r="C9" s="4" t="s">
        <v>28</v>
      </c>
      <c r="D9" s="4" t="s">
        <v>29</v>
      </c>
      <c r="E9" s="4" t="s">
        <v>28</v>
      </c>
      <c r="F9" s="4" t="s">
        <v>29</v>
      </c>
      <c r="G9" s="4" t="s">
        <v>29</v>
      </c>
      <c r="H9" s="4" t="s">
        <v>29</v>
      </c>
      <c r="I9" s="4" t="s">
        <v>28</v>
      </c>
      <c r="J9" s="3"/>
      <c r="K9" s="3" t="s">
        <v>47</v>
      </c>
      <c r="L9" s="3"/>
      <c r="M9" s="3"/>
      <c r="N9" s="3"/>
      <c r="O9" s="3"/>
      <c r="P9" s="3"/>
      <c r="Q9" s="3"/>
      <c r="R9" s="3"/>
      <c r="S9" s="3" t="s">
        <v>28</v>
      </c>
      <c r="T9" s="3" t="s">
        <v>28</v>
      </c>
      <c r="U9" s="3" t="s">
        <v>28</v>
      </c>
      <c r="V9" s="5">
        <v>3</v>
      </c>
      <c r="W9" s="7">
        <f>V9*'Price Assump.'!$C$7</f>
        <v>6613200000</v>
      </c>
      <c r="X9" s="5">
        <v>12</v>
      </c>
      <c r="Y9" s="7">
        <f>X9*'Price Assump.'!$D$7</f>
        <v>22017600000</v>
      </c>
      <c r="Z9" s="5">
        <v>20</v>
      </c>
      <c r="AA9" s="19">
        <f>Z9*'Price Assump.'!$E$7</f>
        <v>29304000000</v>
      </c>
      <c r="AB9" s="24" t="s">
        <v>44</v>
      </c>
      <c r="AC9" s="24" t="s">
        <v>211</v>
      </c>
      <c r="AD9" s="24" t="s">
        <v>44</v>
      </c>
      <c r="AE9" s="24" t="s">
        <v>44</v>
      </c>
      <c r="AF9" s="24" t="s">
        <v>44</v>
      </c>
      <c r="AG9" s="24" t="s">
        <v>44</v>
      </c>
      <c r="AH9" s="24" t="s">
        <v>44</v>
      </c>
      <c r="AI9" s="24" t="s">
        <v>44</v>
      </c>
      <c r="AJ9" s="24" t="s">
        <v>44</v>
      </c>
      <c r="AK9" s="24" t="s">
        <v>44</v>
      </c>
      <c r="AL9" s="24" t="s">
        <v>44</v>
      </c>
      <c r="AM9" s="24" t="s">
        <v>44</v>
      </c>
      <c r="AN9" s="24" t="s">
        <v>44</v>
      </c>
      <c r="AO9" s="24" t="s">
        <v>44</v>
      </c>
      <c r="AP9" s="24" t="s">
        <v>44</v>
      </c>
    </row>
    <row r="10" spans="1:42" ht="15.75" hidden="1" customHeight="1" outlineLevel="1" x14ac:dyDescent="0.2">
      <c r="A10" s="31" t="s">
        <v>48</v>
      </c>
      <c r="B10" s="31" t="s">
        <v>49</v>
      </c>
      <c r="C10" s="4" t="s">
        <v>28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3"/>
      <c r="K10" s="3" t="s">
        <v>47</v>
      </c>
      <c r="L10" s="3"/>
      <c r="M10" s="3"/>
      <c r="N10" s="3"/>
      <c r="O10" s="3"/>
      <c r="P10" s="3"/>
      <c r="Q10" s="3"/>
      <c r="R10" s="3"/>
      <c r="S10" s="3" t="s">
        <v>28</v>
      </c>
      <c r="T10" s="3" t="s">
        <v>28</v>
      </c>
      <c r="U10" s="3"/>
      <c r="V10" s="5">
        <v>1.94</v>
      </c>
      <c r="W10" s="7">
        <f>V10*'Price Assump.'!$C$7</f>
        <v>4276536000</v>
      </c>
      <c r="X10" s="5">
        <v>5.26</v>
      </c>
      <c r="Y10" s="7">
        <f>X10*'Price Assump.'!$D$7</f>
        <v>9651048000</v>
      </c>
      <c r="Z10" s="24" t="s">
        <v>44</v>
      </c>
      <c r="AA10" s="24" t="s">
        <v>44</v>
      </c>
      <c r="AB10" s="24" t="s">
        <v>44</v>
      </c>
      <c r="AC10" s="24" t="s">
        <v>212</v>
      </c>
      <c r="AD10" s="24" t="s">
        <v>44</v>
      </c>
      <c r="AE10" s="24" t="s">
        <v>44</v>
      </c>
      <c r="AF10" s="24" t="s">
        <v>44</v>
      </c>
      <c r="AG10" s="24" t="s">
        <v>44</v>
      </c>
      <c r="AH10" s="24" t="s">
        <v>44</v>
      </c>
      <c r="AI10" s="24" t="s">
        <v>44</v>
      </c>
      <c r="AJ10" s="24" t="s">
        <v>44</v>
      </c>
      <c r="AK10" s="24" t="s">
        <v>44</v>
      </c>
      <c r="AL10" s="24" t="s">
        <v>44</v>
      </c>
      <c r="AM10" s="24" t="s">
        <v>44</v>
      </c>
      <c r="AN10" s="24" t="s">
        <v>44</v>
      </c>
      <c r="AO10" s="24" t="s">
        <v>44</v>
      </c>
      <c r="AP10" s="24" t="s">
        <v>44</v>
      </c>
    </row>
    <row r="11" spans="1:42" ht="15.75" hidden="1" customHeight="1" outlineLevel="1" x14ac:dyDescent="0.2">
      <c r="A11" s="31" t="s">
        <v>50</v>
      </c>
      <c r="B11" s="31" t="s">
        <v>51</v>
      </c>
      <c r="C11" s="4" t="s">
        <v>29</v>
      </c>
      <c r="D11" s="4" t="s">
        <v>29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29</v>
      </c>
      <c r="J11" s="3"/>
      <c r="K11" s="3" t="s">
        <v>30</v>
      </c>
      <c r="L11" s="3"/>
      <c r="M11" s="3"/>
      <c r="N11" s="8" t="s">
        <v>28</v>
      </c>
      <c r="O11" s="3"/>
      <c r="P11" s="3"/>
      <c r="Q11" s="3"/>
      <c r="R11" s="8" t="s">
        <v>28</v>
      </c>
      <c r="S11" s="3"/>
      <c r="T11" s="3"/>
      <c r="U11" s="3"/>
      <c r="V11" s="5">
        <v>10</v>
      </c>
      <c r="W11" s="7">
        <f>V11*'Price Assump.'!$C$7</f>
        <v>22044000000</v>
      </c>
      <c r="X11" s="5" t="s">
        <v>44</v>
      </c>
      <c r="Y11" s="5" t="s">
        <v>44</v>
      </c>
      <c r="Z11" s="5" t="s">
        <v>44</v>
      </c>
      <c r="AA11" s="5" t="s">
        <v>44</v>
      </c>
      <c r="AB11" s="24" t="s">
        <v>216</v>
      </c>
      <c r="AC11" s="24" t="s">
        <v>215</v>
      </c>
      <c r="AD11" s="21">
        <v>10</v>
      </c>
      <c r="AE11" s="24" t="s">
        <v>44</v>
      </c>
      <c r="AF11" s="24" t="s">
        <v>44</v>
      </c>
      <c r="AG11" s="24" t="s">
        <v>44</v>
      </c>
      <c r="AH11" s="24" t="s">
        <v>44</v>
      </c>
      <c r="AI11" s="24" t="s">
        <v>44</v>
      </c>
      <c r="AJ11" s="21">
        <v>125</v>
      </c>
      <c r="AK11" s="24" t="s">
        <v>44</v>
      </c>
      <c r="AL11" s="24" t="s">
        <v>44</v>
      </c>
      <c r="AM11" s="24" t="s">
        <v>44</v>
      </c>
      <c r="AN11" s="24" t="s">
        <v>44</v>
      </c>
      <c r="AO11" s="24" t="s">
        <v>44</v>
      </c>
      <c r="AP11" s="24" t="s">
        <v>217</v>
      </c>
    </row>
    <row r="12" spans="1:42" ht="15.75" hidden="1" customHeight="1" outlineLevel="1" x14ac:dyDescent="0.2">
      <c r="A12" s="31" t="s">
        <v>52</v>
      </c>
      <c r="B12" s="31" t="s">
        <v>53</v>
      </c>
      <c r="C12" s="4" t="s">
        <v>29</v>
      </c>
      <c r="D12" s="4" t="s">
        <v>29</v>
      </c>
      <c r="E12" s="4" t="s">
        <v>28</v>
      </c>
      <c r="F12" s="4" t="s">
        <v>29</v>
      </c>
      <c r="G12" s="4" t="s">
        <v>29</v>
      </c>
      <c r="H12" s="4" t="s">
        <v>29</v>
      </c>
      <c r="I12" s="4" t="s">
        <v>29</v>
      </c>
      <c r="J12" s="3"/>
      <c r="K12" s="3" t="s">
        <v>30</v>
      </c>
      <c r="L12" s="3"/>
      <c r="M12" s="3"/>
      <c r="N12" s="8" t="s">
        <v>28</v>
      </c>
      <c r="O12" s="8"/>
      <c r="P12" s="8" t="s">
        <v>28</v>
      </c>
      <c r="Q12" s="3"/>
      <c r="R12" s="3"/>
      <c r="S12" s="3"/>
      <c r="T12" s="3"/>
      <c r="U12" s="3"/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24" t="s">
        <v>218</v>
      </c>
      <c r="AC12" s="24" t="s">
        <v>219</v>
      </c>
      <c r="AD12" s="21">
        <v>0</v>
      </c>
      <c r="AE12" s="21">
        <v>0.5</v>
      </c>
      <c r="AF12" s="21">
        <v>3</v>
      </c>
      <c r="AG12" s="24" t="s">
        <v>44</v>
      </c>
      <c r="AH12" s="24" t="s">
        <v>44</v>
      </c>
      <c r="AI12" s="24" t="s">
        <v>44</v>
      </c>
      <c r="AJ12" s="24" t="s">
        <v>44</v>
      </c>
      <c r="AK12" s="24" t="s">
        <v>44</v>
      </c>
      <c r="AL12" s="24" t="s">
        <v>44</v>
      </c>
      <c r="AM12" s="24">
        <v>0.2</v>
      </c>
      <c r="AN12" s="24">
        <v>1</v>
      </c>
      <c r="AO12" s="24">
        <v>2.5</v>
      </c>
      <c r="AP12" s="24" t="s">
        <v>213</v>
      </c>
    </row>
    <row r="13" spans="1:42" ht="15.75" hidden="1" customHeight="1" outlineLevel="1" x14ac:dyDescent="0.2">
      <c r="A13" s="31" t="s">
        <v>54</v>
      </c>
      <c r="B13" s="31" t="s">
        <v>55</v>
      </c>
      <c r="C13" s="4" t="s">
        <v>29</v>
      </c>
      <c r="D13" s="4" t="s">
        <v>29</v>
      </c>
      <c r="E13" s="4" t="s">
        <v>28</v>
      </c>
      <c r="F13" s="4" t="s">
        <v>29</v>
      </c>
      <c r="G13" s="4" t="s">
        <v>29</v>
      </c>
      <c r="H13" s="4" t="s">
        <v>29</v>
      </c>
      <c r="I13" s="4" t="s">
        <v>28</v>
      </c>
      <c r="J13" s="3"/>
      <c r="K13" s="3" t="s">
        <v>47</v>
      </c>
      <c r="L13" s="3"/>
      <c r="M13" s="3"/>
      <c r="N13" s="3"/>
      <c r="O13" s="3"/>
      <c r="Q13" s="3"/>
      <c r="R13" s="3"/>
      <c r="S13" s="3"/>
      <c r="T13" s="3" t="s">
        <v>28</v>
      </c>
      <c r="U13" s="3"/>
      <c r="V13" s="5">
        <f>2-AD13-AM13</f>
        <v>0</v>
      </c>
      <c r="W13" s="19">
        <f>V13*'Price Assump.'!$C$7</f>
        <v>0</v>
      </c>
      <c r="X13" s="5">
        <f>8-AE13-AN13</f>
        <v>1.0536000000000003</v>
      </c>
      <c r="Y13" s="19">
        <f>X13*'Price Assump.'!$D$7</f>
        <v>1933145280.0000005</v>
      </c>
      <c r="Z13" s="5">
        <f>16-AF13-AO13</f>
        <v>1.0080000000000009</v>
      </c>
      <c r="AA13" s="19">
        <f>Z13*'Price Assump.'!$E$7</f>
        <v>1476921600.0000014</v>
      </c>
      <c r="AB13" s="24" t="s">
        <v>220</v>
      </c>
      <c r="AC13" s="24" t="s">
        <v>221</v>
      </c>
      <c r="AD13" s="21">
        <f>9.86%*2</f>
        <v>0.19719999999999999</v>
      </c>
      <c r="AE13" s="21">
        <f>(38.34%-13.17%)*8</f>
        <v>2.0136000000000003</v>
      </c>
      <c r="AF13" s="21">
        <f>(46.63%-6.3%)*16</f>
        <v>6.4528000000000008</v>
      </c>
      <c r="AG13" s="24" t="s">
        <v>44</v>
      </c>
      <c r="AH13" s="24" t="s">
        <v>44</v>
      </c>
      <c r="AI13" s="24" t="s">
        <v>44</v>
      </c>
      <c r="AJ13" s="24" t="s">
        <v>44</v>
      </c>
      <c r="AK13" s="24" t="s">
        <v>44</v>
      </c>
      <c r="AL13" s="24" t="s">
        <v>44</v>
      </c>
      <c r="AM13" s="21">
        <f>90.14%*2</f>
        <v>1.8028</v>
      </c>
      <c r="AN13" s="21">
        <f>61.66%*8</f>
        <v>4.9327999999999994</v>
      </c>
      <c r="AO13" s="21">
        <f>53.37%*16</f>
        <v>8.5391999999999992</v>
      </c>
      <c r="AP13" s="24" t="s">
        <v>44</v>
      </c>
    </row>
    <row r="14" spans="1:42" ht="15.75" customHeight="1" collapsed="1" x14ac:dyDescent="0.2">
      <c r="A14" s="31" t="s">
        <v>56</v>
      </c>
      <c r="B14" s="31" t="s">
        <v>57</v>
      </c>
      <c r="C14" s="4" t="s">
        <v>29</v>
      </c>
      <c r="D14" s="4" t="s">
        <v>29</v>
      </c>
      <c r="E14" s="4" t="s">
        <v>28</v>
      </c>
      <c r="F14" s="4" t="s">
        <v>29</v>
      </c>
      <c r="G14" s="4" t="s">
        <v>29</v>
      </c>
      <c r="H14" s="4" t="s">
        <v>29</v>
      </c>
      <c r="I14" s="4" t="s">
        <v>29</v>
      </c>
      <c r="J14" s="3"/>
      <c r="K14" s="3" t="s">
        <v>47</v>
      </c>
      <c r="L14" s="3"/>
      <c r="M14" s="3"/>
      <c r="N14" s="3"/>
      <c r="O14" s="3"/>
      <c r="P14" s="3"/>
      <c r="Q14" s="3"/>
      <c r="R14" s="3"/>
      <c r="S14" s="3" t="s">
        <v>28</v>
      </c>
      <c r="T14" s="3"/>
      <c r="U14" s="3" t="s">
        <v>28</v>
      </c>
      <c r="V14" s="5"/>
      <c r="W14" s="3"/>
      <c r="X14" s="5"/>
      <c r="Y14" s="3"/>
      <c r="Z14" s="5"/>
      <c r="AA14" s="18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</row>
    <row r="15" spans="1:42" ht="15.75" customHeight="1" x14ac:dyDescent="0.2">
      <c r="A15" s="3" t="s">
        <v>58</v>
      </c>
      <c r="B15" s="3" t="s">
        <v>59</v>
      </c>
      <c r="C15" s="4" t="s">
        <v>29</v>
      </c>
      <c r="D15" s="4" t="s">
        <v>29</v>
      </c>
      <c r="E15" s="4" t="s">
        <v>28</v>
      </c>
      <c r="F15" s="4" t="s">
        <v>28</v>
      </c>
      <c r="G15" s="4" t="s">
        <v>29</v>
      </c>
      <c r="H15" s="4" t="s">
        <v>29</v>
      </c>
      <c r="I15" s="4" t="s">
        <v>29</v>
      </c>
      <c r="J15" s="3"/>
      <c r="K15" s="3" t="s">
        <v>30</v>
      </c>
      <c r="L15" s="3"/>
      <c r="M15" s="3"/>
      <c r="N15" s="3" t="s">
        <v>28</v>
      </c>
      <c r="O15" s="3"/>
      <c r="P15" s="3" t="s">
        <v>28</v>
      </c>
      <c r="Q15" s="3"/>
      <c r="R15" s="3"/>
      <c r="S15" s="3"/>
      <c r="T15" s="3"/>
      <c r="U15" s="3"/>
      <c r="V15" s="5"/>
      <c r="W15" s="3"/>
      <c r="X15" s="5"/>
      <c r="Y15" s="3"/>
      <c r="Z15" s="5">
        <f>AA15/'Price Assump.'!$E$7</f>
        <v>0.34125034125034126</v>
      </c>
      <c r="AA15" s="19">
        <v>500000000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</row>
    <row r="16" spans="1:42" ht="15.75" customHeight="1" x14ac:dyDescent="0.2">
      <c r="A16" s="9" t="s">
        <v>60</v>
      </c>
      <c r="B16" s="3" t="s">
        <v>61</v>
      </c>
      <c r="C16" s="4" t="s">
        <v>28</v>
      </c>
      <c r="D16" s="10" t="s">
        <v>28</v>
      </c>
      <c r="E16" s="4" t="s">
        <v>28</v>
      </c>
      <c r="F16" s="4" t="s">
        <v>29</v>
      </c>
      <c r="G16" s="4" t="s">
        <v>29</v>
      </c>
      <c r="H16" s="4" t="s">
        <v>29</v>
      </c>
      <c r="I16" s="4" t="s">
        <v>28</v>
      </c>
      <c r="J16" s="3"/>
      <c r="K16" s="3" t="s">
        <v>30</v>
      </c>
      <c r="L16" s="3"/>
      <c r="M16" s="3"/>
      <c r="N16" s="3"/>
      <c r="O16" s="3"/>
      <c r="P16" s="3"/>
      <c r="Q16" s="3" t="s">
        <v>28</v>
      </c>
      <c r="R16" s="3"/>
      <c r="S16" s="3"/>
      <c r="T16" s="3"/>
      <c r="U16" s="3"/>
      <c r="V16" s="5">
        <v>0.2</v>
      </c>
      <c r="W16" s="7">
        <f>V16*'Price Assump.'!$C$7</f>
        <v>440880000</v>
      </c>
      <c r="X16" s="5">
        <f>AVERAGE(2,12)</f>
        <v>7</v>
      </c>
      <c r="Y16" s="7">
        <f>X16*'Price Assump.'!$D$7</f>
        <v>12843600000</v>
      </c>
      <c r="Z16" s="5">
        <f>AVERAGE(15,50)</f>
        <v>32.5</v>
      </c>
      <c r="AA16" s="19">
        <f>Z16*'Price Assump.'!$E$7</f>
        <v>47619000000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 spans="1:42" ht="15.75" customHeight="1" x14ac:dyDescent="0.2">
      <c r="A17" s="3" t="s">
        <v>62</v>
      </c>
      <c r="B17" s="3" t="s">
        <v>63</v>
      </c>
      <c r="C17" s="2" t="s">
        <v>29</v>
      </c>
      <c r="D17" s="2" t="s">
        <v>29</v>
      </c>
      <c r="E17" s="2" t="s">
        <v>28</v>
      </c>
      <c r="F17" s="2" t="s">
        <v>29</v>
      </c>
      <c r="G17" s="2" t="s">
        <v>29</v>
      </c>
      <c r="H17" s="2" t="s">
        <v>29</v>
      </c>
      <c r="I17" s="2" t="s">
        <v>29</v>
      </c>
      <c r="J17" s="3" t="s">
        <v>64</v>
      </c>
      <c r="K17" s="3" t="s">
        <v>30</v>
      </c>
      <c r="L17" s="3"/>
      <c r="M17" s="3"/>
      <c r="N17" s="3"/>
      <c r="O17" s="3"/>
      <c r="P17" s="3"/>
      <c r="Q17" s="3" t="s">
        <v>28</v>
      </c>
      <c r="R17" s="3"/>
      <c r="S17" s="3"/>
      <c r="T17" s="3"/>
      <c r="U17" s="3"/>
      <c r="V17" s="5"/>
      <c r="W17" s="3"/>
      <c r="X17" s="5"/>
      <c r="Y17" s="3"/>
      <c r="Z17" s="5"/>
      <c r="AA17" s="18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</row>
    <row r="18" spans="1:42" ht="15.75" customHeight="1" x14ac:dyDescent="0.2">
      <c r="A18" s="3" t="s">
        <v>65</v>
      </c>
      <c r="B18" s="3" t="s">
        <v>66</v>
      </c>
      <c r="C18" s="4" t="s">
        <v>28</v>
      </c>
      <c r="D18" s="4" t="s">
        <v>28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3"/>
      <c r="K18" s="3" t="s">
        <v>47</v>
      </c>
      <c r="L18" s="3"/>
      <c r="M18" s="3"/>
      <c r="N18" s="3"/>
      <c r="O18" s="3"/>
      <c r="P18" s="3"/>
      <c r="Q18" s="3"/>
      <c r="R18" s="3"/>
      <c r="S18" s="3" t="s">
        <v>28</v>
      </c>
      <c r="T18" s="3" t="s">
        <v>28</v>
      </c>
      <c r="U18" s="3"/>
      <c r="V18" s="5"/>
      <c r="W18" s="3"/>
      <c r="X18" s="5"/>
      <c r="Y18" s="3"/>
      <c r="Z18" s="5"/>
      <c r="AA18" s="18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</row>
    <row r="19" spans="1:42" ht="15.75" customHeight="1" x14ac:dyDescent="0.2">
      <c r="A19" s="3" t="s">
        <v>67</v>
      </c>
      <c r="B19" s="3" t="s">
        <v>68</v>
      </c>
      <c r="C19" s="2" t="s">
        <v>29</v>
      </c>
      <c r="D19" s="2" t="s">
        <v>29</v>
      </c>
      <c r="E19" s="2" t="s">
        <v>28</v>
      </c>
      <c r="F19" s="2" t="s">
        <v>29</v>
      </c>
      <c r="G19" s="2" t="s">
        <v>29</v>
      </c>
      <c r="H19" s="2" t="s">
        <v>29</v>
      </c>
      <c r="I19" s="2" t="s">
        <v>29</v>
      </c>
      <c r="J19" s="3"/>
      <c r="K19" s="3" t="s">
        <v>44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3"/>
      <c r="X19" s="5"/>
      <c r="Y19" s="3"/>
      <c r="Z19" s="5"/>
      <c r="AA19" s="18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spans="1:42" ht="15.75" customHeight="1" x14ac:dyDescent="0.2">
      <c r="A20" s="3" t="s">
        <v>69</v>
      </c>
      <c r="B20" s="3" t="s">
        <v>70</v>
      </c>
      <c r="C20" s="4" t="s">
        <v>29</v>
      </c>
      <c r="D20" s="4" t="s">
        <v>28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3"/>
      <c r="K20" s="3" t="s">
        <v>44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5"/>
      <c r="AA20" s="18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spans="1:42" ht="15.75" customHeight="1" x14ac:dyDescent="0.2">
      <c r="A21" s="3" t="s">
        <v>71</v>
      </c>
      <c r="B21" s="3" t="s">
        <v>72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3" t="s">
        <v>64</v>
      </c>
      <c r="K21" s="3" t="s">
        <v>30</v>
      </c>
      <c r="L21" s="3"/>
      <c r="M21" s="3"/>
      <c r="N21" s="3" t="s">
        <v>28</v>
      </c>
      <c r="O21" s="3"/>
      <c r="P21" s="3"/>
      <c r="Q21" s="3"/>
      <c r="R21" s="3"/>
      <c r="S21" s="3"/>
      <c r="T21" s="3"/>
      <c r="U21" s="3"/>
      <c r="V21" s="5"/>
      <c r="W21" s="3"/>
      <c r="X21" s="5"/>
      <c r="Y21" s="3"/>
      <c r="Z21" s="5"/>
      <c r="AA21" s="18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spans="1:42" ht="15.75" customHeight="1" x14ac:dyDescent="0.2">
      <c r="A22" s="3" t="s">
        <v>73</v>
      </c>
      <c r="B22" s="3" t="s">
        <v>74</v>
      </c>
      <c r="C22" s="4" t="s">
        <v>29</v>
      </c>
      <c r="D22" s="4" t="s">
        <v>28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3"/>
      <c r="K22" s="3" t="s">
        <v>47</v>
      </c>
      <c r="L22" s="3"/>
      <c r="M22" s="3"/>
      <c r="N22" s="3"/>
      <c r="O22" s="3"/>
      <c r="P22" s="3"/>
      <c r="Q22" s="3"/>
      <c r="R22" s="3"/>
      <c r="S22" s="3" t="s">
        <v>28</v>
      </c>
      <c r="T22" s="3" t="s">
        <v>28</v>
      </c>
      <c r="U22" s="3"/>
      <c r="V22" s="5"/>
      <c r="W22" s="3"/>
      <c r="X22" s="5"/>
      <c r="Y22" s="3"/>
      <c r="Z22" s="5"/>
      <c r="AA22" s="18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spans="1:42" ht="15.75" customHeight="1" x14ac:dyDescent="0.2">
      <c r="A23" s="3" t="s">
        <v>75</v>
      </c>
      <c r="B23" s="3" t="s">
        <v>76</v>
      </c>
      <c r="C23" s="4" t="s">
        <v>29</v>
      </c>
      <c r="D23" s="4" t="s">
        <v>29</v>
      </c>
      <c r="E23" s="4" t="s">
        <v>28</v>
      </c>
      <c r="F23" s="4" t="s">
        <v>29</v>
      </c>
      <c r="G23" s="4" t="s">
        <v>28</v>
      </c>
      <c r="H23" s="4" t="s">
        <v>29</v>
      </c>
      <c r="I23" s="4" t="s">
        <v>29</v>
      </c>
      <c r="J23" s="3" t="s">
        <v>64</v>
      </c>
      <c r="K23" s="3" t="s">
        <v>30</v>
      </c>
      <c r="L23" s="3"/>
      <c r="M23" s="3"/>
      <c r="N23" s="3"/>
      <c r="O23" s="3"/>
      <c r="P23" s="3" t="s">
        <v>28</v>
      </c>
      <c r="Q23" s="3"/>
      <c r="R23" s="3"/>
      <c r="S23" s="3"/>
      <c r="T23" s="3"/>
      <c r="U23" s="3"/>
      <c r="V23" s="5"/>
      <c r="W23" s="3"/>
      <c r="X23" s="5"/>
      <c r="Y23" s="3"/>
      <c r="Z23" s="5"/>
      <c r="AA23" s="18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spans="1:42" ht="15.75" customHeight="1" x14ac:dyDescent="0.2">
      <c r="A24" s="3" t="s">
        <v>77</v>
      </c>
      <c r="B24" s="3" t="s">
        <v>78</v>
      </c>
      <c r="C24" s="4" t="s">
        <v>29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29</v>
      </c>
      <c r="I24" s="4" t="s">
        <v>29</v>
      </c>
      <c r="J24" s="3"/>
      <c r="K24" s="3" t="s">
        <v>30</v>
      </c>
      <c r="L24" s="8" t="s">
        <v>28</v>
      </c>
      <c r="M24" s="3"/>
      <c r="N24" s="3"/>
      <c r="O24" s="3"/>
      <c r="P24" s="3"/>
      <c r="Q24" s="8" t="s">
        <v>28</v>
      </c>
      <c r="R24" s="3"/>
      <c r="S24" s="3"/>
      <c r="T24" s="3"/>
      <c r="U24" s="3"/>
      <c r="V24" s="5"/>
      <c r="W24" s="3"/>
      <c r="X24" s="5"/>
      <c r="Y24" s="3"/>
      <c r="Z24" s="5"/>
      <c r="AA24" s="18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spans="1:42" ht="15.75" customHeight="1" x14ac:dyDescent="0.2">
      <c r="A25" s="3" t="s">
        <v>79</v>
      </c>
      <c r="B25" s="3" t="s">
        <v>80</v>
      </c>
      <c r="C25" s="2" t="s">
        <v>29</v>
      </c>
      <c r="D25" s="2" t="s">
        <v>29</v>
      </c>
      <c r="E25" s="2" t="s">
        <v>28</v>
      </c>
      <c r="F25" s="2" t="s">
        <v>28</v>
      </c>
      <c r="G25" s="2" t="s">
        <v>28</v>
      </c>
      <c r="H25" s="2" t="s">
        <v>29</v>
      </c>
      <c r="I25" s="2" t="s">
        <v>29</v>
      </c>
      <c r="J25" s="3"/>
      <c r="K25" s="3" t="s">
        <v>30</v>
      </c>
      <c r="L25" s="3"/>
      <c r="M25" s="3"/>
      <c r="N25" s="8" t="s">
        <v>28</v>
      </c>
      <c r="O25" s="8"/>
      <c r="P25" s="3"/>
      <c r="Q25" s="3"/>
      <c r="R25" s="3"/>
      <c r="S25" s="3"/>
      <c r="T25" s="3"/>
      <c r="U25" s="3"/>
      <c r="V25" s="5">
        <f>10%*10</f>
        <v>1</v>
      </c>
      <c r="W25" s="7">
        <f>V25*'Price Assump.'!$C$8</f>
        <v>1600000000</v>
      </c>
      <c r="X25" s="5"/>
      <c r="Y25" s="3"/>
      <c r="Z25" s="5"/>
      <c r="AA25" s="18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spans="1:42" ht="15.75" customHeight="1" x14ac:dyDescent="0.2">
      <c r="A26" s="3" t="s">
        <v>81</v>
      </c>
      <c r="B26" s="3" t="s">
        <v>82</v>
      </c>
      <c r="C26" s="4" t="s">
        <v>29</v>
      </c>
      <c r="D26" s="4" t="s">
        <v>28</v>
      </c>
      <c r="E26" s="4" t="s">
        <v>28</v>
      </c>
      <c r="F26" s="4" t="s">
        <v>29</v>
      </c>
      <c r="G26" s="4" t="s">
        <v>28</v>
      </c>
      <c r="H26" s="4" t="s">
        <v>29</v>
      </c>
      <c r="I26" s="4" t="s">
        <v>28</v>
      </c>
      <c r="J26" s="3"/>
      <c r="K26" s="3" t="s">
        <v>30</v>
      </c>
      <c r="L26" s="8" t="s">
        <v>28</v>
      </c>
      <c r="M26" s="3"/>
      <c r="N26" s="3"/>
      <c r="O26" s="3"/>
      <c r="P26" s="3"/>
      <c r="Q26" s="8" t="s">
        <v>28</v>
      </c>
      <c r="R26" s="8" t="s">
        <v>28</v>
      </c>
      <c r="S26" s="3"/>
      <c r="T26" s="3"/>
      <c r="U26" s="3"/>
      <c r="V26" s="5"/>
      <c r="W26" s="3"/>
      <c r="X26" s="5"/>
      <c r="Y26" s="3"/>
      <c r="Z26" s="5"/>
      <c r="AA26" s="18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spans="1:42" ht="15.75" customHeight="1" x14ac:dyDescent="0.2">
      <c r="A27" s="3" t="s">
        <v>83</v>
      </c>
      <c r="B27" s="3" t="s">
        <v>84</v>
      </c>
      <c r="C27" s="4" t="s">
        <v>29</v>
      </c>
      <c r="D27" s="4" t="s">
        <v>28</v>
      </c>
      <c r="E27" s="4" t="s">
        <v>28</v>
      </c>
      <c r="F27" s="4" t="s">
        <v>29</v>
      </c>
      <c r="G27" s="4" t="s">
        <v>29</v>
      </c>
      <c r="H27" s="4" t="s">
        <v>29</v>
      </c>
      <c r="I27" s="4" t="s">
        <v>29</v>
      </c>
      <c r="J27" s="3"/>
      <c r="K27" s="3" t="s">
        <v>30</v>
      </c>
      <c r="L27" s="3"/>
      <c r="M27" s="3"/>
      <c r="N27" s="3"/>
      <c r="O27" s="8" t="s">
        <v>28</v>
      </c>
      <c r="P27" s="3"/>
      <c r="Q27" s="3"/>
      <c r="R27" s="3"/>
      <c r="S27" s="3"/>
      <c r="T27" s="3"/>
      <c r="U27" s="3"/>
      <c r="V27" s="5"/>
      <c r="W27" s="3"/>
      <c r="X27" s="5"/>
      <c r="Y27" s="3"/>
      <c r="Z27" s="5"/>
      <c r="AA27" s="18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spans="1:42" ht="15.75" customHeight="1" x14ac:dyDescent="0.2">
      <c r="A28" s="3" t="s">
        <v>85</v>
      </c>
      <c r="B28" s="3" t="s">
        <v>86</v>
      </c>
      <c r="C28" s="4" t="s">
        <v>29</v>
      </c>
      <c r="D28" s="4" t="s">
        <v>29</v>
      </c>
      <c r="E28" s="4" t="s">
        <v>28</v>
      </c>
      <c r="F28" s="4" t="s">
        <v>29</v>
      </c>
      <c r="G28" s="4" t="s">
        <v>28</v>
      </c>
      <c r="H28" s="4" t="s">
        <v>29</v>
      </c>
      <c r="I28" s="4" t="s">
        <v>29</v>
      </c>
      <c r="J28" s="3"/>
      <c r="K28" s="3" t="s">
        <v>30</v>
      </c>
      <c r="L28" s="3"/>
      <c r="M28" s="3"/>
      <c r="N28" s="8" t="s">
        <v>28</v>
      </c>
      <c r="O28" s="3"/>
      <c r="P28" s="3"/>
      <c r="Q28" s="3"/>
      <c r="R28" s="3"/>
      <c r="S28" s="3"/>
      <c r="T28" s="3"/>
      <c r="U28" s="3"/>
      <c r="V28" s="5"/>
      <c r="W28" s="3"/>
      <c r="X28" s="5"/>
      <c r="Y28" s="3"/>
      <c r="Z28" s="5"/>
      <c r="AA28" s="18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spans="1:42" ht="15.75" customHeight="1" x14ac:dyDescent="0.2">
      <c r="A29" s="9" t="s">
        <v>87</v>
      </c>
      <c r="B29" s="3" t="s">
        <v>88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3" t="s">
        <v>89</v>
      </c>
      <c r="K29" s="3" t="s">
        <v>30</v>
      </c>
      <c r="L29" s="3"/>
      <c r="M29" s="8" t="s">
        <v>28</v>
      </c>
      <c r="N29" s="3"/>
      <c r="O29" s="3"/>
      <c r="P29" s="3"/>
      <c r="Q29" s="8" t="s">
        <v>28</v>
      </c>
      <c r="R29" s="3"/>
      <c r="S29" s="3"/>
      <c r="T29" s="3"/>
      <c r="U29" s="3"/>
      <c r="V29" s="5"/>
      <c r="W29" s="3"/>
      <c r="X29" s="5"/>
      <c r="Y29" s="3"/>
      <c r="Z29" s="5"/>
      <c r="AA29" s="18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spans="1:42" ht="15.75" customHeight="1" x14ac:dyDescent="0.2">
      <c r="A30" s="3" t="s">
        <v>90</v>
      </c>
      <c r="B30" s="3" t="s">
        <v>91</v>
      </c>
      <c r="C30" s="4" t="s">
        <v>29</v>
      </c>
      <c r="D30" s="4" t="s">
        <v>28</v>
      </c>
      <c r="E30" s="4" t="s">
        <v>29</v>
      </c>
      <c r="F30" s="4" t="s">
        <v>29</v>
      </c>
      <c r="G30" s="4" t="s">
        <v>28</v>
      </c>
      <c r="H30" s="4" t="s">
        <v>29</v>
      </c>
      <c r="I30" s="4" t="s">
        <v>29</v>
      </c>
      <c r="J30" s="3"/>
      <c r="K30" s="3" t="s">
        <v>30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5"/>
      <c r="W30" s="3"/>
      <c r="X30" s="5"/>
      <c r="Y30" s="3"/>
      <c r="Z30" s="5"/>
      <c r="AA30" s="18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r="31" spans="1:42" ht="15.75" customHeight="1" x14ac:dyDescent="0.2">
      <c r="A31" s="3" t="s">
        <v>92</v>
      </c>
      <c r="B31" s="3" t="s">
        <v>93</v>
      </c>
      <c r="C31" s="2" t="s">
        <v>29</v>
      </c>
      <c r="D31" s="2" t="s">
        <v>28</v>
      </c>
      <c r="E31" s="2" t="s">
        <v>29</v>
      </c>
      <c r="F31" s="2" t="s">
        <v>29</v>
      </c>
      <c r="G31" s="2" t="s">
        <v>28</v>
      </c>
      <c r="H31" s="2" t="s">
        <v>28</v>
      </c>
      <c r="I31" s="2" t="s">
        <v>29</v>
      </c>
      <c r="J31" s="3"/>
      <c r="K31" s="3" t="s">
        <v>30</v>
      </c>
      <c r="L31" s="3"/>
      <c r="M31" s="3"/>
      <c r="N31" s="8" t="s">
        <v>28</v>
      </c>
      <c r="O31" s="3"/>
      <c r="P31" s="3"/>
      <c r="Q31" s="3"/>
      <c r="R31" s="3"/>
      <c r="S31" s="3"/>
      <c r="T31" s="3"/>
      <c r="U31" s="3"/>
      <c r="V31" s="5"/>
      <c r="W31" s="3"/>
      <c r="X31" s="5"/>
      <c r="Y31" s="3"/>
      <c r="Z31" s="5"/>
      <c r="AA31" s="18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</row>
    <row r="32" spans="1:42" ht="15.75" customHeight="1" x14ac:dyDescent="0.2">
      <c r="A32" s="3" t="s">
        <v>94</v>
      </c>
      <c r="B32" s="3" t="s">
        <v>95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29</v>
      </c>
      <c r="I32" s="2" t="s">
        <v>28</v>
      </c>
      <c r="J32" s="3" t="s">
        <v>64</v>
      </c>
      <c r="K32" s="3" t="s">
        <v>30</v>
      </c>
      <c r="L32" s="3"/>
      <c r="M32" s="3"/>
      <c r="N32" s="8" t="s">
        <v>28</v>
      </c>
      <c r="O32" s="3"/>
      <c r="P32" s="3"/>
      <c r="Q32" s="3"/>
      <c r="R32" s="3"/>
      <c r="S32" s="3"/>
      <c r="T32" s="3"/>
      <c r="U32" s="3"/>
      <c r="V32" s="5"/>
      <c r="W32" s="3"/>
      <c r="X32" s="5"/>
      <c r="Y32" s="3"/>
      <c r="Z32" s="5"/>
      <c r="AA32" s="18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</row>
    <row r="33" spans="1:42" ht="15.75" customHeight="1" x14ac:dyDescent="0.2">
      <c r="A33" s="3" t="s">
        <v>96</v>
      </c>
      <c r="B33" s="3" t="s">
        <v>97</v>
      </c>
      <c r="C33" s="4" t="s">
        <v>29</v>
      </c>
      <c r="D33" s="4" t="s">
        <v>29</v>
      </c>
      <c r="E33" s="4" t="s">
        <v>28</v>
      </c>
      <c r="F33" s="4" t="s">
        <v>29</v>
      </c>
      <c r="G33" s="4" t="s">
        <v>29</v>
      </c>
      <c r="H33" s="4" t="s">
        <v>29</v>
      </c>
      <c r="I33" s="4" t="s">
        <v>28</v>
      </c>
      <c r="J33" s="3" t="s">
        <v>98</v>
      </c>
      <c r="K33" s="3" t="s">
        <v>30</v>
      </c>
      <c r="L33" s="3"/>
      <c r="M33" s="3"/>
      <c r="N33" s="8" t="s">
        <v>28</v>
      </c>
      <c r="O33" s="3"/>
      <c r="P33" s="8" t="s">
        <v>28</v>
      </c>
      <c r="Q33" s="3"/>
      <c r="R33" s="3"/>
      <c r="S33" s="3"/>
      <c r="T33" s="3"/>
      <c r="U33" s="3"/>
      <c r="V33" s="5"/>
      <c r="W33" s="3"/>
      <c r="X33" s="5"/>
      <c r="Y33" s="3"/>
      <c r="Z33" s="5"/>
      <c r="AA33" s="18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</row>
    <row r="34" spans="1:42" ht="15.75" customHeight="1" x14ac:dyDescent="0.2">
      <c r="A34" s="9" t="s">
        <v>99</v>
      </c>
      <c r="B34" s="3" t="s">
        <v>100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3" t="s">
        <v>89</v>
      </c>
      <c r="K34" s="3" t="s">
        <v>47</v>
      </c>
      <c r="L34" s="3"/>
      <c r="M34" s="3"/>
      <c r="N34" s="3"/>
      <c r="O34" s="3"/>
      <c r="P34" s="3"/>
      <c r="Q34" s="3"/>
      <c r="R34" s="3"/>
      <c r="S34" s="8" t="s">
        <v>28</v>
      </c>
      <c r="T34" s="8" t="s">
        <v>28</v>
      </c>
      <c r="U34" s="3"/>
      <c r="V34" s="5"/>
      <c r="W34" s="3"/>
      <c r="X34" s="5"/>
      <c r="Y34" s="3"/>
      <c r="Z34" s="5"/>
      <c r="AA34" s="18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</row>
    <row r="35" spans="1:42" ht="15.75" customHeight="1" x14ac:dyDescent="0.2">
      <c r="A35" s="3" t="s">
        <v>101</v>
      </c>
      <c r="B35" s="3" t="s">
        <v>102</v>
      </c>
      <c r="C35" s="4" t="s">
        <v>29</v>
      </c>
      <c r="D35" s="4" t="s">
        <v>29</v>
      </c>
      <c r="E35" s="4" t="s">
        <v>28</v>
      </c>
      <c r="F35" s="4" t="s">
        <v>28</v>
      </c>
      <c r="G35" s="4" t="s">
        <v>29</v>
      </c>
      <c r="H35" s="4" t="s">
        <v>29</v>
      </c>
      <c r="I35" s="4" t="s">
        <v>29</v>
      </c>
      <c r="J35" s="3"/>
      <c r="K35" s="3" t="s">
        <v>47</v>
      </c>
      <c r="L35" s="3"/>
      <c r="M35" s="3"/>
      <c r="N35" s="3"/>
      <c r="O35" s="3"/>
      <c r="P35" s="3"/>
      <c r="Q35" s="3"/>
      <c r="R35" s="3"/>
      <c r="S35" s="8" t="s">
        <v>28</v>
      </c>
      <c r="T35" s="3"/>
      <c r="U35" s="3"/>
      <c r="V35" s="5">
        <f>(20)/'Conversion Assump'!$B$23</f>
        <v>0.60606060606060608</v>
      </c>
      <c r="W35" s="7">
        <f>V35*'Price Assump.'!$C$8</f>
        <v>969696969.69696975</v>
      </c>
      <c r="X35" s="5"/>
      <c r="Y35" s="3"/>
      <c r="Z35" s="5">
        <f>(350)/'Conversion Assump'!$B$23</f>
        <v>10.606060606060606</v>
      </c>
      <c r="AA35" s="19">
        <f>Z35*'Price Assump.'!$E$8</f>
        <v>11454545454.545454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</row>
    <row r="36" spans="1:42" ht="15.75" customHeight="1" x14ac:dyDescent="0.2">
      <c r="A36" s="3" t="s">
        <v>103</v>
      </c>
      <c r="B36" s="3" t="s">
        <v>104</v>
      </c>
      <c r="C36" s="4" t="s">
        <v>28</v>
      </c>
      <c r="D36" s="4" t="s">
        <v>28</v>
      </c>
      <c r="E36" s="4" t="s">
        <v>28</v>
      </c>
      <c r="F36" s="4" t="s">
        <v>29</v>
      </c>
      <c r="G36" s="4" t="s">
        <v>28</v>
      </c>
      <c r="H36" s="4" t="s">
        <v>29</v>
      </c>
      <c r="I36" s="4" t="s">
        <v>29</v>
      </c>
      <c r="J36" s="3"/>
      <c r="K36" s="3" t="s">
        <v>47</v>
      </c>
      <c r="L36" s="3"/>
      <c r="M36" s="3"/>
      <c r="N36" s="3"/>
      <c r="O36" s="3"/>
      <c r="P36" s="3"/>
      <c r="Q36" s="3"/>
      <c r="R36" s="3"/>
      <c r="S36" s="3"/>
      <c r="T36" s="8" t="s">
        <v>28</v>
      </c>
      <c r="U36" s="3"/>
      <c r="V36" s="5"/>
      <c r="W36" s="3"/>
      <c r="X36" s="5"/>
      <c r="Y36" s="3"/>
      <c r="Z36" s="5"/>
      <c r="AA36" s="18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</row>
    <row r="37" spans="1:42" ht="15.75" customHeight="1" x14ac:dyDescent="0.2">
      <c r="A37" s="3" t="s">
        <v>105</v>
      </c>
      <c r="B37" s="3" t="s">
        <v>106</v>
      </c>
      <c r="C37" s="4" t="s">
        <v>28</v>
      </c>
      <c r="D37" s="4" t="s">
        <v>28</v>
      </c>
      <c r="E37" s="4" t="s">
        <v>28</v>
      </c>
      <c r="F37" s="4" t="s">
        <v>29</v>
      </c>
      <c r="G37" s="4" t="s">
        <v>28</v>
      </c>
      <c r="H37" s="4" t="s">
        <v>29</v>
      </c>
      <c r="I37" s="4" t="s">
        <v>28</v>
      </c>
      <c r="J37" s="3"/>
      <c r="K37" s="3" t="s">
        <v>47</v>
      </c>
      <c r="L37" s="3"/>
      <c r="M37" s="3"/>
      <c r="N37" s="3"/>
      <c r="O37" s="3"/>
      <c r="P37" s="3"/>
      <c r="Q37" s="3"/>
      <c r="R37" s="3"/>
      <c r="S37" s="8" t="s">
        <v>28</v>
      </c>
      <c r="T37" s="3"/>
      <c r="U37" s="3"/>
      <c r="V37" s="5">
        <f>AVERAGE(45,90)/'Conversion Assump'!$B$23</f>
        <v>2.0454545454545454</v>
      </c>
      <c r="W37" s="7">
        <f>V37*'Price Assump.'!$C$8</f>
        <v>3272727272.7272725</v>
      </c>
      <c r="X37" s="5"/>
      <c r="Y37" s="3"/>
      <c r="Z37" s="5"/>
      <c r="AA37" s="18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</row>
    <row r="38" spans="1:42" ht="15.75" customHeight="1" x14ac:dyDescent="0.2">
      <c r="A38" s="3" t="s">
        <v>107</v>
      </c>
      <c r="B38" s="3" t="s">
        <v>108</v>
      </c>
      <c r="C38" s="4" t="s">
        <v>29</v>
      </c>
      <c r="D38" s="4" t="s">
        <v>28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3"/>
      <c r="K38" s="3" t="s">
        <v>47</v>
      </c>
      <c r="L38" s="3"/>
      <c r="M38" s="3"/>
      <c r="N38" s="3"/>
      <c r="O38" s="3"/>
      <c r="P38" s="3"/>
      <c r="Q38" s="3"/>
      <c r="R38" s="3"/>
      <c r="S38" s="3"/>
      <c r="T38" s="8" t="s">
        <v>28</v>
      </c>
      <c r="U38" s="3"/>
      <c r="V38" s="5"/>
      <c r="W38" s="3"/>
      <c r="X38" s="5"/>
      <c r="Y38" s="3"/>
      <c r="Z38" s="5"/>
      <c r="AA38" s="18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</row>
    <row r="39" spans="1:42" ht="15.75" customHeight="1" x14ac:dyDescent="0.2">
      <c r="A39" s="3" t="s">
        <v>109</v>
      </c>
      <c r="B39" s="3" t="s">
        <v>110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29</v>
      </c>
      <c r="I39" s="2" t="s">
        <v>28</v>
      </c>
      <c r="J39" s="3" t="s">
        <v>111</v>
      </c>
      <c r="K39" s="3" t="s">
        <v>47</v>
      </c>
      <c r="L39" s="3"/>
      <c r="M39" s="3"/>
      <c r="N39" s="3"/>
      <c r="O39" s="3"/>
      <c r="P39" s="3"/>
      <c r="Q39" s="8" t="s">
        <v>28</v>
      </c>
      <c r="R39" s="3"/>
      <c r="S39" s="3"/>
      <c r="T39" s="3"/>
      <c r="U39" s="3"/>
      <c r="V39" s="5"/>
      <c r="W39" s="3"/>
      <c r="X39" s="5">
        <f>AVERAGE(1.5,3)</f>
        <v>2.25</v>
      </c>
      <c r="Y39" s="7">
        <f>X39*'Price Assump.'!$D$8</f>
        <v>2880000000</v>
      </c>
      <c r="Z39" s="5"/>
      <c r="AA39" s="18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</row>
    <row r="40" spans="1:42" ht="15.75" customHeight="1" x14ac:dyDescent="0.2">
      <c r="A40" s="3" t="s">
        <v>112</v>
      </c>
      <c r="B40" s="3" t="s">
        <v>113</v>
      </c>
      <c r="C40" s="4" t="s">
        <v>29</v>
      </c>
      <c r="D40" s="4" t="s">
        <v>29</v>
      </c>
      <c r="E40" s="4" t="s">
        <v>28</v>
      </c>
      <c r="F40" s="4" t="s">
        <v>29</v>
      </c>
      <c r="G40" s="4" t="s">
        <v>29</v>
      </c>
      <c r="H40" s="4" t="s">
        <v>29</v>
      </c>
      <c r="I40" s="4" t="s">
        <v>29</v>
      </c>
      <c r="J40" s="3"/>
      <c r="K40" s="3" t="s">
        <v>30</v>
      </c>
      <c r="L40" s="8" t="s">
        <v>28</v>
      </c>
      <c r="M40" s="8" t="s">
        <v>28</v>
      </c>
      <c r="N40" s="3"/>
      <c r="O40" s="3"/>
      <c r="P40" s="3"/>
      <c r="Q40" s="3"/>
      <c r="R40" s="3"/>
      <c r="S40" s="3"/>
      <c r="T40" s="3"/>
      <c r="U40" s="3"/>
      <c r="V40" s="5"/>
      <c r="W40" s="3"/>
      <c r="X40" s="5"/>
      <c r="Y40" s="3"/>
      <c r="Z40" s="5">
        <f>AA40/'Price Assump.'!$E$9</f>
        <v>22.222222222222221</v>
      </c>
      <c r="AA40" s="19">
        <v>15000000000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</row>
    <row r="41" spans="1:42" ht="15.75" customHeight="1" x14ac:dyDescent="0.2">
      <c r="A41" s="3" t="s">
        <v>114</v>
      </c>
      <c r="B41" s="3" t="s">
        <v>115</v>
      </c>
      <c r="C41" s="2" t="s">
        <v>29</v>
      </c>
      <c r="D41" s="2" t="s">
        <v>28</v>
      </c>
      <c r="E41" s="2" t="s">
        <v>29</v>
      </c>
      <c r="F41" s="2" t="s">
        <v>29</v>
      </c>
      <c r="G41" s="2" t="s">
        <v>28</v>
      </c>
      <c r="H41" s="2" t="s">
        <v>29</v>
      </c>
      <c r="I41" s="2" t="s">
        <v>29</v>
      </c>
      <c r="J41" s="3" t="s">
        <v>64</v>
      </c>
      <c r="K41" s="3" t="s">
        <v>30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5"/>
      <c r="W41" s="3"/>
      <c r="X41" s="5"/>
      <c r="Y41" s="3"/>
      <c r="Z41" s="5"/>
      <c r="AA41" s="18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</row>
    <row r="42" spans="1:42" ht="15.75" customHeight="1" x14ac:dyDescent="0.2">
      <c r="A42" s="3" t="s">
        <v>116</v>
      </c>
      <c r="B42" s="3" t="s">
        <v>117</v>
      </c>
      <c r="C42" s="4" t="s">
        <v>29</v>
      </c>
      <c r="D42" s="4" t="s">
        <v>29</v>
      </c>
      <c r="E42" s="4" t="s">
        <v>28</v>
      </c>
      <c r="F42" s="4" t="s">
        <v>28</v>
      </c>
      <c r="G42" s="4" t="s">
        <v>28</v>
      </c>
      <c r="H42" s="4" t="s">
        <v>29</v>
      </c>
      <c r="I42" s="4" t="s">
        <v>29</v>
      </c>
      <c r="J42" s="3"/>
      <c r="K42" s="3" t="s">
        <v>30</v>
      </c>
      <c r="L42" s="3"/>
      <c r="M42" s="3"/>
      <c r="N42" s="8" t="s">
        <v>28</v>
      </c>
      <c r="O42" s="3"/>
      <c r="P42" s="3"/>
      <c r="Q42" s="3"/>
      <c r="R42" s="3"/>
      <c r="S42" s="3"/>
      <c r="T42" s="3"/>
      <c r="U42" s="3"/>
      <c r="V42" s="5">
        <f>W42/'Price Assump.'!$C$9</f>
        <v>2.5</v>
      </c>
      <c r="W42" s="7">
        <v>2500000000</v>
      </c>
      <c r="X42" s="5">
        <f>Y42/'Price Assump.'!$D$9</f>
        <v>20</v>
      </c>
      <c r="Y42" s="7">
        <v>16000000000</v>
      </c>
      <c r="Z42" s="5">
        <f>AA42/'Price Assump.'!$E$9</f>
        <v>35.555555555555557</v>
      </c>
      <c r="AA42" s="19">
        <v>24000000000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</row>
    <row r="43" spans="1:42" ht="15.75" customHeight="1" x14ac:dyDescent="0.2">
      <c r="A43" s="3" t="s">
        <v>118</v>
      </c>
      <c r="B43" s="3" t="s">
        <v>119</v>
      </c>
      <c r="C43" s="4" t="s">
        <v>29</v>
      </c>
      <c r="D43" s="4" t="s">
        <v>29</v>
      </c>
      <c r="E43" s="4" t="s">
        <v>28</v>
      </c>
      <c r="F43" s="4" t="s">
        <v>28</v>
      </c>
      <c r="G43" s="4" t="s">
        <v>28</v>
      </c>
      <c r="H43" s="4" t="s">
        <v>29</v>
      </c>
      <c r="I43" s="4" t="s">
        <v>28</v>
      </c>
      <c r="J43" s="3"/>
      <c r="K43" s="3" t="s">
        <v>30</v>
      </c>
      <c r="L43" s="3"/>
      <c r="M43" s="3"/>
      <c r="N43" s="8" t="s">
        <v>28</v>
      </c>
      <c r="O43" s="3"/>
      <c r="P43" s="3"/>
      <c r="Q43" s="3"/>
      <c r="R43" s="3"/>
      <c r="S43" s="3"/>
      <c r="T43" s="3"/>
      <c r="U43" s="3"/>
      <c r="V43" s="5"/>
      <c r="W43" s="3"/>
      <c r="X43" s="5"/>
      <c r="Y43" s="3"/>
      <c r="Z43" s="5">
        <f>AA43/'Price Assump.'!$E$9</f>
        <v>7.4074074074074074</v>
      </c>
      <c r="AA43" s="19">
        <v>5000000000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</row>
    <row r="44" spans="1:42" ht="15.75" customHeight="1" x14ac:dyDescent="0.2">
      <c r="A44" s="3" t="s">
        <v>120</v>
      </c>
      <c r="B44" s="3" t="s">
        <v>121</v>
      </c>
      <c r="C44" s="4" t="s">
        <v>29</v>
      </c>
      <c r="D44" s="4" t="s">
        <v>29</v>
      </c>
      <c r="E44" s="4" t="s">
        <v>28</v>
      </c>
      <c r="F44" s="4" t="s">
        <v>28</v>
      </c>
      <c r="G44" s="4" t="s">
        <v>28</v>
      </c>
      <c r="H44" s="4" t="s">
        <v>29</v>
      </c>
      <c r="I44" s="4" t="s">
        <v>29</v>
      </c>
      <c r="J44" s="3"/>
      <c r="K44" s="3" t="s">
        <v>30</v>
      </c>
      <c r="L44" s="8" t="s">
        <v>28</v>
      </c>
      <c r="M44" s="3"/>
      <c r="N44" s="3"/>
      <c r="O44" s="3"/>
      <c r="P44" s="8" t="s">
        <v>28</v>
      </c>
      <c r="Q44" s="3"/>
      <c r="R44" s="3"/>
      <c r="S44" s="3"/>
      <c r="T44" s="3"/>
      <c r="U44" s="3"/>
      <c r="V44" s="5"/>
      <c r="W44" s="3"/>
      <c r="X44" s="5"/>
      <c r="Y44" s="3"/>
      <c r="Z44" s="5"/>
      <c r="AA44" s="18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</row>
    <row r="45" spans="1:42" ht="15.75" customHeight="1" x14ac:dyDescent="0.2">
      <c r="A45" s="3" t="s">
        <v>122</v>
      </c>
      <c r="B45" s="3" t="s">
        <v>123</v>
      </c>
      <c r="C45" s="4" t="s">
        <v>28</v>
      </c>
      <c r="D45" s="4" t="s">
        <v>29</v>
      </c>
      <c r="E45" s="4" t="s">
        <v>28</v>
      </c>
      <c r="F45" s="4" t="s">
        <v>28</v>
      </c>
      <c r="G45" s="4" t="s">
        <v>28</v>
      </c>
      <c r="H45" s="4" t="s">
        <v>29</v>
      </c>
      <c r="I45" s="4" t="s">
        <v>29</v>
      </c>
      <c r="J45" s="3"/>
      <c r="K45" s="3" t="s">
        <v>30</v>
      </c>
      <c r="L45" s="3"/>
      <c r="M45" s="3"/>
      <c r="N45" s="8" t="s">
        <v>28</v>
      </c>
      <c r="O45" s="3"/>
      <c r="P45" s="3"/>
      <c r="Q45" s="3"/>
      <c r="R45" s="3"/>
      <c r="S45" s="3"/>
      <c r="T45" s="3"/>
      <c r="U45" s="3"/>
      <c r="V45" s="5">
        <f>W45/'Price Assump.'!$C$9</f>
        <v>5.0999999999999997E-2</v>
      </c>
      <c r="W45" s="7">
        <v>51000000</v>
      </c>
      <c r="X45" s="5"/>
      <c r="Y45" s="3"/>
      <c r="Z45" s="5">
        <f>AA45/'Price Assump.'!$E$9</f>
        <v>1.84</v>
      </c>
      <c r="AA45" s="19">
        <v>1242000000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</row>
    <row r="46" spans="1:42" ht="15.75" customHeight="1" x14ac:dyDescent="0.2">
      <c r="A46" s="3" t="s">
        <v>124</v>
      </c>
      <c r="B46" s="3" t="s">
        <v>125</v>
      </c>
      <c r="C46" s="4" t="s">
        <v>28</v>
      </c>
      <c r="D46" s="4" t="s">
        <v>29</v>
      </c>
      <c r="E46" s="4" t="s">
        <v>28</v>
      </c>
      <c r="F46" s="4" t="s">
        <v>29</v>
      </c>
      <c r="G46" s="4" t="s">
        <v>29</v>
      </c>
      <c r="H46" s="4" t="s">
        <v>29</v>
      </c>
      <c r="I46" s="4" t="s">
        <v>29</v>
      </c>
      <c r="J46" s="3"/>
      <c r="K46" s="3" t="s">
        <v>30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5"/>
      <c r="W46" s="3"/>
      <c r="X46" s="5"/>
      <c r="Y46" s="3"/>
      <c r="Z46" s="5"/>
      <c r="AA46" s="18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</row>
    <row r="47" spans="1:42" ht="15.75" customHeight="1" x14ac:dyDescent="0.2">
      <c r="A47" s="3" t="s">
        <v>126</v>
      </c>
      <c r="B47" s="3" t="s">
        <v>127</v>
      </c>
      <c r="C47" s="2" t="s">
        <v>29</v>
      </c>
      <c r="D47" s="2" t="s">
        <v>29</v>
      </c>
      <c r="E47" s="2" t="s">
        <v>28</v>
      </c>
      <c r="F47" s="2" t="s">
        <v>28</v>
      </c>
      <c r="G47" s="2" t="s">
        <v>29</v>
      </c>
      <c r="H47" s="2" t="s">
        <v>29</v>
      </c>
      <c r="I47" s="2" t="s">
        <v>29</v>
      </c>
      <c r="J47" s="3"/>
      <c r="K47" s="3" t="s">
        <v>30</v>
      </c>
      <c r="L47" s="3"/>
      <c r="M47" s="3"/>
      <c r="N47" s="8" t="s">
        <v>28</v>
      </c>
      <c r="O47" s="3"/>
      <c r="P47" s="3"/>
      <c r="Q47" s="3"/>
      <c r="R47" s="3"/>
      <c r="S47" s="3"/>
      <c r="T47" s="3"/>
      <c r="U47" s="3"/>
      <c r="V47" s="5"/>
      <c r="W47" s="3"/>
      <c r="X47" s="5"/>
      <c r="Y47" s="3"/>
      <c r="Z47" s="5"/>
      <c r="AA47" s="18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</row>
    <row r="48" spans="1:42" ht="15.75" customHeight="1" x14ac:dyDescent="0.2">
      <c r="A48" s="3" t="s">
        <v>128</v>
      </c>
      <c r="B48" s="3" t="s">
        <v>129</v>
      </c>
      <c r="C48" s="4" t="s">
        <v>29</v>
      </c>
      <c r="D48" s="4" t="s">
        <v>29</v>
      </c>
      <c r="E48" s="4" t="s">
        <v>28</v>
      </c>
      <c r="F48" s="4" t="s">
        <v>28</v>
      </c>
      <c r="G48" s="4" t="s">
        <v>29</v>
      </c>
      <c r="H48" s="4" t="s">
        <v>29</v>
      </c>
      <c r="I48" s="4" t="s">
        <v>29</v>
      </c>
      <c r="J48" s="3"/>
      <c r="K48" s="3" t="s">
        <v>30</v>
      </c>
      <c r="L48" s="3"/>
      <c r="M48" s="3"/>
      <c r="N48" s="8" t="s">
        <v>28</v>
      </c>
      <c r="O48" s="3"/>
      <c r="P48" s="3"/>
      <c r="Q48" s="3"/>
      <c r="R48" s="3"/>
      <c r="S48" s="3"/>
      <c r="T48" s="3"/>
      <c r="U48" s="3"/>
      <c r="V48" s="5"/>
      <c r="W48" s="3"/>
      <c r="X48" s="5"/>
      <c r="Y48" s="3"/>
      <c r="Z48" s="5"/>
      <c r="AA48" s="18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</row>
    <row r="49" spans="1:42" ht="15.75" customHeight="1" x14ac:dyDescent="0.2">
      <c r="A49" s="3" t="s">
        <v>130</v>
      </c>
      <c r="B49" s="3" t="s">
        <v>131</v>
      </c>
      <c r="C49" s="4" t="s">
        <v>29</v>
      </c>
      <c r="D49" s="4" t="s">
        <v>28</v>
      </c>
      <c r="E49" s="4" t="s">
        <v>28</v>
      </c>
      <c r="F49" s="4" t="s">
        <v>29</v>
      </c>
      <c r="G49" s="4" t="s">
        <v>28</v>
      </c>
      <c r="H49" s="4" t="s">
        <v>29</v>
      </c>
      <c r="I49" s="4" t="s">
        <v>29</v>
      </c>
      <c r="J49" s="3" t="s">
        <v>64</v>
      </c>
      <c r="K49" s="3" t="s">
        <v>30</v>
      </c>
      <c r="L49" s="3"/>
      <c r="M49" s="3"/>
      <c r="N49" s="8" t="s">
        <v>28</v>
      </c>
      <c r="O49" s="3"/>
      <c r="P49" s="3"/>
      <c r="Q49" s="8" t="s">
        <v>28</v>
      </c>
      <c r="R49" s="3"/>
      <c r="S49" s="3"/>
      <c r="T49" s="3"/>
      <c r="U49" s="3"/>
      <c r="V49" s="5">
        <f>W49/'Price Assump.'!$C$9</f>
        <v>9.5000000000000001E-2</v>
      </c>
      <c r="W49" s="7">
        <v>95000000</v>
      </c>
      <c r="X49" s="5">
        <f>Y49/'Price Assump.'!$D$9</f>
        <v>1.625</v>
      </c>
      <c r="Y49" s="7">
        <v>1300000000</v>
      </c>
      <c r="Z49" s="5"/>
      <c r="AA49" s="18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</row>
    <row r="50" spans="1:42" ht="15.75" customHeight="1" x14ac:dyDescent="0.2">
      <c r="A50" s="3" t="s">
        <v>132</v>
      </c>
      <c r="B50" s="3" t="s">
        <v>133</v>
      </c>
      <c r="C50" s="4" t="s">
        <v>28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3"/>
      <c r="K50" s="3" t="s">
        <v>47</v>
      </c>
      <c r="L50" s="3"/>
      <c r="M50" s="3"/>
      <c r="N50" s="3"/>
      <c r="O50" s="3"/>
      <c r="P50" s="3"/>
      <c r="Q50" s="3"/>
      <c r="R50" s="3"/>
      <c r="S50" s="8" t="s">
        <v>28</v>
      </c>
      <c r="T50" s="3"/>
      <c r="U50" s="3"/>
      <c r="V50" s="5"/>
      <c r="W50" s="3"/>
      <c r="X50" s="5"/>
      <c r="Y50" s="3"/>
      <c r="Z50" s="5"/>
      <c r="AA50" s="18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</row>
    <row r="51" spans="1:42" ht="15.75" customHeight="1" x14ac:dyDescent="0.2">
      <c r="A51" s="9" t="s">
        <v>134</v>
      </c>
      <c r="B51" s="3" t="s">
        <v>135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3" t="s">
        <v>89</v>
      </c>
      <c r="K51" s="3" t="s">
        <v>30</v>
      </c>
      <c r="L51" s="3"/>
      <c r="M51" s="8" t="s">
        <v>28</v>
      </c>
      <c r="N51" s="3"/>
      <c r="O51" s="3"/>
      <c r="P51" s="3"/>
      <c r="Q51" s="8" t="s">
        <v>28</v>
      </c>
      <c r="R51" s="3"/>
      <c r="S51" s="3"/>
      <c r="T51" s="3"/>
      <c r="U51" s="3"/>
      <c r="V51" s="5"/>
      <c r="W51" s="3"/>
      <c r="X51" s="5"/>
      <c r="Y51" s="3"/>
      <c r="Z51" s="5"/>
      <c r="AA51" s="18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</row>
    <row r="52" spans="1:42" ht="15.75" customHeight="1" x14ac:dyDescent="0.2">
      <c r="A52" s="3" t="s">
        <v>136</v>
      </c>
      <c r="B52" s="3" t="s">
        <v>137</v>
      </c>
      <c r="C52" s="4" t="s">
        <v>29</v>
      </c>
      <c r="D52" s="4" t="s">
        <v>29</v>
      </c>
      <c r="E52" s="4" t="s">
        <v>28</v>
      </c>
      <c r="F52" s="4" t="s">
        <v>28</v>
      </c>
      <c r="G52" s="4" t="s">
        <v>28</v>
      </c>
      <c r="H52" s="4" t="s">
        <v>28</v>
      </c>
      <c r="I52" s="4" t="s">
        <v>29</v>
      </c>
      <c r="J52" s="3"/>
      <c r="K52" s="3" t="s">
        <v>30</v>
      </c>
      <c r="L52" s="3"/>
      <c r="M52" s="3"/>
      <c r="N52" s="8" t="s">
        <v>28</v>
      </c>
      <c r="O52" s="3"/>
      <c r="P52" s="3"/>
      <c r="Q52" s="3"/>
      <c r="R52" s="3"/>
      <c r="S52" s="3"/>
      <c r="T52" s="3"/>
      <c r="U52" s="3"/>
      <c r="V52" s="5"/>
      <c r="W52" s="3"/>
      <c r="X52" s="5"/>
      <c r="Y52" s="3"/>
      <c r="Z52" s="5"/>
      <c r="AA52" s="18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</row>
    <row r="53" spans="1:42" ht="15.75" customHeight="1" x14ac:dyDescent="0.2">
      <c r="A53" s="3" t="s">
        <v>138</v>
      </c>
      <c r="B53" s="3" t="s">
        <v>139</v>
      </c>
      <c r="C53" s="4" t="s">
        <v>29</v>
      </c>
      <c r="D53" s="4" t="s">
        <v>28</v>
      </c>
      <c r="E53" s="4" t="s">
        <v>28</v>
      </c>
      <c r="F53" s="4" t="s">
        <v>29</v>
      </c>
      <c r="G53" s="4" t="s">
        <v>29</v>
      </c>
      <c r="H53" s="4" t="s">
        <v>29</v>
      </c>
      <c r="I53" s="4" t="s">
        <v>28</v>
      </c>
      <c r="J53" s="3"/>
      <c r="K53" s="3" t="s">
        <v>30</v>
      </c>
      <c r="L53" s="3"/>
      <c r="M53" s="3"/>
      <c r="N53" s="8" t="s">
        <v>28</v>
      </c>
      <c r="O53" s="3"/>
      <c r="P53" s="8" t="s">
        <v>28</v>
      </c>
      <c r="Q53" s="3"/>
      <c r="R53" s="3"/>
      <c r="S53" s="3"/>
      <c r="T53" s="3"/>
      <c r="U53" s="3"/>
      <c r="V53" s="5"/>
      <c r="W53" s="3"/>
      <c r="X53" s="5"/>
      <c r="Y53" s="3"/>
      <c r="Z53" s="5">
        <f>AA53/'Price Assump.'!$E$10</f>
        <v>15.873015873015873</v>
      </c>
      <c r="AA53" s="19">
        <v>15000000000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</row>
    <row r="54" spans="1:42" ht="15.75" customHeight="1" x14ac:dyDescent="0.2">
      <c r="A54" s="3" t="s">
        <v>140</v>
      </c>
      <c r="B54" s="3" t="s">
        <v>141</v>
      </c>
      <c r="C54" s="4" t="s">
        <v>28</v>
      </c>
      <c r="D54" s="4" t="s">
        <v>28</v>
      </c>
      <c r="E54" s="4" t="s">
        <v>28</v>
      </c>
      <c r="F54" s="4" t="s">
        <v>28</v>
      </c>
      <c r="G54" s="4" t="s">
        <v>29</v>
      </c>
      <c r="H54" s="4" t="s">
        <v>29</v>
      </c>
      <c r="I54" s="4" t="s">
        <v>29</v>
      </c>
      <c r="J54" s="3" t="s">
        <v>64</v>
      </c>
      <c r="K54" s="3" t="s">
        <v>30</v>
      </c>
      <c r="L54" s="3"/>
      <c r="M54" s="3"/>
      <c r="N54" s="3"/>
      <c r="O54" s="3"/>
      <c r="P54" s="3"/>
      <c r="Q54" s="3"/>
      <c r="R54" s="3"/>
      <c r="S54" s="3"/>
      <c r="T54" s="3"/>
      <c r="U54" s="8" t="s">
        <v>28</v>
      </c>
      <c r="V54" s="5"/>
      <c r="W54" s="3"/>
      <c r="X54" s="5"/>
      <c r="Y54" s="3"/>
      <c r="Z54" s="5"/>
      <c r="AA54" s="18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</row>
    <row r="55" spans="1:42" ht="15.75" customHeight="1" x14ac:dyDescent="0.2">
      <c r="A55" s="3" t="s">
        <v>142</v>
      </c>
      <c r="B55" s="3" t="s">
        <v>143</v>
      </c>
      <c r="C55" s="4" t="s">
        <v>29</v>
      </c>
      <c r="D55" s="4" t="s">
        <v>29</v>
      </c>
      <c r="E55" s="4" t="s">
        <v>28</v>
      </c>
      <c r="F55" s="4" t="s">
        <v>29</v>
      </c>
      <c r="G55" s="4" t="s">
        <v>29</v>
      </c>
      <c r="H55" s="4" t="s">
        <v>29</v>
      </c>
      <c r="I55" s="4" t="s">
        <v>29</v>
      </c>
      <c r="J55" s="3"/>
      <c r="K55" s="3" t="s">
        <v>30</v>
      </c>
      <c r="L55" s="8" t="s">
        <v>28</v>
      </c>
      <c r="M55" s="3"/>
      <c r="N55" s="3"/>
      <c r="O55" s="3"/>
      <c r="P55" s="3"/>
      <c r="Q55" s="8" t="s">
        <v>28</v>
      </c>
      <c r="R55" s="3"/>
      <c r="S55" s="3"/>
      <c r="T55" s="3"/>
      <c r="U55" s="3"/>
      <c r="V55" s="5"/>
      <c r="W55" s="3"/>
      <c r="X55" s="5"/>
      <c r="Y55" s="3"/>
      <c r="Z55" s="5"/>
      <c r="AA55" s="18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</row>
    <row r="56" spans="1:42" ht="15.75" customHeight="1" x14ac:dyDescent="0.2">
      <c r="A56" s="42" t="s">
        <v>144</v>
      </c>
      <c r="B56" s="42" t="s">
        <v>145</v>
      </c>
      <c r="C56" s="43" t="s">
        <v>29</v>
      </c>
      <c r="D56" s="43" t="s">
        <v>29</v>
      </c>
      <c r="E56" s="43" t="s">
        <v>28</v>
      </c>
      <c r="F56" s="43" t="s">
        <v>28</v>
      </c>
      <c r="G56" s="43" t="s">
        <v>29</v>
      </c>
      <c r="H56" s="43" t="s">
        <v>29</v>
      </c>
      <c r="I56" s="43" t="s">
        <v>29</v>
      </c>
      <c r="J56" s="42"/>
      <c r="K56" s="42" t="s">
        <v>30</v>
      </c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4"/>
      <c r="W56" s="42"/>
      <c r="X56" s="44"/>
      <c r="Y56" s="42"/>
      <c r="Z56" s="44"/>
      <c r="AA56" s="45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</row>
    <row r="57" spans="1:42" ht="15.75" customHeight="1" x14ac:dyDescent="0.2">
      <c r="A57" s="47" t="s">
        <v>177</v>
      </c>
      <c r="B57" s="47" t="s">
        <v>178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</row>
    <row r="58" spans="1:42" ht="15.75" customHeight="1" x14ac:dyDescent="0.2"/>
    <row r="59" spans="1:42" ht="15.75" customHeight="1" x14ac:dyDescent="0.2"/>
    <row r="60" spans="1:42" ht="15.75" customHeight="1" x14ac:dyDescent="0.2"/>
    <row r="61" spans="1:42" ht="15.75" customHeight="1" x14ac:dyDescent="0.2"/>
    <row r="62" spans="1:42" ht="15.75" customHeight="1" x14ac:dyDescent="0.2"/>
    <row r="63" spans="1:42" ht="15.75" customHeight="1" x14ac:dyDescent="0.2"/>
    <row r="64" spans="1:4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C2:I56">
    <cfRule type="cellIs" dxfId="7" priority="5" operator="equal">
      <formula>"Yes"</formula>
    </cfRule>
    <cfRule type="cellIs" dxfId="6" priority="3" operator="equal">
      <formula>"N/A"</formula>
    </cfRule>
    <cfRule type="cellIs" dxfId="5" priority="4" operator="equal">
      <formula>"No"</formula>
    </cfRule>
  </conditionalFormatting>
  <conditionalFormatting sqref="K2:K56">
    <cfRule type="cellIs" dxfId="4" priority="7" operator="equal">
      <formula>"Import"</formula>
    </cfRule>
    <cfRule type="cellIs" dxfId="3" priority="6" operator="equal">
      <formula>"Export"</formula>
    </cfRule>
  </conditionalFormatting>
  <conditionalFormatting sqref="L2:U12 L13:O13 Q13:U13 L14:U56">
    <cfRule type="cellIs" dxfId="2" priority="8" operator="equal">
      <formula>"Yes"</formula>
    </cfRule>
  </conditionalFormatting>
  <conditionalFormatting sqref="AP1:AP10 V1:AO56">
    <cfRule type="cellIs" dxfId="1" priority="2" operator="equal">
      <formula>"NA"</formula>
    </cfRule>
  </conditionalFormatting>
  <conditionalFormatting sqref="AP13">
    <cfRule type="cellIs" dxfId="0" priority="1" operator="equal">
      <formula>"NA"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001"/>
  <sheetViews>
    <sheetView workbookViewId="0">
      <selection activeCell="E8" sqref="E8"/>
    </sheetView>
  </sheetViews>
  <sheetFormatPr baseColWidth="10" defaultColWidth="11.1640625" defaultRowHeight="15" customHeight="1" x14ac:dyDescent="0.2"/>
  <cols>
    <col min="1" max="2" width="10.5" customWidth="1"/>
    <col min="3" max="5" width="16.6640625" customWidth="1"/>
    <col min="6" max="26" width="10.5" customWidth="1"/>
  </cols>
  <sheetData>
    <row r="1" spans="2:10" ht="15.75" customHeight="1" x14ac:dyDescent="0.2">
      <c r="B1" s="6" t="s">
        <v>146</v>
      </c>
    </row>
    <row r="2" spans="2:10" ht="15.75" customHeight="1" x14ac:dyDescent="0.2">
      <c r="B2" s="6" t="s">
        <v>147</v>
      </c>
      <c r="C2" s="6">
        <v>2030</v>
      </c>
      <c r="D2" s="6">
        <v>2040</v>
      </c>
      <c r="E2" s="6">
        <v>2050</v>
      </c>
      <c r="F2" s="6" t="s">
        <v>148</v>
      </c>
      <c r="I2" s="6" t="s">
        <v>149</v>
      </c>
      <c r="J2" s="6">
        <v>1.08</v>
      </c>
    </row>
    <row r="3" spans="2:10" ht="15.75" customHeight="1" x14ac:dyDescent="0.2">
      <c r="B3" s="6" t="s">
        <v>150</v>
      </c>
      <c r="C3" s="11">
        <f>2*$J$2*10^9</f>
        <v>2160000000</v>
      </c>
      <c r="D3" s="11">
        <f>1.7*J2*10^9</f>
        <v>1836000000</v>
      </c>
      <c r="E3" s="11">
        <f>1.5*'Price Assump.'!$J$2*10^9</f>
        <v>1620000000</v>
      </c>
      <c r="F3" s="6" t="s">
        <v>33</v>
      </c>
    </row>
    <row r="4" spans="2:10" ht="15.75" customHeight="1" x14ac:dyDescent="0.2">
      <c r="B4" s="12" t="s">
        <v>150</v>
      </c>
      <c r="C4" s="13">
        <f>1.25*10^9</f>
        <v>1250000000</v>
      </c>
      <c r="D4" s="13">
        <f>1.05*10^9</f>
        <v>1050000000</v>
      </c>
      <c r="E4" s="13">
        <f>0.85*10^9</f>
        <v>850000000</v>
      </c>
      <c r="F4" s="12" t="s">
        <v>38</v>
      </c>
    </row>
    <row r="5" spans="2:10" ht="15.75" customHeight="1" x14ac:dyDescent="0.2">
      <c r="B5" s="12" t="s">
        <v>150</v>
      </c>
      <c r="C5" s="13">
        <f>1.6*10^9</f>
        <v>1600000000</v>
      </c>
      <c r="D5" s="13"/>
      <c r="E5" s="13"/>
      <c r="F5" s="12" t="s">
        <v>40</v>
      </c>
    </row>
    <row r="6" spans="2:10" ht="15.75" customHeight="1" x14ac:dyDescent="0.2">
      <c r="B6" s="12"/>
      <c r="C6" s="13"/>
      <c r="D6" s="13">
        <f>0.98*10^9</f>
        <v>980000000</v>
      </c>
      <c r="E6" s="13"/>
      <c r="F6" s="12" t="s">
        <v>26</v>
      </c>
    </row>
    <row r="7" spans="2:10" ht="15.75" customHeight="1" x14ac:dyDescent="0.2">
      <c r="B7" s="6" t="s">
        <v>151</v>
      </c>
      <c r="C7" s="11">
        <f>334*0.0066*10^9</f>
        <v>2204400000</v>
      </c>
      <c r="D7" s="11">
        <f>AVERAGE(C7,E7)</f>
        <v>1834800000</v>
      </c>
      <c r="E7" s="11">
        <f>222*0.0066*10^9</f>
        <v>1465200000</v>
      </c>
      <c r="F7" s="6" t="s">
        <v>45</v>
      </c>
    </row>
    <row r="8" spans="2:10" ht="15.75" customHeight="1" x14ac:dyDescent="0.2">
      <c r="B8" s="6" t="s">
        <v>152</v>
      </c>
      <c r="C8" s="11">
        <f>1.6*10^9</f>
        <v>1600000000</v>
      </c>
      <c r="D8" s="11">
        <f>D9/C9*C8</f>
        <v>1280000000</v>
      </c>
      <c r="E8" s="11">
        <f>E9/C9*C8</f>
        <v>1080000000</v>
      </c>
      <c r="F8" s="6" t="s">
        <v>116</v>
      </c>
    </row>
    <row r="9" spans="2:10" ht="15.75" customHeight="1" x14ac:dyDescent="0.2">
      <c r="B9" s="6" t="s">
        <v>153</v>
      </c>
      <c r="C9" s="11">
        <f>1*10^9</f>
        <v>1000000000</v>
      </c>
      <c r="D9" s="11">
        <f>0.8*10^9</f>
        <v>800000000</v>
      </c>
      <c r="E9" s="11">
        <f>0.675*10^9</f>
        <v>675000000</v>
      </c>
      <c r="F9" s="6" t="s">
        <v>116</v>
      </c>
    </row>
    <row r="10" spans="2:10" ht="15.75" customHeight="1" x14ac:dyDescent="0.2">
      <c r="B10" s="6" t="s">
        <v>154</v>
      </c>
      <c r="C10" s="11">
        <f>1.4*10^9</f>
        <v>1400000000</v>
      </c>
      <c r="D10" s="11">
        <f>C10*D9/C9</f>
        <v>1120000000</v>
      </c>
      <c r="E10" s="11">
        <f>C10*E9/C9</f>
        <v>945000000</v>
      </c>
      <c r="F10" s="6" t="s">
        <v>116</v>
      </c>
    </row>
    <row r="11" spans="2:10" ht="15.75" customHeight="1" x14ac:dyDescent="0.2"/>
    <row r="12" spans="2:10" ht="15.75" customHeight="1" x14ac:dyDescent="0.2"/>
    <row r="13" spans="2:10" ht="15.75" customHeight="1" x14ac:dyDescent="0.2"/>
    <row r="14" spans="2:10" ht="15.75" customHeight="1" x14ac:dyDescent="0.2"/>
    <row r="15" spans="2:10" ht="15.75" customHeight="1" x14ac:dyDescent="0.2"/>
    <row r="16" spans="2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002"/>
  <sheetViews>
    <sheetView workbookViewId="0">
      <selection activeCell="D6" sqref="D6:D7"/>
    </sheetView>
  </sheetViews>
  <sheetFormatPr baseColWidth="10" defaultColWidth="11.1640625" defaultRowHeight="15" customHeight="1" x14ac:dyDescent="0.2"/>
  <cols>
    <col min="1" max="26" width="10.5" customWidth="1"/>
  </cols>
  <sheetData>
    <row r="1" spans="2:10" ht="15.75" customHeight="1" x14ac:dyDescent="0.2"/>
    <row r="2" spans="2:10" ht="15.75" customHeight="1" x14ac:dyDescent="0.2">
      <c r="B2" s="14" t="s">
        <v>155</v>
      </c>
    </row>
    <row r="3" spans="2:10" ht="15.75" customHeight="1" x14ac:dyDescent="0.2">
      <c r="B3" s="15">
        <v>0.17699999999999999</v>
      </c>
      <c r="C3" s="6" t="s">
        <v>156</v>
      </c>
    </row>
    <row r="4" spans="2:10" ht="15.75" customHeight="1" x14ac:dyDescent="0.2">
      <c r="B4" s="16" t="s">
        <v>157</v>
      </c>
    </row>
    <row r="5" spans="2:10" ht="15.75" customHeight="1" x14ac:dyDescent="0.2">
      <c r="B5" s="16" t="s">
        <v>158</v>
      </c>
    </row>
    <row r="6" spans="2:10" ht="15.75" customHeight="1" x14ac:dyDescent="0.2"/>
    <row r="7" spans="2:10" ht="15.75" customHeight="1" x14ac:dyDescent="0.2">
      <c r="B7" s="14" t="s">
        <v>159</v>
      </c>
    </row>
    <row r="8" spans="2:10" ht="15.75" customHeight="1" x14ac:dyDescent="0.2">
      <c r="B8" s="6">
        <v>126.45</v>
      </c>
      <c r="C8" s="6" t="s">
        <v>160</v>
      </c>
      <c r="D8" s="6">
        <v>142.26</v>
      </c>
      <c r="E8" s="6" t="s">
        <v>161</v>
      </c>
      <c r="I8" s="16" t="s">
        <v>162</v>
      </c>
    </row>
    <row r="9" spans="2:10" ht="15.75" customHeight="1" x14ac:dyDescent="0.2">
      <c r="B9" s="6" t="s">
        <v>163</v>
      </c>
      <c r="C9" s="40">
        <f>AVERAGE(B8,D8)/1000</f>
        <v>0.134355</v>
      </c>
      <c r="D9" s="6" t="s">
        <v>164</v>
      </c>
    </row>
    <row r="10" spans="2:10" ht="15.75" customHeight="1" x14ac:dyDescent="0.2"/>
    <row r="11" spans="2:10" ht="15.75" customHeight="1" x14ac:dyDescent="0.2"/>
    <row r="12" spans="2:10" ht="15.75" customHeight="1" x14ac:dyDescent="0.2">
      <c r="B12" s="14" t="s">
        <v>165</v>
      </c>
    </row>
    <row r="13" spans="2:10" ht="15.75" customHeight="1" x14ac:dyDescent="0.2">
      <c r="B13" s="6">
        <v>2633</v>
      </c>
      <c r="C13" s="6" t="s">
        <v>166</v>
      </c>
      <c r="J13" s="16" t="s">
        <v>167</v>
      </c>
    </row>
    <row r="14" spans="2:10" ht="15.75" customHeight="1" x14ac:dyDescent="0.2">
      <c r="B14" s="6" t="s">
        <v>168</v>
      </c>
    </row>
    <row r="15" spans="2:10" ht="15.75" customHeight="1" x14ac:dyDescent="0.2">
      <c r="B15" s="6">
        <f>40/B16</f>
        <v>50</v>
      </c>
      <c r="C15" s="6" t="s">
        <v>169</v>
      </c>
    </row>
    <row r="16" spans="2:10" ht="15.75" customHeight="1" x14ac:dyDescent="0.2">
      <c r="B16" s="17">
        <v>0.8</v>
      </c>
      <c r="C16" s="6" t="s">
        <v>170</v>
      </c>
    </row>
    <row r="17" spans="2:7" ht="15.75" customHeight="1" x14ac:dyDescent="0.2">
      <c r="B17" s="6">
        <v>55</v>
      </c>
      <c r="C17" s="6" t="s">
        <v>171</v>
      </c>
    </row>
    <row r="18" spans="2:7" ht="15.75" customHeight="1" x14ac:dyDescent="0.2">
      <c r="C18" s="6" t="s">
        <v>172</v>
      </c>
    </row>
    <row r="19" spans="2:7" ht="15.75" customHeight="1" x14ac:dyDescent="0.2">
      <c r="B19" s="15">
        <f>B17/1000</f>
        <v>5.5E-2</v>
      </c>
      <c r="C19" s="6" t="s">
        <v>173</v>
      </c>
    </row>
    <row r="20" spans="2:7" ht="15.75" customHeight="1" x14ac:dyDescent="0.2"/>
    <row r="21" spans="2:7" ht="15.75" customHeight="1" x14ac:dyDescent="0.2"/>
    <row r="22" spans="2:7" ht="15.75" customHeight="1" thickBot="1" x14ac:dyDescent="0.25">
      <c r="B22" s="14" t="s">
        <v>174</v>
      </c>
    </row>
    <row r="23" spans="2:7" ht="15.75" customHeight="1" thickBot="1" x14ac:dyDescent="0.25">
      <c r="B23" s="38">
        <v>33</v>
      </c>
      <c r="C23" s="6" t="s">
        <v>175</v>
      </c>
    </row>
    <row r="24" spans="2:7" ht="15.75" customHeight="1" x14ac:dyDescent="0.2">
      <c r="B24" s="6" t="s">
        <v>176</v>
      </c>
    </row>
    <row r="25" spans="2:7" ht="15.75" customHeight="1" x14ac:dyDescent="0.2"/>
    <row r="26" spans="2:7" ht="15.75" customHeight="1" x14ac:dyDescent="0.2"/>
    <row r="27" spans="2:7" ht="15.75" customHeight="1" x14ac:dyDescent="0.2">
      <c r="B27" s="32" t="s">
        <v>199</v>
      </c>
    </row>
    <row r="28" spans="2:7" ht="15.75" customHeight="1" x14ac:dyDescent="0.2">
      <c r="B28" s="34" t="s">
        <v>200</v>
      </c>
    </row>
    <row r="29" spans="2:7" ht="15.75" customHeight="1" x14ac:dyDescent="0.2">
      <c r="B29" s="33">
        <f>Summary!$AE$2/Summary!$AH$2</f>
        <v>0.48484848484848486</v>
      </c>
      <c r="C29" s="23" t="s">
        <v>201</v>
      </c>
    </row>
    <row r="30" spans="2:7" ht="15.75" customHeight="1" x14ac:dyDescent="0.2">
      <c r="B30" s="34" t="s">
        <v>203</v>
      </c>
      <c r="C30" s="23"/>
      <c r="G30" s="34"/>
    </row>
    <row r="31" spans="2:7" ht="15.75" customHeight="1" thickBot="1" x14ac:dyDescent="0.25">
      <c r="B31">
        <v>0.1</v>
      </c>
      <c r="C31" s="23" t="s">
        <v>201</v>
      </c>
    </row>
    <row r="32" spans="2:7" ht="15.75" customHeight="1" thickBot="1" x14ac:dyDescent="0.25">
      <c r="B32" s="39">
        <v>2</v>
      </c>
      <c r="C32" s="23" t="s">
        <v>204</v>
      </c>
    </row>
    <row r="33" spans="2:3" ht="15.75" customHeight="1" thickBot="1" x14ac:dyDescent="0.25">
      <c r="B33" s="34" t="s">
        <v>209</v>
      </c>
    </row>
    <row r="34" spans="2:3" ht="15.75" customHeight="1" thickBot="1" x14ac:dyDescent="0.25">
      <c r="B34" s="37">
        <f>0.4/10</f>
        <v>0.04</v>
      </c>
      <c r="C34" s="23" t="s">
        <v>210</v>
      </c>
    </row>
    <row r="35" spans="2:3" ht="15.75" customHeight="1" x14ac:dyDescent="0.2"/>
    <row r="36" spans="2:3" ht="15.75" customHeight="1" x14ac:dyDescent="0.2"/>
    <row r="37" spans="2:3" ht="15.75" customHeight="1" x14ac:dyDescent="0.2"/>
    <row r="38" spans="2:3" ht="15.75" customHeight="1" x14ac:dyDescent="0.2"/>
    <row r="39" spans="2:3" ht="15.75" customHeight="1" x14ac:dyDescent="0.2"/>
    <row r="40" spans="2:3" ht="15.75" customHeight="1" x14ac:dyDescent="0.2"/>
    <row r="41" spans="2:3" ht="15.75" customHeight="1" x14ac:dyDescent="0.2"/>
    <row r="42" spans="2:3" ht="15.75" customHeight="1" x14ac:dyDescent="0.2"/>
    <row r="43" spans="2:3" ht="15.75" customHeight="1" x14ac:dyDescent="0.2"/>
    <row r="44" spans="2:3" ht="15.75" customHeight="1" x14ac:dyDescent="0.2"/>
    <row r="45" spans="2:3" ht="15.75" customHeight="1" x14ac:dyDescent="0.2"/>
    <row r="46" spans="2:3" ht="15.75" customHeight="1" x14ac:dyDescent="0.2"/>
    <row r="47" spans="2:3" ht="15.75" customHeight="1" x14ac:dyDescent="0.2"/>
    <row r="48" spans="2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B4" r:id="rId1" location=":~:text=According%20to%20Equation%20(1)%2C" xr:uid="{00000000-0004-0000-0400-000000000000}"/>
    <hyperlink ref="B5" r:id="rId2" location=":~:text=The%20fertilizer%20industry%20consumes%20hydrogen,naphtha%2C%20or%20coal%20are%20employed." xr:uid="{00000000-0004-0000-0400-000001000000}"/>
    <hyperlink ref="I8" r:id="rId3" xr:uid="{00000000-0004-0000-0400-000002000000}"/>
    <hyperlink ref="J13" r:id="rId4" xr:uid="{00000000-0004-0000-04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Price Assump.</vt:lpstr>
      <vt:lpstr>Conversion Assump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Rio Kaswiyanto</cp:lastModifiedBy>
  <dcterms:created xsi:type="dcterms:W3CDTF">2024-02-26T06:51:17Z</dcterms:created>
  <dcterms:modified xsi:type="dcterms:W3CDTF">2024-03-13T22:53:40Z</dcterms:modified>
</cp:coreProperties>
</file>