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20015673\Documents\Sports\"/>
    </mc:Choice>
  </mc:AlternateContent>
  <bookViews>
    <workbookView xWindow="0" yWindow="0" windowWidth="28800" windowHeight="11700"/>
  </bookViews>
  <sheets>
    <sheet name="Overview" sheetId="10" r:id="rId1"/>
    <sheet name="NFL Bets" sheetId="1" r:id="rId2"/>
    <sheet name="NBA Bets" sheetId="8" r:id="rId3"/>
    <sheet name="NCAAB Bets" sheetId="14" r:id="rId4"/>
    <sheet name="Misc. Bets" sheetId="13" r:id="rId5"/>
    <sheet name="NBA Organizer" sheetId="9" r:id="rId6"/>
    <sheet name="NFL Organizer" sheetId="12" r:id="rId7"/>
    <sheet name="Bovada_Temp" sheetId="11" r:id="rId8"/>
    <sheet name="Parlay Calculator" sheetId="15" r:id="rId9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3" i="14" l="1"/>
  <c r="K344" i="14"/>
  <c r="K345" i="14"/>
  <c r="K346" i="14"/>
  <c r="K347" i="14"/>
  <c r="K348" i="14"/>
  <c r="K349" i="14"/>
  <c r="K350" i="14"/>
  <c r="K351" i="14"/>
  <c r="J351" i="14"/>
  <c r="J350" i="14"/>
  <c r="J344" i="14"/>
  <c r="J345" i="14"/>
  <c r="J346" i="14"/>
  <c r="J347" i="14"/>
  <c r="J348" i="14"/>
  <c r="J349" i="14"/>
  <c r="J343" i="14"/>
  <c r="K342" i="14" l="1"/>
  <c r="J342" i="14"/>
  <c r="J341" i="14" l="1"/>
  <c r="K341" i="14"/>
  <c r="A489" i="8" l="1"/>
  <c r="A490" i="8"/>
  <c r="A491" i="8"/>
  <c r="A492" i="8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I496" i="8"/>
  <c r="I497" i="8"/>
  <c r="I498" i="8"/>
  <c r="I499" i="8"/>
  <c r="I500" i="8"/>
  <c r="I501" i="8"/>
  <c r="I502" i="8"/>
  <c r="I503" i="8"/>
  <c r="I504" i="8"/>
  <c r="I505" i="8"/>
  <c r="J496" i="8"/>
  <c r="J497" i="8"/>
  <c r="J498" i="8"/>
  <c r="J499" i="8"/>
  <c r="J500" i="8"/>
  <c r="J501" i="8"/>
  <c r="J502" i="8"/>
  <c r="J503" i="8"/>
  <c r="J504" i="8"/>
  <c r="J505" i="8"/>
  <c r="J487" i="8" l="1"/>
  <c r="J488" i="8"/>
  <c r="J489" i="8"/>
  <c r="J490" i="8"/>
  <c r="J491" i="8"/>
  <c r="J492" i="8"/>
  <c r="J493" i="8"/>
  <c r="J494" i="8"/>
  <c r="J495" i="8"/>
  <c r="I486" i="8"/>
  <c r="I487" i="8"/>
  <c r="I488" i="8"/>
  <c r="I489" i="8"/>
  <c r="I490" i="8"/>
  <c r="I491" i="8"/>
  <c r="I492" i="8"/>
  <c r="I493" i="8"/>
  <c r="I494" i="8"/>
  <c r="I495" i="8"/>
  <c r="J486" i="8"/>
  <c r="J485" i="8" l="1"/>
  <c r="I485" i="8"/>
  <c r="J484" i="8"/>
  <c r="I484" i="8"/>
  <c r="J483" i="8"/>
  <c r="I483" i="8"/>
  <c r="J482" i="8"/>
  <c r="I482" i="8"/>
  <c r="J481" i="8"/>
  <c r="I481" i="8"/>
  <c r="J480" i="8"/>
  <c r="I480" i="8"/>
  <c r="I479" i="8"/>
  <c r="J479" i="8"/>
  <c r="J340" i="14" l="1"/>
  <c r="K340" i="14"/>
  <c r="J339" i="14"/>
  <c r="K339" i="14"/>
  <c r="J338" i="14"/>
  <c r="K338" i="14"/>
  <c r="J337" i="14"/>
  <c r="K337" i="14"/>
  <c r="J336" i="14"/>
  <c r="K336" i="14"/>
  <c r="J335" i="14"/>
  <c r="K335" i="14"/>
  <c r="J334" i="14"/>
  <c r="K334" i="14"/>
  <c r="J333" i="14"/>
  <c r="K333" i="14"/>
  <c r="J332" i="14"/>
  <c r="K332" i="14"/>
  <c r="J331" i="14"/>
  <c r="K331" i="14"/>
  <c r="J330" i="14"/>
  <c r="K330" i="14"/>
  <c r="J329" i="14"/>
  <c r="K329" i="14"/>
  <c r="J328" i="14"/>
  <c r="K328" i="14"/>
  <c r="J327" i="14"/>
  <c r="K327" i="14"/>
  <c r="I468" i="8" l="1"/>
  <c r="I469" i="8"/>
  <c r="I470" i="8"/>
  <c r="I471" i="8"/>
  <c r="I472" i="8"/>
  <c r="I473" i="8"/>
  <c r="I474" i="8"/>
  <c r="I475" i="8"/>
  <c r="I476" i="8"/>
  <c r="I477" i="8"/>
  <c r="I478" i="8"/>
  <c r="J468" i="8"/>
  <c r="J469" i="8"/>
  <c r="J470" i="8"/>
  <c r="J471" i="8"/>
  <c r="J472" i="8"/>
  <c r="J473" i="8"/>
  <c r="J474" i="8"/>
  <c r="J475" i="8"/>
  <c r="J476" i="8"/>
  <c r="J477" i="8"/>
  <c r="J478" i="8"/>
  <c r="W4" i="9" l="1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3" i="9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3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3" i="9"/>
  <c r="U4" i="9"/>
  <c r="I455" i="8" l="1"/>
  <c r="I446" i="8"/>
  <c r="I447" i="8"/>
  <c r="I448" i="8"/>
  <c r="I449" i="8"/>
  <c r="I450" i="8"/>
  <c r="I451" i="8"/>
  <c r="I452" i="8"/>
  <c r="I453" i="8"/>
  <c r="I454" i="8"/>
  <c r="I437" i="8" l="1"/>
  <c r="I438" i="8"/>
  <c r="I439" i="8"/>
  <c r="I440" i="8"/>
  <c r="I441" i="8"/>
  <c r="I442" i="8"/>
  <c r="I443" i="8"/>
  <c r="I444" i="8"/>
  <c r="I445" i="8"/>
  <c r="J326" i="14" l="1"/>
  <c r="K326" i="14"/>
  <c r="J324" i="14"/>
  <c r="J325" i="14"/>
  <c r="K324" i="14"/>
  <c r="K325" i="14"/>
  <c r="J309" i="14" l="1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I436" i="8" l="1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J301" i="14" l="1"/>
  <c r="J302" i="14"/>
  <c r="J303" i="14"/>
  <c r="J304" i="14"/>
  <c r="J305" i="14"/>
  <c r="J306" i="14"/>
  <c r="J307" i="14"/>
  <c r="J308" i="14"/>
  <c r="K301" i="14"/>
  <c r="K302" i="14"/>
  <c r="K303" i="14"/>
  <c r="K304" i="14"/>
  <c r="K305" i="14"/>
  <c r="K306" i="14"/>
  <c r="K307" i="14"/>
  <c r="K308" i="14"/>
  <c r="I412" i="8" l="1"/>
  <c r="I413" i="8"/>
  <c r="I414" i="8"/>
  <c r="I415" i="8"/>
  <c r="I416" i="8"/>
  <c r="I417" i="8"/>
  <c r="I418" i="8"/>
  <c r="I419" i="8"/>
  <c r="I420" i="8"/>
  <c r="I421" i="8"/>
  <c r="I422" i="8"/>
  <c r="I406" i="8" l="1"/>
  <c r="I407" i="8"/>
  <c r="I408" i="8"/>
  <c r="I409" i="8"/>
  <c r="I410" i="8"/>
  <c r="I411" i="8"/>
  <c r="J290" i="14" l="1"/>
  <c r="J291" i="14"/>
  <c r="J292" i="14"/>
  <c r="J293" i="14"/>
  <c r="J294" i="14"/>
  <c r="J295" i="14"/>
  <c r="J296" i="14"/>
  <c r="J297" i="14"/>
  <c r="J298" i="14"/>
  <c r="J299" i="14"/>
  <c r="J300" i="14"/>
  <c r="K290" i="14"/>
  <c r="K291" i="14"/>
  <c r="K292" i="14"/>
  <c r="K293" i="14"/>
  <c r="K294" i="14"/>
  <c r="K295" i="14"/>
  <c r="K296" i="14"/>
  <c r="K297" i="14"/>
  <c r="K298" i="14"/>
  <c r="K299" i="14"/>
  <c r="K300" i="14"/>
  <c r="Z6" i="14" l="1"/>
  <c r="Z7" i="14"/>
  <c r="Z8" i="14"/>
  <c r="Z5" i="14"/>
  <c r="AA6" i="14"/>
  <c r="AA7" i="14"/>
  <c r="AA8" i="14"/>
  <c r="AA5" i="14"/>
  <c r="I405" i="8"/>
  <c r="I398" i="8"/>
  <c r="I399" i="8"/>
  <c r="I400" i="8"/>
  <c r="I401" i="8"/>
  <c r="I402" i="8"/>
  <c r="I403" i="8"/>
  <c r="I404" i="8"/>
  <c r="AA6" i="8" l="1"/>
  <c r="AA7" i="8"/>
  <c r="AA8" i="8"/>
  <c r="AA9" i="8"/>
  <c r="AA10" i="8"/>
  <c r="AA11" i="8"/>
  <c r="AA12" i="8"/>
  <c r="AA13" i="8"/>
  <c r="AA14" i="8"/>
  <c r="AA15" i="8"/>
  <c r="AA5" i="8"/>
  <c r="Z6" i="8"/>
  <c r="Z7" i="8"/>
  <c r="Z8" i="8"/>
  <c r="Z9" i="8"/>
  <c r="Z10" i="8"/>
  <c r="Z11" i="8"/>
  <c r="Z12" i="8"/>
  <c r="Z13" i="8"/>
  <c r="Z14" i="8"/>
  <c r="Z15" i="8"/>
  <c r="Z5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77" i="8" l="1"/>
  <c r="I378" i="8"/>
  <c r="I379" i="8"/>
  <c r="I380" i="8"/>
  <c r="I381" i="8"/>
  <c r="K289" i="14" l="1"/>
  <c r="J289" i="14"/>
  <c r="K288" i="14"/>
  <c r="J288" i="14"/>
  <c r="K287" i="14"/>
  <c r="J287" i="14"/>
  <c r="K286" i="14"/>
  <c r="J286" i="14"/>
  <c r="J283" i="14"/>
  <c r="J284" i="14"/>
  <c r="J285" i="14"/>
  <c r="K283" i="14"/>
  <c r="K284" i="14"/>
  <c r="K285" i="14"/>
  <c r="C13" i="15" l="1"/>
  <c r="C5" i="15"/>
  <c r="C6" i="15"/>
  <c r="C7" i="15"/>
  <c r="C8" i="15"/>
  <c r="C9" i="15"/>
  <c r="C10" i="15"/>
  <c r="C11" i="15"/>
  <c r="C12" i="15"/>
  <c r="C4" i="15"/>
  <c r="P7" i="1"/>
  <c r="P6" i="1"/>
  <c r="P5" i="1"/>
  <c r="G2" i="14"/>
  <c r="G2" i="1"/>
  <c r="F2" i="8"/>
  <c r="I376" i="8"/>
  <c r="I367" i="8"/>
  <c r="I368" i="8"/>
  <c r="I369" i="8"/>
  <c r="I370" i="8"/>
  <c r="I371" i="8"/>
  <c r="I372" i="8"/>
  <c r="I373" i="8"/>
  <c r="I374" i="8"/>
  <c r="I375" i="8"/>
  <c r="F3" i="15" l="1"/>
  <c r="U6" i="8"/>
  <c r="U10" i="8"/>
  <c r="U7" i="8"/>
  <c r="U11" i="8"/>
  <c r="U9" i="8"/>
  <c r="U8" i="8"/>
  <c r="U5" i="8"/>
  <c r="J273" i="14"/>
  <c r="J274" i="14"/>
  <c r="J275" i="14"/>
  <c r="J276" i="14"/>
  <c r="J277" i="14"/>
  <c r="J278" i="14"/>
  <c r="J279" i="14"/>
  <c r="J280" i="14"/>
  <c r="J281" i="14"/>
  <c r="J282" i="14"/>
  <c r="K273" i="14"/>
  <c r="K274" i="14"/>
  <c r="K275" i="14"/>
  <c r="K276" i="14"/>
  <c r="K277" i="14"/>
  <c r="K278" i="14"/>
  <c r="K279" i="14"/>
  <c r="K280" i="14"/>
  <c r="K281" i="14"/>
  <c r="K282" i="14"/>
  <c r="J272" i="14" l="1"/>
  <c r="I360" i="8"/>
  <c r="I361" i="8"/>
  <c r="I362" i="8"/>
  <c r="I363" i="8"/>
  <c r="I366" i="8" l="1"/>
  <c r="I364" i="8"/>
  <c r="I365" i="8"/>
  <c r="K272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6" i="14" l="1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5" i="14"/>
  <c r="J257" i="14"/>
  <c r="J247" i="14"/>
  <c r="J248" i="14"/>
  <c r="J249" i="14"/>
  <c r="J250" i="14"/>
  <c r="J251" i="14"/>
  <c r="J252" i="14"/>
  <c r="J253" i="14"/>
  <c r="J254" i="14"/>
  <c r="J255" i="14"/>
  <c r="J256" i="14"/>
  <c r="U6" i="14" l="1"/>
  <c r="U10" i="14"/>
  <c r="U7" i="14"/>
  <c r="U5" i="14"/>
  <c r="U11" i="14"/>
  <c r="U9" i="14"/>
  <c r="U8" i="14"/>
  <c r="J246" i="14"/>
  <c r="V11" i="14" l="1"/>
  <c r="W11" i="14"/>
  <c r="J235" i="14"/>
  <c r="J236" i="14"/>
  <c r="J237" i="14"/>
  <c r="J238" i="14"/>
  <c r="J239" i="14"/>
  <c r="J240" i="14"/>
  <c r="J241" i="14"/>
  <c r="J242" i="14"/>
  <c r="J243" i="14"/>
  <c r="J244" i="14"/>
  <c r="J245" i="14"/>
  <c r="J228" i="14" l="1"/>
  <c r="J229" i="14"/>
  <c r="J230" i="14"/>
  <c r="J231" i="14"/>
  <c r="J232" i="14"/>
  <c r="J233" i="14"/>
  <c r="J234" i="14"/>
  <c r="J219" i="14" l="1"/>
  <c r="J220" i="14"/>
  <c r="J221" i="14"/>
  <c r="J222" i="14"/>
  <c r="J223" i="14"/>
  <c r="J224" i="14"/>
  <c r="J225" i="14"/>
  <c r="J226" i="14"/>
  <c r="J227" i="14"/>
  <c r="J207" i="14" l="1"/>
  <c r="J208" i="14"/>
  <c r="J209" i="14"/>
  <c r="J210" i="14"/>
  <c r="J211" i="14"/>
  <c r="J212" i="14"/>
  <c r="J213" i="14"/>
  <c r="J214" i="14"/>
  <c r="J215" i="14"/>
  <c r="J216" i="14"/>
  <c r="J217" i="14"/>
  <c r="J218" i="14"/>
  <c r="I359" i="8" l="1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J196" i="14" l="1"/>
  <c r="J197" i="14"/>
  <c r="J198" i="14"/>
  <c r="J199" i="14"/>
  <c r="J200" i="14"/>
  <c r="J201" i="14"/>
  <c r="J202" i="14"/>
  <c r="J203" i="14"/>
  <c r="J204" i="14"/>
  <c r="J205" i="14"/>
  <c r="J206" i="14"/>
  <c r="I338" i="8" l="1"/>
  <c r="I337" i="8"/>
  <c r="I332" i="8"/>
  <c r="I333" i="8"/>
  <c r="I334" i="8"/>
  <c r="I335" i="8"/>
  <c r="I336" i="8"/>
  <c r="V11" i="8" l="1"/>
  <c r="W11" i="8"/>
  <c r="H16" i="13"/>
  <c r="H15" i="13"/>
  <c r="H14" i="13"/>
  <c r="H13" i="13"/>
  <c r="J176" i="14" l="1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I320" i="8" l="1"/>
  <c r="I321" i="8"/>
  <c r="I322" i="8"/>
  <c r="I323" i="8"/>
  <c r="I324" i="8"/>
  <c r="I325" i="8"/>
  <c r="I326" i="8"/>
  <c r="I327" i="8"/>
  <c r="I328" i="8"/>
  <c r="I329" i="8"/>
  <c r="I330" i="8"/>
  <c r="I331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294" i="8" l="1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J160" i="14" l="1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I284" i="8" l="1"/>
  <c r="I285" i="8"/>
  <c r="I286" i="8"/>
  <c r="I287" i="8"/>
  <c r="I288" i="8"/>
  <c r="I289" i="8"/>
  <c r="I290" i="8"/>
  <c r="I291" i="8"/>
  <c r="I292" i="8"/>
  <c r="I293" i="8"/>
  <c r="J145" i="14" l="1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I74" i="1"/>
  <c r="I73" i="1"/>
  <c r="H12" i="13"/>
  <c r="H11" i="13"/>
  <c r="J124" i="14" l="1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V9" i="14" l="1"/>
  <c r="W9" i="14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J110" i="14" l="1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I268" i="8" l="1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J93" i="14" l="1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81" i="14" l="1"/>
  <c r="J82" i="14"/>
  <c r="J83" i="14"/>
  <c r="J84" i="14"/>
  <c r="J85" i="14"/>
  <c r="J86" i="14"/>
  <c r="J87" i="14"/>
  <c r="J88" i="14"/>
  <c r="J89" i="14"/>
  <c r="J90" i="14"/>
  <c r="J91" i="14"/>
  <c r="J92" i="14"/>
  <c r="I245" i="8" l="1"/>
  <c r="I246" i="8"/>
  <c r="I247" i="8"/>
  <c r="I248" i="8"/>
  <c r="I249" i="8"/>
  <c r="I250" i="8"/>
  <c r="I251" i="8"/>
  <c r="I252" i="8"/>
  <c r="I253" i="8"/>
  <c r="J63" i="14" l="1"/>
  <c r="J64" i="14"/>
  <c r="J65" i="14"/>
  <c r="J66" i="14"/>
  <c r="J67" i="14"/>
  <c r="J68" i="14"/>
  <c r="J69" i="14"/>
  <c r="J71" i="14"/>
  <c r="J72" i="14"/>
  <c r="J73" i="14"/>
  <c r="J74" i="14"/>
  <c r="J75" i="14"/>
  <c r="J76" i="14"/>
  <c r="J77" i="14"/>
  <c r="J78" i="14"/>
  <c r="J79" i="14"/>
  <c r="J80" i="14"/>
  <c r="J70" i="14"/>
  <c r="H10" i="13" l="1"/>
  <c r="J62" i="14" l="1"/>
  <c r="J50" i="14"/>
  <c r="J51" i="14"/>
  <c r="J52" i="14"/>
  <c r="J53" i="14"/>
  <c r="J54" i="14"/>
  <c r="J55" i="14"/>
  <c r="J56" i="14"/>
  <c r="J57" i="14"/>
  <c r="J58" i="14"/>
  <c r="J59" i="14"/>
  <c r="J60" i="14"/>
  <c r="J61" i="14"/>
  <c r="V10" i="14" l="1"/>
  <c r="W10" i="14"/>
  <c r="I236" i="8"/>
  <c r="I237" i="8"/>
  <c r="I238" i="8"/>
  <c r="I239" i="8"/>
  <c r="I240" i="8"/>
  <c r="I241" i="8"/>
  <c r="I242" i="8"/>
  <c r="I243" i="8"/>
  <c r="I244" i="8"/>
  <c r="J39" i="14" l="1"/>
  <c r="J40" i="14"/>
  <c r="J41" i="14"/>
  <c r="J42" i="14"/>
  <c r="J43" i="14"/>
  <c r="J44" i="14"/>
  <c r="J45" i="14"/>
  <c r="J46" i="14"/>
  <c r="J47" i="14"/>
  <c r="J48" i="14"/>
  <c r="J49" i="14"/>
  <c r="J29" i="14" l="1"/>
  <c r="J23" i="14"/>
  <c r="J24" i="14"/>
  <c r="J25" i="14"/>
  <c r="J26" i="14"/>
  <c r="J27" i="14"/>
  <c r="J28" i="14"/>
  <c r="J30" i="14"/>
  <c r="J31" i="14"/>
  <c r="J32" i="14"/>
  <c r="J33" i="14"/>
  <c r="J34" i="14"/>
  <c r="J35" i="14"/>
  <c r="J36" i="14"/>
  <c r="J37" i="14"/>
  <c r="J38" i="14"/>
  <c r="V6" i="14" l="1"/>
  <c r="W6" i="14"/>
  <c r="I231" i="8"/>
  <c r="I232" i="8"/>
  <c r="I233" i="8"/>
  <c r="I234" i="8"/>
  <c r="I235" i="8"/>
  <c r="I222" i="8" l="1"/>
  <c r="I223" i="8"/>
  <c r="I224" i="8"/>
  <c r="I225" i="8"/>
  <c r="I226" i="8"/>
  <c r="I227" i="8"/>
  <c r="I228" i="8"/>
  <c r="I229" i="8"/>
  <c r="I230" i="8"/>
  <c r="J11" i="14" l="1"/>
  <c r="J12" i="14"/>
  <c r="J13" i="14"/>
  <c r="J14" i="14"/>
  <c r="J15" i="14"/>
  <c r="J16" i="14"/>
  <c r="J17" i="14"/>
  <c r="J18" i="14"/>
  <c r="J19" i="14"/>
  <c r="J20" i="14"/>
  <c r="J21" i="14"/>
  <c r="J22" i="14"/>
  <c r="V8" i="14" l="1"/>
  <c r="W8" i="14"/>
  <c r="I71" i="1"/>
  <c r="I72" i="1"/>
  <c r="I208" i="8" l="1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H12" i="10" l="1"/>
  <c r="G12" i="10"/>
  <c r="F12" i="10"/>
  <c r="E12" i="10"/>
  <c r="D13" i="10"/>
  <c r="J6" i="14"/>
  <c r="J7" i="14"/>
  <c r="J8" i="14"/>
  <c r="J9" i="14"/>
  <c r="J10" i="14"/>
  <c r="B5" i="14"/>
  <c r="H13" i="10"/>
  <c r="F2" i="14"/>
  <c r="G13" i="10" s="1"/>
  <c r="W7" i="14" l="1"/>
  <c r="V5" i="14"/>
  <c r="W5" i="14"/>
  <c r="V7" i="14"/>
  <c r="C13" i="10"/>
  <c r="B13" i="10"/>
  <c r="A13" i="10"/>
  <c r="M5" i="14"/>
  <c r="Q5" i="14" s="1"/>
  <c r="B6" i="14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399" i="14" s="1"/>
  <c r="B400" i="14" s="1"/>
  <c r="B401" i="14" s="1"/>
  <c r="B402" i="14" s="1"/>
  <c r="B403" i="14" s="1"/>
  <c r="B404" i="14" s="1"/>
  <c r="B405" i="14" s="1"/>
  <c r="B406" i="14" s="1"/>
  <c r="B407" i="14" s="1"/>
  <c r="B408" i="14" s="1"/>
  <c r="B409" i="14" s="1"/>
  <c r="B410" i="14" s="1"/>
  <c r="B411" i="14" s="1"/>
  <c r="B412" i="14" s="1"/>
  <c r="B413" i="14" s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99" i="14" s="1"/>
  <c r="B700" i="14" s="1"/>
  <c r="B701" i="14" s="1"/>
  <c r="B702" i="14" s="1"/>
  <c r="B703" i="14" s="1"/>
  <c r="B704" i="14" s="1"/>
  <c r="B705" i="14" s="1"/>
  <c r="B706" i="14" s="1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861" i="14" s="1"/>
  <c r="B862" i="14" s="1"/>
  <c r="B863" i="14" s="1"/>
  <c r="B864" i="14" s="1"/>
  <c r="B865" i="14" s="1"/>
  <c r="B866" i="14" s="1"/>
  <c r="B867" i="14" s="1"/>
  <c r="B868" i="14" s="1"/>
  <c r="B869" i="14" s="1"/>
  <c r="B870" i="14" s="1"/>
  <c r="B871" i="14" s="1"/>
  <c r="B872" i="14" s="1"/>
  <c r="B873" i="14" s="1"/>
  <c r="B874" i="14" s="1"/>
  <c r="B875" i="14" s="1"/>
  <c r="B876" i="14" s="1"/>
  <c r="B877" i="14" s="1"/>
  <c r="B878" i="14" s="1"/>
  <c r="B879" i="14" s="1"/>
  <c r="B880" i="14" s="1"/>
  <c r="B881" i="14" s="1"/>
  <c r="B882" i="14" s="1"/>
  <c r="B883" i="14" s="1"/>
  <c r="B884" i="14" s="1"/>
  <c r="B885" i="14" s="1"/>
  <c r="B886" i="14" s="1"/>
  <c r="B887" i="14" s="1"/>
  <c r="B888" i="14" s="1"/>
  <c r="B889" i="14" s="1"/>
  <c r="B890" i="14" s="1"/>
  <c r="B891" i="14" s="1"/>
  <c r="B892" i="14" s="1"/>
  <c r="B893" i="14" s="1"/>
  <c r="B894" i="14" s="1"/>
  <c r="B895" i="14" s="1"/>
  <c r="B896" i="14" s="1"/>
  <c r="B897" i="14" s="1"/>
  <c r="B898" i="14" s="1"/>
  <c r="B899" i="14" s="1"/>
  <c r="B900" i="14" s="1"/>
  <c r="B901" i="14" s="1"/>
  <c r="B902" i="14" s="1"/>
  <c r="B903" i="14" s="1"/>
  <c r="B904" i="14" s="1"/>
  <c r="B905" i="14" s="1"/>
  <c r="B906" i="14" s="1"/>
  <c r="B907" i="14" s="1"/>
  <c r="B908" i="14" s="1"/>
  <c r="B909" i="14" s="1"/>
  <c r="B910" i="14" s="1"/>
  <c r="B911" i="14" s="1"/>
  <c r="B912" i="14" s="1"/>
  <c r="B913" i="14" s="1"/>
  <c r="B914" i="14" s="1"/>
  <c r="B915" i="14" s="1"/>
  <c r="B916" i="14" s="1"/>
  <c r="B917" i="14" s="1"/>
  <c r="B918" i="14" s="1"/>
  <c r="B919" i="14" s="1"/>
  <c r="B920" i="14" s="1"/>
  <c r="B921" i="14" s="1"/>
  <c r="B922" i="14" s="1"/>
  <c r="B923" i="14" s="1"/>
  <c r="B924" i="14" s="1"/>
  <c r="B925" i="14" s="1"/>
  <c r="B926" i="14" s="1"/>
  <c r="B927" i="14" s="1"/>
  <c r="B928" i="14" s="1"/>
  <c r="B929" i="14" s="1"/>
  <c r="B930" i="14" s="1"/>
  <c r="B931" i="14" s="1"/>
  <c r="B932" i="14" s="1"/>
  <c r="B933" i="14" s="1"/>
  <c r="B934" i="14" s="1"/>
  <c r="B935" i="14" s="1"/>
  <c r="B936" i="14" s="1"/>
  <c r="B937" i="14" s="1"/>
  <c r="B938" i="14" s="1"/>
  <c r="B939" i="14" s="1"/>
  <c r="B940" i="14" s="1"/>
  <c r="B941" i="14" s="1"/>
  <c r="B942" i="14" s="1"/>
  <c r="B943" i="14" s="1"/>
  <c r="B944" i="14" s="1"/>
  <c r="B945" i="14" s="1"/>
  <c r="B946" i="14" s="1"/>
  <c r="B947" i="14" s="1"/>
  <c r="B948" i="14" s="1"/>
  <c r="B949" i="14" s="1"/>
  <c r="B950" i="14" s="1"/>
  <c r="B951" i="14" s="1"/>
  <c r="B952" i="14" s="1"/>
  <c r="B953" i="14" s="1"/>
  <c r="B954" i="14" s="1"/>
  <c r="B955" i="14" s="1"/>
  <c r="B956" i="14" s="1"/>
  <c r="B957" i="14" s="1"/>
  <c r="B958" i="14" s="1"/>
  <c r="B959" i="14" s="1"/>
  <c r="B960" i="14" s="1"/>
  <c r="B961" i="14" s="1"/>
  <c r="B962" i="14" s="1"/>
  <c r="B963" i="14" s="1"/>
  <c r="B964" i="14" s="1"/>
  <c r="B965" i="14" s="1"/>
  <c r="B966" i="14" s="1"/>
  <c r="B967" i="14" s="1"/>
  <c r="B968" i="14" s="1"/>
  <c r="B969" i="14" s="1"/>
  <c r="B970" i="14" s="1"/>
  <c r="B971" i="14" s="1"/>
  <c r="B972" i="14" s="1"/>
  <c r="B973" i="14" s="1"/>
  <c r="B974" i="14" s="1"/>
  <c r="B975" i="14" s="1"/>
  <c r="B976" i="14" s="1"/>
  <c r="B977" i="14" s="1"/>
  <c r="B978" i="14" s="1"/>
  <c r="B979" i="14" s="1"/>
  <c r="B980" i="14" s="1"/>
  <c r="B981" i="14" s="1"/>
  <c r="B982" i="14" s="1"/>
  <c r="B983" i="14" s="1"/>
  <c r="B984" i="14" s="1"/>
  <c r="B985" i="14" s="1"/>
  <c r="B986" i="14" s="1"/>
  <c r="B987" i="14" s="1"/>
  <c r="B988" i="14" s="1"/>
  <c r="B989" i="14" s="1"/>
  <c r="B990" i="14" s="1"/>
  <c r="B991" i="14" s="1"/>
  <c r="B992" i="14" s="1"/>
  <c r="B993" i="14" s="1"/>
  <c r="B994" i="14" s="1"/>
  <c r="B995" i="14" s="1"/>
  <c r="B996" i="14" s="1"/>
  <c r="B997" i="14" s="1"/>
  <c r="B998" i="14" s="1"/>
  <c r="B999" i="14" s="1"/>
  <c r="B1000" i="14" s="1"/>
  <c r="B1001" i="14" s="1"/>
  <c r="B1002" i="14" s="1"/>
  <c r="B1003" i="14" s="1"/>
  <c r="B1004" i="14" s="1"/>
  <c r="B1005" i="14" s="1"/>
  <c r="B1006" i="14" s="1"/>
  <c r="B1007" i="14" s="1"/>
  <c r="B1008" i="14" s="1"/>
  <c r="B1009" i="14" s="1"/>
  <c r="B1010" i="14" s="1"/>
  <c r="B1011" i="14" s="1"/>
  <c r="B1012" i="14" s="1"/>
  <c r="B1013" i="14" s="1"/>
  <c r="B1014" i="14" s="1"/>
  <c r="B1015" i="14" s="1"/>
  <c r="B1016" i="14" s="1"/>
  <c r="B1017" i="14" s="1"/>
  <c r="B1018" i="14" s="1"/>
  <c r="B1019" i="14" s="1"/>
  <c r="B1020" i="14" s="1"/>
  <c r="B1021" i="14" s="1"/>
  <c r="B1022" i="14" s="1"/>
  <c r="B1023" i="14" s="1"/>
  <c r="B1024" i="14" s="1"/>
  <c r="B1025" i="14" s="1"/>
  <c r="B1026" i="14" s="1"/>
  <c r="B1027" i="14" s="1"/>
  <c r="B1028" i="14" s="1"/>
  <c r="B1029" i="14" s="1"/>
  <c r="B1030" i="14" s="1"/>
  <c r="B1031" i="14" s="1"/>
  <c r="B1032" i="14" s="1"/>
  <c r="B1033" i="14" s="1"/>
  <c r="B1034" i="14" s="1"/>
  <c r="B1035" i="14" s="1"/>
  <c r="B1036" i="14" s="1"/>
  <c r="B1037" i="14" s="1"/>
  <c r="B1038" i="14" s="1"/>
  <c r="B1039" i="14" s="1"/>
  <c r="B1040" i="14" s="1"/>
  <c r="B1041" i="14" s="1"/>
  <c r="B1042" i="14" s="1"/>
  <c r="B1043" i="14" s="1"/>
  <c r="B1044" i="14" s="1"/>
  <c r="B1045" i="14" s="1"/>
  <c r="B1046" i="14" s="1"/>
  <c r="B1047" i="14" s="1"/>
  <c r="B1048" i="14" s="1"/>
  <c r="B1049" i="14" s="1"/>
  <c r="B1050" i="14" s="1"/>
  <c r="B1051" i="14" s="1"/>
  <c r="B1052" i="14" s="1"/>
  <c r="B1053" i="14" s="1"/>
  <c r="B1054" i="14" s="1"/>
  <c r="B1055" i="14" s="1"/>
  <c r="B1056" i="14" s="1"/>
  <c r="B1057" i="14" s="1"/>
  <c r="B1058" i="14" s="1"/>
  <c r="B1059" i="14" s="1"/>
  <c r="B1060" i="14" s="1"/>
  <c r="B1061" i="14" s="1"/>
  <c r="B1062" i="14" s="1"/>
  <c r="B1063" i="14" s="1"/>
  <c r="B1064" i="14" s="1"/>
  <c r="B1065" i="14" s="1"/>
  <c r="B1066" i="14" s="1"/>
  <c r="B1067" i="14" s="1"/>
  <c r="B1068" i="14" s="1"/>
  <c r="B1069" i="14" s="1"/>
  <c r="B1070" i="14" s="1"/>
  <c r="B1071" i="14" s="1"/>
  <c r="B1072" i="14" s="1"/>
  <c r="B1073" i="14" s="1"/>
  <c r="B1074" i="14" s="1"/>
  <c r="B1075" i="14" s="1"/>
  <c r="B1076" i="14" s="1"/>
  <c r="B1077" i="14" s="1"/>
  <c r="B1078" i="14" s="1"/>
  <c r="B1079" i="14" s="1"/>
  <c r="B1080" i="14" s="1"/>
  <c r="B1081" i="14" s="1"/>
  <c r="B1082" i="14" s="1"/>
  <c r="B1083" i="14" s="1"/>
  <c r="B1084" i="14" s="1"/>
  <c r="B1085" i="14" s="1"/>
  <c r="B1086" i="14" s="1"/>
  <c r="B1087" i="14" s="1"/>
  <c r="B1088" i="14" s="1"/>
  <c r="B1089" i="14" s="1"/>
  <c r="B1090" i="14" s="1"/>
  <c r="B1091" i="14" s="1"/>
  <c r="B1092" i="14" s="1"/>
  <c r="B1093" i="14" s="1"/>
  <c r="B1094" i="14" s="1"/>
  <c r="B1095" i="14" s="1"/>
  <c r="B1096" i="14" s="1"/>
  <c r="B1097" i="14" s="1"/>
  <c r="B1098" i="14" s="1"/>
  <c r="B1099" i="14" s="1"/>
  <c r="B1100" i="14" s="1"/>
  <c r="B1101" i="14" s="1"/>
  <c r="B1102" i="14" s="1"/>
  <c r="B1103" i="14" s="1"/>
  <c r="B1104" i="14" s="1"/>
  <c r="B1105" i="14" s="1"/>
  <c r="B1106" i="14" s="1"/>
  <c r="B1107" i="14" s="1"/>
  <c r="B1108" i="14" s="1"/>
  <c r="B1109" i="14" s="1"/>
  <c r="B1110" i="14" s="1"/>
  <c r="B1111" i="14" s="1"/>
  <c r="B1112" i="14" s="1"/>
  <c r="B1113" i="14" s="1"/>
  <c r="B1114" i="14" s="1"/>
  <c r="B1115" i="14" s="1"/>
  <c r="B1116" i="14" s="1"/>
  <c r="B1117" i="14" s="1"/>
  <c r="B1118" i="14" s="1"/>
  <c r="B1119" i="14" s="1"/>
  <c r="B1120" i="14" s="1"/>
  <c r="B1121" i="14" s="1"/>
  <c r="B1122" i="14" s="1"/>
  <c r="B1123" i="14" s="1"/>
  <c r="B1124" i="14" s="1"/>
  <c r="B1125" i="14" s="1"/>
  <c r="B1126" i="14" s="1"/>
  <c r="B1127" i="14" s="1"/>
  <c r="B1128" i="14" s="1"/>
  <c r="B1129" i="14" s="1"/>
  <c r="B1130" i="14" s="1"/>
  <c r="B1131" i="14" s="1"/>
  <c r="B1132" i="14" s="1"/>
  <c r="B1133" i="14" s="1"/>
  <c r="B1134" i="14" s="1"/>
  <c r="B1135" i="14" s="1"/>
  <c r="B1136" i="14" s="1"/>
  <c r="B1137" i="14" s="1"/>
  <c r="B1138" i="14" s="1"/>
  <c r="B1139" i="14" s="1"/>
  <c r="B1140" i="14" s="1"/>
  <c r="B1141" i="14" s="1"/>
  <c r="B1142" i="14" s="1"/>
  <c r="B1143" i="14" s="1"/>
  <c r="B1144" i="14" s="1"/>
  <c r="B1145" i="14" s="1"/>
  <c r="B1146" i="14" s="1"/>
  <c r="B1147" i="14" s="1"/>
  <c r="B1148" i="14" s="1"/>
  <c r="B1149" i="14" s="1"/>
  <c r="B1150" i="14" s="1"/>
  <c r="B1151" i="14" s="1"/>
  <c r="B1152" i="14" s="1"/>
  <c r="B1153" i="14" s="1"/>
  <c r="B1154" i="14" s="1"/>
  <c r="B1155" i="14" s="1"/>
  <c r="B1156" i="14" s="1"/>
  <c r="B1157" i="14" s="1"/>
  <c r="B1158" i="14" s="1"/>
  <c r="B1159" i="14" s="1"/>
  <c r="B1160" i="14" s="1"/>
  <c r="B1161" i="14" s="1"/>
  <c r="B1162" i="14" s="1"/>
  <c r="B1163" i="14" s="1"/>
  <c r="B1164" i="14" s="1"/>
  <c r="B1165" i="14" s="1"/>
  <c r="B1166" i="14" s="1"/>
  <c r="B1167" i="14" s="1"/>
  <c r="B1168" i="14" s="1"/>
  <c r="B1169" i="14" s="1"/>
  <c r="B1170" i="14" s="1"/>
  <c r="B1171" i="14" s="1"/>
  <c r="B1172" i="14" s="1"/>
  <c r="B1173" i="14" s="1"/>
  <c r="B1174" i="14" s="1"/>
  <c r="B1175" i="14" s="1"/>
  <c r="B1176" i="14" s="1"/>
  <c r="B1177" i="14" s="1"/>
  <c r="B1178" i="14" s="1"/>
  <c r="B1179" i="14" s="1"/>
  <c r="B1180" i="14" s="1"/>
  <c r="B1181" i="14" s="1"/>
  <c r="B1182" i="14" s="1"/>
  <c r="B1183" i="14" s="1"/>
  <c r="B1184" i="14" s="1"/>
  <c r="B1185" i="14" s="1"/>
  <c r="B1186" i="14" s="1"/>
  <c r="B1187" i="14" s="1"/>
  <c r="B1188" i="14" s="1"/>
  <c r="B1189" i="14" s="1"/>
  <c r="B1190" i="14" s="1"/>
  <c r="B1191" i="14" s="1"/>
  <c r="B1192" i="14" s="1"/>
  <c r="B1193" i="14" s="1"/>
  <c r="B1194" i="14" s="1"/>
  <c r="B1195" i="14" s="1"/>
  <c r="B1196" i="14" s="1"/>
  <c r="B1197" i="14" s="1"/>
  <c r="B1198" i="14" s="1"/>
  <c r="B1199" i="14" s="1"/>
  <c r="B1200" i="14" s="1"/>
  <c r="B1201" i="14" s="1"/>
  <c r="B1202" i="14" s="1"/>
  <c r="B1203" i="14" s="1"/>
  <c r="B1204" i="14" s="1"/>
  <c r="B1205" i="14" s="1"/>
  <c r="B1206" i="14" s="1"/>
  <c r="B1207" i="14" s="1"/>
  <c r="B1208" i="14" s="1"/>
  <c r="B1209" i="14" s="1"/>
  <c r="B1210" i="14" s="1"/>
  <c r="B1211" i="14" s="1"/>
  <c r="B1212" i="14" s="1"/>
  <c r="B1213" i="14" s="1"/>
  <c r="B1214" i="14" s="1"/>
  <c r="B1215" i="14" s="1"/>
  <c r="B1216" i="14" s="1"/>
  <c r="B1217" i="14" s="1"/>
  <c r="B1218" i="14" s="1"/>
  <c r="B1219" i="14" s="1"/>
  <c r="B1220" i="14" s="1"/>
  <c r="B1221" i="14" s="1"/>
  <c r="B1222" i="14" s="1"/>
  <c r="B1223" i="14" s="1"/>
  <c r="B1224" i="14" s="1"/>
  <c r="B1225" i="14" s="1"/>
  <c r="B1226" i="14" s="1"/>
  <c r="B1227" i="14" s="1"/>
  <c r="B1228" i="14" s="1"/>
  <c r="B1229" i="14" s="1"/>
  <c r="B1230" i="14" s="1"/>
  <c r="B1231" i="14" s="1"/>
  <c r="B1232" i="14" s="1"/>
  <c r="B1233" i="14" s="1"/>
  <c r="B1234" i="14" s="1"/>
  <c r="B1235" i="14" s="1"/>
  <c r="B1236" i="14" s="1"/>
  <c r="B1237" i="14" s="1"/>
  <c r="B1238" i="14" s="1"/>
  <c r="B1239" i="14" s="1"/>
  <c r="B1240" i="14" s="1"/>
  <c r="B1241" i="14" s="1"/>
  <c r="B1242" i="14" s="1"/>
  <c r="B1243" i="14" s="1"/>
  <c r="B1244" i="14" s="1"/>
  <c r="B1245" i="14" s="1"/>
  <c r="B1246" i="14" s="1"/>
  <c r="B1247" i="14" s="1"/>
  <c r="B1248" i="14" s="1"/>
  <c r="B1249" i="14" s="1"/>
  <c r="B1250" i="14" s="1"/>
  <c r="B1251" i="14" s="1"/>
  <c r="B1252" i="14" s="1"/>
  <c r="B1253" i="14" s="1"/>
  <c r="B1254" i="14" s="1"/>
  <c r="B1255" i="14" s="1"/>
  <c r="B1256" i="14" s="1"/>
  <c r="B1257" i="14" s="1"/>
  <c r="B1258" i="14" s="1"/>
  <c r="B1259" i="14" s="1"/>
  <c r="B1260" i="14" s="1"/>
  <c r="B1261" i="14" s="1"/>
  <c r="B1262" i="14" s="1"/>
  <c r="B1263" i="14" s="1"/>
  <c r="B1264" i="14" s="1"/>
  <c r="B1265" i="14" s="1"/>
  <c r="B1266" i="14" s="1"/>
  <c r="B1267" i="14" s="1"/>
  <c r="B1268" i="14" s="1"/>
  <c r="B1269" i="14" s="1"/>
  <c r="B1270" i="14" s="1"/>
  <c r="B1271" i="14" s="1"/>
  <c r="B1272" i="14" s="1"/>
  <c r="B1273" i="14" s="1"/>
  <c r="B1274" i="14" s="1"/>
  <c r="B1275" i="14" s="1"/>
  <c r="B1276" i="14" s="1"/>
  <c r="B1277" i="14" s="1"/>
  <c r="B1278" i="14" s="1"/>
  <c r="B1279" i="14" s="1"/>
  <c r="B1280" i="14" s="1"/>
  <c r="B1281" i="14" s="1"/>
  <c r="B1282" i="14" s="1"/>
  <c r="B1283" i="14" s="1"/>
  <c r="B1284" i="14" s="1"/>
  <c r="B1285" i="14" s="1"/>
  <c r="B1286" i="14" s="1"/>
  <c r="B1287" i="14" s="1"/>
  <c r="B1288" i="14" s="1"/>
  <c r="B1289" i="14" s="1"/>
  <c r="B1290" i="14" s="1"/>
  <c r="B1291" i="14" s="1"/>
  <c r="B1292" i="14" s="1"/>
  <c r="B1293" i="14" s="1"/>
  <c r="B1294" i="14" s="1"/>
  <c r="B1295" i="14" s="1"/>
  <c r="B1296" i="14" s="1"/>
  <c r="B1297" i="14" s="1"/>
  <c r="B1298" i="14" s="1"/>
  <c r="B1299" i="14" s="1"/>
  <c r="B1300" i="14" s="1"/>
  <c r="B1301" i="14" s="1"/>
  <c r="B1302" i="14" s="1"/>
  <c r="B1303" i="14" s="1"/>
  <c r="B1304" i="14" s="1"/>
  <c r="B1305" i="14" s="1"/>
  <c r="B1306" i="14" s="1"/>
  <c r="B1307" i="14" s="1"/>
  <c r="B1308" i="14" s="1"/>
  <c r="B1309" i="14" s="1"/>
  <c r="B1310" i="14" s="1"/>
  <c r="B1311" i="14" s="1"/>
  <c r="B1312" i="14" s="1"/>
  <c r="B1313" i="14" s="1"/>
  <c r="B1314" i="14" s="1"/>
  <c r="B1315" i="14" s="1"/>
  <c r="B1316" i="14" s="1"/>
  <c r="B1317" i="14" s="1"/>
  <c r="B1318" i="14" s="1"/>
  <c r="B1319" i="14" s="1"/>
  <c r="B1320" i="14" s="1"/>
  <c r="B1321" i="14" s="1"/>
  <c r="B1322" i="14" s="1"/>
  <c r="B1323" i="14" s="1"/>
  <c r="B1324" i="14" s="1"/>
  <c r="B1325" i="14" s="1"/>
  <c r="B1326" i="14" s="1"/>
  <c r="B1327" i="14" s="1"/>
  <c r="B1328" i="14" s="1"/>
  <c r="B1329" i="14" s="1"/>
  <c r="B1330" i="14" s="1"/>
  <c r="B1331" i="14" s="1"/>
  <c r="B1332" i="14" s="1"/>
  <c r="B1333" i="14" s="1"/>
  <c r="B1334" i="14" s="1"/>
  <c r="B1335" i="14" s="1"/>
  <c r="B1336" i="14" s="1"/>
  <c r="B1337" i="14" s="1"/>
  <c r="B1338" i="14" s="1"/>
  <c r="B1339" i="14" s="1"/>
  <c r="B1340" i="14" s="1"/>
  <c r="B1341" i="14" s="1"/>
  <c r="B1342" i="14" s="1"/>
  <c r="B1343" i="14" s="1"/>
  <c r="B1344" i="14" s="1"/>
  <c r="B1345" i="14" s="1"/>
  <c r="B1346" i="14" s="1"/>
  <c r="B1347" i="14" s="1"/>
  <c r="B1348" i="14" s="1"/>
  <c r="B1349" i="14" s="1"/>
  <c r="B1350" i="14" s="1"/>
  <c r="B1351" i="14" s="1"/>
  <c r="B1352" i="14" s="1"/>
  <c r="B1353" i="14" s="1"/>
  <c r="B1354" i="14" s="1"/>
  <c r="B1355" i="14" s="1"/>
  <c r="B1356" i="14" s="1"/>
  <c r="B1357" i="14" s="1"/>
  <c r="B1358" i="14" s="1"/>
  <c r="B1359" i="14" s="1"/>
  <c r="B1360" i="14" s="1"/>
  <c r="B1361" i="14" s="1"/>
  <c r="B1362" i="14" s="1"/>
  <c r="B1363" i="14" s="1"/>
  <c r="B1364" i="14" s="1"/>
  <c r="B1365" i="14" s="1"/>
  <c r="B1366" i="14" s="1"/>
  <c r="B1367" i="14" s="1"/>
  <c r="B1368" i="14" s="1"/>
  <c r="B1369" i="14" s="1"/>
  <c r="B1370" i="14" s="1"/>
  <c r="B1371" i="14" s="1"/>
  <c r="B1372" i="14" s="1"/>
  <c r="B1373" i="14" s="1"/>
  <c r="B1374" i="14" s="1"/>
  <c r="B1375" i="14" s="1"/>
  <c r="B1376" i="14" s="1"/>
  <c r="B1377" i="14" s="1"/>
  <c r="B1378" i="14" s="1"/>
  <c r="B1379" i="14" s="1"/>
  <c r="B1380" i="14" s="1"/>
  <c r="B1381" i="14" s="1"/>
  <c r="B1382" i="14" s="1"/>
  <c r="B1383" i="14" s="1"/>
  <c r="B1384" i="14" s="1"/>
  <c r="B1385" i="14" s="1"/>
  <c r="B1386" i="14" s="1"/>
  <c r="B1387" i="14" s="1"/>
  <c r="B1388" i="14" s="1"/>
  <c r="B1389" i="14" s="1"/>
  <c r="B1390" i="14" s="1"/>
  <c r="B1391" i="14" s="1"/>
  <c r="B1392" i="14" s="1"/>
  <c r="B1393" i="14" s="1"/>
  <c r="B1394" i="14" s="1"/>
  <c r="B1395" i="14" s="1"/>
  <c r="B1396" i="14" s="1"/>
  <c r="B1397" i="14" s="1"/>
  <c r="B1398" i="14" s="1"/>
  <c r="B1399" i="14" s="1"/>
  <c r="B1400" i="14" s="1"/>
  <c r="B1401" i="14" s="1"/>
  <c r="B1402" i="14" s="1"/>
  <c r="B1403" i="14" s="1"/>
  <c r="B1404" i="14" s="1"/>
  <c r="B1405" i="14" s="1"/>
  <c r="B1406" i="14" s="1"/>
  <c r="B1407" i="14" s="1"/>
  <c r="B1408" i="14" s="1"/>
  <c r="B1409" i="14" s="1"/>
  <c r="B1410" i="14" s="1"/>
  <c r="B1411" i="14" s="1"/>
  <c r="B1412" i="14" s="1"/>
  <c r="B1413" i="14" s="1"/>
  <c r="B1414" i="14" s="1"/>
  <c r="B1415" i="14" s="1"/>
  <c r="B1416" i="14" s="1"/>
  <c r="B1417" i="14" s="1"/>
  <c r="B1418" i="14" s="1"/>
  <c r="B1419" i="14" s="1"/>
  <c r="B1420" i="14" s="1"/>
  <c r="B1421" i="14" s="1"/>
  <c r="B1422" i="14" s="1"/>
  <c r="B1423" i="14" s="1"/>
  <c r="B1424" i="14" s="1"/>
  <c r="B1425" i="14" s="1"/>
  <c r="B1426" i="14" s="1"/>
  <c r="B1427" i="14" s="1"/>
  <c r="B1428" i="14" s="1"/>
  <c r="B1429" i="14" s="1"/>
  <c r="B1430" i="14" s="1"/>
  <c r="B1431" i="14" s="1"/>
  <c r="B1432" i="14" s="1"/>
  <c r="B1433" i="14" s="1"/>
  <c r="B1434" i="14" s="1"/>
  <c r="B1435" i="14" s="1"/>
  <c r="B1436" i="14" s="1"/>
  <c r="B1437" i="14" s="1"/>
  <c r="B1438" i="14" s="1"/>
  <c r="B1439" i="14" s="1"/>
  <c r="B1440" i="14" s="1"/>
  <c r="B1441" i="14" s="1"/>
  <c r="B1442" i="14" s="1"/>
  <c r="B1443" i="14" s="1"/>
  <c r="B1444" i="14" s="1"/>
  <c r="B1445" i="14" s="1"/>
  <c r="B1446" i="14" s="1"/>
  <c r="B1447" i="14" s="1"/>
  <c r="B1448" i="14" s="1"/>
  <c r="B1449" i="14" s="1"/>
  <c r="B1450" i="14" s="1"/>
  <c r="B1451" i="14" s="1"/>
  <c r="B1452" i="14" s="1"/>
  <c r="B1453" i="14" s="1"/>
  <c r="B1454" i="14" s="1"/>
  <c r="B1455" i="14" s="1"/>
  <c r="B1456" i="14" s="1"/>
  <c r="B1457" i="14" s="1"/>
  <c r="B1458" i="14" s="1"/>
  <c r="B1459" i="14" s="1"/>
  <c r="B1460" i="14" s="1"/>
  <c r="B1461" i="14" s="1"/>
  <c r="B1462" i="14" s="1"/>
  <c r="B1463" i="14" s="1"/>
  <c r="B1464" i="14" s="1"/>
  <c r="B1465" i="14" s="1"/>
  <c r="B1466" i="14" s="1"/>
  <c r="B1467" i="14" s="1"/>
  <c r="B1468" i="14" s="1"/>
  <c r="B1469" i="14" s="1"/>
  <c r="B1470" i="14" s="1"/>
  <c r="B1471" i="14" s="1"/>
  <c r="B1472" i="14" s="1"/>
  <c r="B1473" i="14" s="1"/>
  <c r="B1474" i="14" s="1"/>
  <c r="B1475" i="14" s="1"/>
  <c r="B1476" i="14" s="1"/>
  <c r="B1477" i="14" s="1"/>
  <c r="B1478" i="14" s="1"/>
  <c r="B1479" i="14" s="1"/>
  <c r="B1480" i="14" s="1"/>
  <c r="B1481" i="14" s="1"/>
  <c r="B1482" i="14" s="1"/>
  <c r="B1483" i="14" s="1"/>
  <c r="B1484" i="14" s="1"/>
  <c r="B1485" i="14" s="1"/>
  <c r="B1486" i="14" s="1"/>
  <c r="B1487" i="14" s="1"/>
  <c r="B1488" i="14" s="1"/>
  <c r="B1489" i="14" s="1"/>
  <c r="B1490" i="14" s="1"/>
  <c r="B1491" i="14" s="1"/>
  <c r="B1492" i="14" s="1"/>
  <c r="B1493" i="14" s="1"/>
  <c r="B1494" i="14" s="1"/>
  <c r="B1495" i="14" s="1"/>
  <c r="B1496" i="14" s="1"/>
  <c r="B1497" i="14" s="1"/>
  <c r="B1498" i="14" s="1"/>
  <c r="B1499" i="14" s="1"/>
  <c r="B1500" i="14" s="1"/>
  <c r="B1501" i="14" s="1"/>
  <c r="B1502" i="14" s="1"/>
  <c r="B1503" i="14" s="1"/>
  <c r="B1504" i="14" s="1"/>
  <c r="B1505" i="14" s="1"/>
  <c r="B1506" i="14" s="1"/>
  <c r="B1507" i="14" s="1"/>
  <c r="B1508" i="14" s="1"/>
  <c r="B1509" i="14" s="1"/>
  <c r="B1510" i="14" s="1"/>
  <c r="B1511" i="14" s="1"/>
  <c r="B1512" i="14" s="1"/>
  <c r="B1513" i="14" s="1"/>
  <c r="B1514" i="14" s="1"/>
  <c r="B1515" i="14" s="1"/>
  <c r="B1516" i="14" s="1"/>
  <c r="B1517" i="14" s="1"/>
  <c r="B1518" i="14" s="1"/>
  <c r="B1519" i="14" s="1"/>
  <c r="B1520" i="14" s="1"/>
  <c r="B1521" i="14" s="1"/>
  <c r="B1522" i="14" s="1"/>
  <c r="B1523" i="14" s="1"/>
  <c r="B1524" i="14" s="1"/>
  <c r="B1525" i="14" s="1"/>
  <c r="B1526" i="14" s="1"/>
  <c r="B1527" i="14" s="1"/>
  <c r="B1528" i="14" s="1"/>
  <c r="B1529" i="14" s="1"/>
  <c r="B1530" i="14" s="1"/>
  <c r="B1531" i="14" s="1"/>
  <c r="B1532" i="14" s="1"/>
  <c r="B1533" i="14" s="1"/>
  <c r="B1534" i="14" s="1"/>
  <c r="B1535" i="14" s="1"/>
  <c r="B1536" i="14" s="1"/>
  <c r="B1537" i="14" s="1"/>
  <c r="B1538" i="14" s="1"/>
  <c r="B1539" i="14" s="1"/>
  <c r="B1540" i="14" s="1"/>
  <c r="B1541" i="14" s="1"/>
  <c r="B1542" i="14" s="1"/>
  <c r="B1543" i="14" s="1"/>
  <c r="B1544" i="14" s="1"/>
  <c r="B1545" i="14" s="1"/>
  <c r="B1546" i="14" s="1"/>
  <c r="B1547" i="14" s="1"/>
  <c r="B1548" i="14" s="1"/>
  <c r="B1549" i="14" s="1"/>
  <c r="B1550" i="14" s="1"/>
  <c r="B1551" i="14" s="1"/>
  <c r="B1552" i="14" s="1"/>
  <c r="B1553" i="14" s="1"/>
  <c r="B1554" i="14" s="1"/>
  <c r="B1555" i="14" s="1"/>
  <c r="B1556" i="14" s="1"/>
  <c r="B1557" i="14" s="1"/>
  <c r="B1558" i="14" s="1"/>
  <c r="B1559" i="14" s="1"/>
  <c r="B1560" i="14" s="1"/>
  <c r="B1561" i="14" s="1"/>
  <c r="B1562" i="14" s="1"/>
  <c r="B1563" i="14" s="1"/>
  <c r="B1564" i="14" s="1"/>
  <c r="B1565" i="14" s="1"/>
  <c r="B1566" i="14" s="1"/>
  <c r="B1567" i="14" s="1"/>
  <c r="B1568" i="14" s="1"/>
  <c r="B1569" i="14" s="1"/>
  <c r="B1570" i="14" s="1"/>
  <c r="B1571" i="14" s="1"/>
  <c r="B1572" i="14" s="1"/>
  <c r="B1573" i="14" s="1"/>
  <c r="B1574" i="14" s="1"/>
  <c r="B1575" i="14" s="1"/>
  <c r="B1576" i="14" s="1"/>
  <c r="B1577" i="14" s="1"/>
  <c r="B1578" i="14" s="1"/>
  <c r="B1579" i="14" s="1"/>
  <c r="B1580" i="14" s="1"/>
  <c r="B1581" i="14" s="1"/>
  <c r="B1582" i="14" s="1"/>
  <c r="B1583" i="14" s="1"/>
  <c r="B1584" i="14" s="1"/>
  <c r="B1585" i="14" s="1"/>
  <c r="B1586" i="14" s="1"/>
  <c r="B1587" i="14" s="1"/>
  <c r="B1588" i="14" s="1"/>
  <c r="B1589" i="14" s="1"/>
  <c r="B1590" i="14" s="1"/>
  <c r="B1591" i="14" s="1"/>
  <c r="B1592" i="14" s="1"/>
  <c r="B1593" i="14" s="1"/>
  <c r="B1594" i="14" s="1"/>
  <c r="B1595" i="14" s="1"/>
  <c r="B1596" i="14" s="1"/>
  <c r="B1597" i="14" s="1"/>
  <c r="B1598" i="14" s="1"/>
  <c r="B1599" i="14" s="1"/>
  <c r="B1600" i="14" s="1"/>
  <c r="B1601" i="14" s="1"/>
  <c r="B1602" i="14" s="1"/>
  <c r="B1603" i="14" s="1"/>
  <c r="B1604" i="14" s="1"/>
  <c r="B1605" i="14" s="1"/>
  <c r="B1606" i="14" s="1"/>
  <c r="B1607" i="14" s="1"/>
  <c r="B1608" i="14" s="1"/>
  <c r="B1609" i="14" s="1"/>
  <c r="B1610" i="14" s="1"/>
  <c r="B1611" i="14" s="1"/>
  <c r="B1612" i="14" s="1"/>
  <c r="B1613" i="14" s="1"/>
  <c r="B1614" i="14" s="1"/>
  <c r="B1615" i="14" s="1"/>
  <c r="B1616" i="14" s="1"/>
  <c r="B1617" i="14" s="1"/>
  <c r="B1618" i="14" s="1"/>
  <c r="B1619" i="14" s="1"/>
  <c r="B1620" i="14" s="1"/>
  <c r="B1621" i="14" s="1"/>
  <c r="B1622" i="14" s="1"/>
  <c r="B1623" i="14" s="1"/>
  <c r="B1624" i="14" s="1"/>
  <c r="B1625" i="14" s="1"/>
  <c r="B1626" i="14" s="1"/>
  <c r="B1627" i="14" s="1"/>
  <c r="B1628" i="14" s="1"/>
  <c r="B1629" i="14" s="1"/>
  <c r="B1630" i="14" s="1"/>
  <c r="B1631" i="14" s="1"/>
  <c r="B1632" i="14" s="1"/>
  <c r="B1633" i="14" s="1"/>
  <c r="B1634" i="14" s="1"/>
  <c r="B1635" i="14" s="1"/>
  <c r="B1636" i="14" s="1"/>
  <c r="B1637" i="14" s="1"/>
  <c r="B1638" i="14" s="1"/>
  <c r="B1639" i="14" s="1"/>
  <c r="B1640" i="14" s="1"/>
  <c r="B1641" i="14" s="1"/>
  <c r="B1642" i="14" s="1"/>
  <c r="B1643" i="14" s="1"/>
  <c r="B1644" i="14" s="1"/>
  <c r="B1645" i="14" s="1"/>
  <c r="B1646" i="14" s="1"/>
  <c r="B1647" i="14" s="1"/>
  <c r="B1648" i="14" s="1"/>
  <c r="B1649" i="14" s="1"/>
  <c r="B1650" i="14" s="1"/>
  <c r="B1651" i="14" s="1"/>
  <c r="B1652" i="14" s="1"/>
  <c r="B1653" i="14" s="1"/>
  <c r="B1654" i="14" s="1"/>
  <c r="B1655" i="14" s="1"/>
  <c r="B1656" i="14" s="1"/>
  <c r="B1657" i="14" s="1"/>
  <c r="B1658" i="14" s="1"/>
  <c r="B1659" i="14" s="1"/>
  <c r="B1660" i="14" s="1"/>
  <c r="B1661" i="14" s="1"/>
  <c r="B1662" i="14" s="1"/>
  <c r="B1663" i="14" s="1"/>
  <c r="B1664" i="14" s="1"/>
  <c r="B1665" i="14" s="1"/>
  <c r="B1666" i="14" s="1"/>
  <c r="B1667" i="14" s="1"/>
  <c r="B1668" i="14" s="1"/>
  <c r="B1669" i="14" s="1"/>
  <c r="B1670" i="14" s="1"/>
  <c r="B1671" i="14" s="1"/>
  <c r="B1672" i="14" s="1"/>
  <c r="B1673" i="14" s="1"/>
  <c r="B1674" i="14" s="1"/>
  <c r="B1675" i="14" s="1"/>
  <c r="B1676" i="14" s="1"/>
  <c r="B1677" i="14" s="1"/>
  <c r="B1678" i="14" s="1"/>
  <c r="B1679" i="14" s="1"/>
  <c r="B1680" i="14" s="1"/>
  <c r="B1681" i="14" s="1"/>
  <c r="B1682" i="14" s="1"/>
  <c r="B1683" i="14" s="1"/>
  <c r="B1684" i="14" s="1"/>
  <c r="B1685" i="14" s="1"/>
  <c r="B1686" i="14" s="1"/>
  <c r="B1687" i="14" s="1"/>
  <c r="B1688" i="14" s="1"/>
  <c r="B1689" i="14" s="1"/>
  <c r="B1690" i="14" s="1"/>
  <c r="B1691" i="14" s="1"/>
  <c r="B1692" i="14" s="1"/>
  <c r="B1693" i="14" s="1"/>
  <c r="B1694" i="14" s="1"/>
  <c r="B1695" i="14" s="1"/>
  <c r="B1696" i="14" s="1"/>
  <c r="B1697" i="14" s="1"/>
  <c r="B1698" i="14" s="1"/>
  <c r="B1699" i="14" s="1"/>
  <c r="B1700" i="14" s="1"/>
  <c r="B1701" i="14" s="1"/>
  <c r="B1702" i="14" s="1"/>
  <c r="B1703" i="14" s="1"/>
  <c r="B1704" i="14" s="1"/>
  <c r="B1705" i="14" s="1"/>
  <c r="B1706" i="14" s="1"/>
  <c r="B1707" i="14" s="1"/>
  <c r="B1708" i="14" s="1"/>
  <c r="B1709" i="14" s="1"/>
  <c r="B1710" i="14" s="1"/>
  <c r="B1711" i="14" s="1"/>
  <c r="B1712" i="14" s="1"/>
  <c r="B1713" i="14" s="1"/>
  <c r="B1714" i="14" s="1"/>
  <c r="B1715" i="14" s="1"/>
  <c r="B1716" i="14" s="1"/>
  <c r="B1717" i="14" s="1"/>
  <c r="B1718" i="14" s="1"/>
  <c r="B1719" i="14" s="1"/>
  <c r="B1720" i="14" s="1"/>
  <c r="B1721" i="14" s="1"/>
  <c r="B1722" i="14" s="1"/>
  <c r="B1723" i="14" s="1"/>
  <c r="B1724" i="14" s="1"/>
  <c r="B1725" i="14" s="1"/>
  <c r="B1726" i="14" s="1"/>
  <c r="B1727" i="14" s="1"/>
  <c r="B1728" i="14" s="1"/>
  <c r="B1729" i="14" s="1"/>
  <c r="B1730" i="14" s="1"/>
  <c r="B1731" i="14" s="1"/>
  <c r="B1732" i="14" s="1"/>
  <c r="B1733" i="14" s="1"/>
  <c r="B1734" i="14" s="1"/>
  <c r="B1735" i="14" s="1"/>
  <c r="B1736" i="14" s="1"/>
  <c r="B1737" i="14" s="1"/>
  <c r="B1738" i="14" s="1"/>
  <c r="B1739" i="14" s="1"/>
  <c r="B1740" i="14" s="1"/>
  <c r="B1741" i="14" s="1"/>
  <c r="B1742" i="14" s="1"/>
  <c r="B1743" i="14" s="1"/>
  <c r="B1744" i="14" s="1"/>
  <c r="B1745" i="14" s="1"/>
  <c r="B1746" i="14" s="1"/>
  <c r="B1747" i="14" s="1"/>
  <c r="B1748" i="14" s="1"/>
  <c r="B1749" i="14" s="1"/>
  <c r="B1750" i="14" s="1"/>
  <c r="B1751" i="14" s="1"/>
  <c r="B1752" i="14" s="1"/>
  <c r="B1753" i="14" s="1"/>
  <c r="B1754" i="14" s="1"/>
  <c r="B1755" i="14" s="1"/>
  <c r="B1756" i="14" s="1"/>
  <c r="B1757" i="14" s="1"/>
  <c r="B1758" i="14" s="1"/>
  <c r="B1759" i="14" s="1"/>
  <c r="B1760" i="14" s="1"/>
  <c r="B1761" i="14" s="1"/>
  <c r="B1762" i="14" s="1"/>
  <c r="B1763" i="14" s="1"/>
  <c r="B1764" i="14" s="1"/>
  <c r="B1765" i="14" s="1"/>
  <c r="B1766" i="14" s="1"/>
  <c r="B1767" i="14" s="1"/>
  <c r="B1768" i="14" s="1"/>
  <c r="B1769" i="14" s="1"/>
  <c r="B1770" i="14" s="1"/>
  <c r="B1771" i="14" s="1"/>
  <c r="B1772" i="14" s="1"/>
  <c r="B1773" i="14" s="1"/>
  <c r="B1774" i="14" s="1"/>
  <c r="B1775" i="14" s="1"/>
  <c r="B1776" i="14" s="1"/>
  <c r="B1777" i="14" s="1"/>
  <c r="B1778" i="14" s="1"/>
  <c r="B1779" i="14" s="1"/>
  <c r="B1780" i="14" s="1"/>
  <c r="B1781" i="14" s="1"/>
  <c r="B1782" i="14" s="1"/>
  <c r="B1783" i="14" s="1"/>
  <c r="B1784" i="14" s="1"/>
  <c r="B1785" i="14" s="1"/>
  <c r="B1786" i="14" s="1"/>
  <c r="B1787" i="14" s="1"/>
  <c r="B1788" i="14" s="1"/>
  <c r="B1789" i="14" s="1"/>
  <c r="B1790" i="14" s="1"/>
  <c r="B1791" i="14" s="1"/>
  <c r="B1792" i="14" s="1"/>
  <c r="B1793" i="14" s="1"/>
  <c r="B1794" i="14" s="1"/>
  <c r="B1795" i="14" s="1"/>
  <c r="B1796" i="14" s="1"/>
  <c r="B1797" i="14" s="1"/>
  <c r="B1798" i="14" s="1"/>
  <c r="B1799" i="14" s="1"/>
  <c r="B1800" i="14" s="1"/>
  <c r="B1801" i="14" s="1"/>
  <c r="B1802" i="14" s="1"/>
  <c r="B1803" i="14" s="1"/>
  <c r="B1804" i="14" s="1"/>
  <c r="B1805" i="14" s="1"/>
  <c r="B1806" i="14" s="1"/>
  <c r="B1807" i="14" s="1"/>
  <c r="B1808" i="14" s="1"/>
  <c r="B1809" i="14" s="1"/>
  <c r="B1810" i="14" s="1"/>
  <c r="B1811" i="14" s="1"/>
  <c r="B1812" i="14" s="1"/>
  <c r="B1813" i="14" s="1"/>
  <c r="B1814" i="14" s="1"/>
  <c r="B1815" i="14" s="1"/>
  <c r="B1816" i="14" s="1"/>
  <c r="B1817" i="14" s="1"/>
  <c r="B1818" i="14" s="1"/>
  <c r="D2" i="14"/>
  <c r="E2" i="14" s="1"/>
  <c r="F13" i="10" s="1"/>
  <c r="I197" i="8"/>
  <c r="I198" i="8"/>
  <c r="I199" i="8"/>
  <c r="I200" i="8"/>
  <c r="I201" i="8"/>
  <c r="I202" i="8"/>
  <c r="I203" i="8"/>
  <c r="I204" i="8"/>
  <c r="I205" i="8"/>
  <c r="I206" i="8"/>
  <c r="I207" i="8"/>
  <c r="N5" i="14" l="1"/>
  <c r="O5" i="14"/>
  <c r="P5" i="14"/>
  <c r="E13" i="10"/>
  <c r="M6" i="14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N6" i="14" l="1"/>
  <c r="O6" i="14"/>
  <c r="M265" i="14"/>
  <c r="O265" i="14" s="1"/>
  <c r="M361" i="14"/>
  <c r="O361" i="14" s="1"/>
  <c r="M449" i="14"/>
  <c r="O449" i="14" s="1"/>
  <c r="M513" i="14"/>
  <c r="O513" i="14" s="1"/>
  <c r="M577" i="14"/>
  <c r="O577" i="14" s="1"/>
  <c r="M641" i="14"/>
  <c r="O641" i="14" s="1"/>
  <c r="M701" i="14"/>
  <c r="O701" i="14" s="1"/>
  <c r="M26" i="14"/>
  <c r="O26" i="14" s="1"/>
  <c r="M42" i="14"/>
  <c r="O42" i="14" s="1"/>
  <c r="M86" i="14"/>
  <c r="O86" i="14" s="1"/>
  <c r="M130" i="14"/>
  <c r="O130" i="14" s="1"/>
  <c r="M170" i="14"/>
  <c r="O170" i="14" s="1"/>
  <c r="M214" i="14"/>
  <c r="O214" i="14" s="1"/>
  <c r="M258" i="14"/>
  <c r="O258" i="14" s="1"/>
  <c r="M282" i="14"/>
  <c r="O282" i="14" s="1"/>
  <c r="M314" i="14"/>
  <c r="O314" i="14" s="1"/>
  <c r="M342" i="14"/>
  <c r="O342" i="14" s="1"/>
  <c r="M370" i="14"/>
  <c r="O370" i="14" s="1"/>
  <c r="M402" i="14"/>
  <c r="O402" i="14" s="1"/>
  <c r="M426" i="14"/>
  <c r="O426" i="14" s="1"/>
  <c r="M454" i="14"/>
  <c r="O454" i="14" s="1"/>
  <c r="M486" i="14"/>
  <c r="O486" i="14" s="1"/>
  <c r="M514" i="14"/>
  <c r="O514" i="14" s="1"/>
  <c r="M538" i="14"/>
  <c r="O538" i="14" s="1"/>
  <c r="M562" i="14"/>
  <c r="O562" i="14" s="1"/>
  <c r="M566" i="14"/>
  <c r="O566" i="14" s="1"/>
  <c r="M578" i="14"/>
  <c r="O578" i="14" s="1"/>
  <c r="M582" i="14"/>
  <c r="O582" i="14" s="1"/>
  <c r="M594" i="14"/>
  <c r="O594" i="14" s="1"/>
  <c r="M598" i="14"/>
  <c r="O598" i="14" s="1"/>
  <c r="M610" i="14"/>
  <c r="O610" i="14" s="1"/>
  <c r="M614" i="14"/>
  <c r="O614" i="14" s="1"/>
  <c r="M626" i="14"/>
  <c r="O626" i="14" s="1"/>
  <c r="M630" i="14"/>
  <c r="O630" i="14" s="1"/>
  <c r="M642" i="14"/>
  <c r="O642" i="14" s="1"/>
  <c r="M646" i="14"/>
  <c r="O646" i="14" s="1"/>
  <c r="M658" i="14"/>
  <c r="O658" i="14" s="1"/>
  <c r="M662" i="14"/>
  <c r="O662" i="14" s="1"/>
  <c r="M674" i="14"/>
  <c r="O674" i="14" s="1"/>
  <c r="M678" i="14"/>
  <c r="O678" i="14" s="1"/>
  <c r="M690" i="14"/>
  <c r="O690" i="14" s="1"/>
  <c r="M694" i="14"/>
  <c r="O694" i="14" s="1"/>
  <c r="M27" i="14"/>
  <c r="O27" i="14" s="1"/>
  <c r="M43" i="14"/>
  <c r="O43" i="14" s="1"/>
  <c r="M59" i="14"/>
  <c r="O59" i="14" s="1"/>
  <c r="M91" i="14"/>
  <c r="O91" i="14" s="1"/>
  <c r="M107" i="14"/>
  <c r="O107" i="14" s="1"/>
  <c r="M123" i="14"/>
  <c r="O123" i="14" s="1"/>
  <c r="M155" i="14"/>
  <c r="O155" i="14" s="1"/>
  <c r="M171" i="14"/>
  <c r="O171" i="14" s="1"/>
  <c r="M187" i="14"/>
  <c r="O187" i="14" s="1"/>
  <c r="M219" i="14"/>
  <c r="O219" i="14" s="1"/>
  <c r="M235" i="14"/>
  <c r="O235" i="14" s="1"/>
  <c r="M251" i="14"/>
  <c r="O251" i="14" s="1"/>
  <c r="M283" i="14"/>
  <c r="O283" i="14" s="1"/>
  <c r="M299" i="14"/>
  <c r="O299" i="14" s="1"/>
  <c r="M315" i="14"/>
  <c r="O315" i="14" s="1"/>
  <c r="M347" i="14"/>
  <c r="O347" i="14" s="1"/>
  <c r="M363" i="14"/>
  <c r="O363" i="14" s="1"/>
  <c r="M379" i="14"/>
  <c r="O379" i="14" s="1"/>
  <c r="M411" i="14"/>
  <c r="O411" i="14" s="1"/>
  <c r="M427" i="14"/>
  <c r="O427" i="14" s="1"/>
  <c r="M443" i="14"/>
  <c r="O443" i="14" s="1"/>
  <c r="M475" i="14"/>
  <c r="O475" i="14" s="1"/>
  <c r="M491" i="14"/>
  <c r="O491" i="14" s="1"/>
  <c r="M507" i="14"/>
  <c r="O507" i="14" s="1"/>
  <c r="M539" i="14"/>
  <c r="O539" i="14" s="1"/>
  <c r="M555" i="14"/>
  <c r="O555" i="14" s="1"/>
  <c r="M571" i="14"/>
  <c r="O571" i="14" s="1"/>
  <c r="M587" i="14"/>
  <c r="O587" i="14" s="1"/>
  <c r="M603" i="14"/>
  <c r="O603" i="14" s="1"/>
  <c r="M619" i="14"/>
  <c r="O619" i="14" s="1"/>
  <c r="M628" i="14"/>
  <c r="O628" i="14" s="1"/>
  <c r="M636" i="14"/>
  <c r="O636" i="14" s="1"/>
  <c r="M644" i="14"/>
  <c r="O644" i="14" s="1"/>
  <c r="M652" i="14"/>
  <c r="O652" i="14" s="1"/>
  <c r="M660" i="14"/>
  <c r="O660" i="14" s="1"/>
  <c r="M668" i="14"/>
  <c r="O668" i="14" s="1"/>
  <c r="M676" i="14"/>
  <c r="O676" i="14" s="1"/>
  <c r="M684" i="14"/>
  <c r="O684" i="14" s="1"/>
  <c r="M692" i="14"/>
  <c r="O692" i="14" s="1"/>
  <c r="M700" i="14"/>
  <c r="O700" i="14" s="1"/>
  <c r="M706" i="14"/>
  <c r="O706" i="14" s="1"/>
  <c r="M710" i="14"/>
  <c r="O710" i="14" s="1"/>
  <c r="M714" i="14"/>
  <c r="O714" i="14" s="1"/>
  <c r="M718" i="14"/>
  <c r="O718" i="14" s="1"/>
  <c r="M722" i="14"/>
  <c r="O722" i="14" s="1"/>
  <c r="M726" i="14"/>
  <c r="O726" i="14" s="1"/>
  <c r="M730" i="14"/>
  <c r="O730" i="14" s="1"/>
  <c r="M734" i="14"/>
  <c r="O734" i="14" s="1"/>
  <c r="M738" i="14"/>
  <c r="O738" i="14" s="1"/>
  <c r="M742" i="14"/>
  <c r="O742" i="14" s="1"/>
  <c r="M746" i="14"/>
  <c r="O746" i="14" s="1"/>
  <c r="M750" i="14"/>
  <c r="O750" i="14" s="1"/>
  <c r="M754" i="14"/>
  <c r="O754" i="14" s="1"/>
  <c r="M758" i="14"/>
  <c r="O758" i="14" s="1"/>
  <c r="M762" i="14"/>
  <c r="O762" i="14" s="1"/>
  <c r="M766" i="14"/>
  <c r="O766" i="14" s="1"/>
  <c r="M770" i="14"/>
  <c r="O770" i="14" s="1"/>
  <c r="M774" i="14"/>
  <c r="O774" i="14" s="1"/>
  <c r="M778" i="14"/>
  <c r="O778" i="14" s="1"/>
  <c r="M782" i="14"/>
  <c r="O782" i="14" s="1"/>
  <c r="M786" i="14"/>
  <c r="O786" i="14" s="1"/>
  <c r="M790" i="14"/>
  <c r="O790" i="14" s="1"/>
  <c r="M794" i="14"/>
  <c r="O794" i="14" s="1"/>
  <c r="M798" i="14"/>
  <c r="O798" i="14" s="1"/>
  <c r="M802" i="14"/>
  <c r="O802" i="14" s="1"/>
  <c r="M806" i="14"/>
  <c r="O806" i="14" s="1"/>
  <c r="M810" i="14"/>
  <c r="O810" i="14" s="1"/>
  <c r="M814" i="14"/>
  <c r="O814" i="14" s="1"/>
  <c r="M818" i="14"/>
  <c r="O818" i="14" s="1"/>
  <c r="M822" i="14"/>
  <c r="O822" i="14" s="1"/>
  <c r="M826" i="14"/>
  <c r="O826" i="14" s="1"/>
  <c r="M830" i="14"/>
  <c r="O830" i="14" s="1"/>
  <c r="M834" i="14"/>
  <c r="O834" i="14" s="1"/>
  <c r="M838" i="14"/>
  <c r="O838" i="14" s="1"/>
  <c r="M842" i="14"/>
  <c r="O842" i="14" s="1"/>
  <c r="M846" i="14"/>
  <c r="O846" i="14" s="1"/>
  <c r="M850" i="14"/>
  <c r="O850" i="14" s="1"/>
  <c r="M854" i="14"/>
  <c r="O854" i="14" s="1"/>
  <c r="M858" i="14"/>
  <c r="O858" i="14" s="1"/>
  <c r="M862" i="14"/>
  <c r="O862" i="14" s="1"/>
  <c r="M866" i="14"/>
  <c r="O866" i="14" s="1"/>
  <c r="M870" i="14"/>
  <c r="O870" i="14" s="1"/>
  <c r="M874" i="14"/>
  <c r="O874" i="14" s="1"/>
  <c r="M878" i="14"/>
  <c r="O878" i="14" s="1"/>
  <c r="M882" i="14"/>
  <c r="O882" i="14" s="1"/>
  <c r="M886" i="14"/>
  <c r="O886" i="14" s="1"/>
  <c r="M890" i="14"/>
  <c r="O890" i="14" s="1"/>
  <c r="M894" i="14"/>
  <c r="O894" i="14" s="1"/>
  <c r="M898" i="14"/>
  <c r="O898" i="14" s="1"/>
  <c r="M902" i="14"/>
  <c r="O902" i="14" s="1"/>
  <c r="M906" i="14"/>
  <c r="O906" i="14" s="1"/>
  <c r="M910" i="14"/>
  <c r="O910" i="14" s="1"/>
  <c r="M914" i="14"/>
  <c r="O914" i="14" s="1"/>
  <c r="M918" i="14"/>
  <c r="O918" i="14" s="1"/>
  <c r="M922" i="14"/>
  <c r="O922" i="14" s="1"/>
  <c r="M926" i="14"/>
  <c r="O926" i="14" s="1"/>
  <c r="M930" i="14"/>
  <c r="O930" i="14" s="1"/>
  <c r="M934" i="14"/>
  <c r="O934" i="14" s="1"/>
  <c r="M938" i="14"/>
  <c r="O938" i="14" s="1"/>
  <c r="M942" i="14"/>
  <c r="O942" i="14" s="1"/>
  <c r="M946" i="14"/>
  <c r="O946" i="14" s="1"/>
  <c r="M950" i="14"/>
  <c r="O950" i="14" s="1"/>
  <c r="M954" i="14"/>
  <c r="O954" i="14" s="1"/>
  <c r="M958" i="14"/>
  <c r="O958" i="14" s="1"/>
  <c r="M962" i="14"/>
  <c r="O962" i="14" s="1"/>
  <c r="M966" i="14"/>
  <c r="O966" i="14" s="1"/>
  <c r="M970" i="14"/>
  <c r="O970" i="14" s="1"/>
  <c r="M974" i="14"/>
  <c r="O974" i="14" s="1"/>
  <c r="M978" i="14"/>
  <c r="O978" i="14" s="1"/>
  <c r="M982" i="14"/>
  <c r="O982" i="14" s="1"/>
  <c r="M986" i="14"/>
  <c r="O986" i="14" s="1"/>
  <c r="M990" i="14"/>
  <c r="O990" i="14" s="1"/>
  <c r="M994" i="14"/>
  <c r="O994" i="14" s="1"/>
  <c r="M998" i="14"/>
  <c r="O998" i="14" s="1"/>
  <c r="M1002" i="14"/>
  <c r="O1002" i="14" s="1"/>
  <c r="M1006" i="14"/>
  <c r="O1006" i="14" s="1"/>
  <c r="M1010" i="14"/>
  <c r="O1010" i="14" s="1"/>
  <c r="M1014" i="14"/>
  <c r="O1014" i="14" s="1"/>
  <c r="M1018" i="14"/>
  <c r="O1018" i="14" s="1"/>
  <c r="M1022" i="14"/>
  <c r="O1022" i="14" s="1"/>
  <c r="M1026" i="14"/>
  <c r="O1026" i="14" s="1"/>
  <c r="M1030" i="14"/>
  <c r="O1030" i="14" s="1"/>
  <c r="M1034" i="14"/>
  <c r="O1034" i="14" s="1"/>
  <c r="M1038" i="14"/>
  <c r="O1038" i="14" s="1"/>
  <c r="M1042" i="14"/>
  <c r="O1042" i="14" s="1"/>
  <c r="M1046" i="14"/>
  <c r="O1046" i="14" s="1"/>
  <c r="M1050" i="14"/>
  <c r="O1050" i="14" s="1"/>
  <c r="M1054" i="14"/>
  <c r="O1054" i="14" s="1"/>
  <c r="M1058" i="14"/>
  <c r="O1058" i="14" s="1"/>
  <c r="M1062" i="14"/>
  <c r="O1062" i="14" s="1"/>
  <c r="M1066" i="14"/>
  <c r="O1066" i="14" s="1"/>
  <c r="M1070" i="14"/>
  <c r="O1070" i="14" s="1"/>
  <c r="M1074" i="14"/>
  <c r="O1074" i="14" s="1"/>
  <c r="M1078" i="14"/>
  <c r="O1078" i="14" s="1"/>
  <c r="M1082" i="14"/>
  <c r="O1082" i="14" s="1"/>
  <c r="M1086" i="14"/>
  <c r="O1086" i="14" s="1"/>
  <c r="M1090" i="14"/>
  <c r="O1090" i="14" s="1"/>
  <c r="M1094" i="14"/>
  <c r="O1094" i="14" s="1"/>
  <c r="M1098" i="14"/>
  <c r="O1098" i="14" s="1"/>
  <c r="M1102" i="14"/>
  <c r="O1102" i="14" s="1"/>
  <c r="M1106" i="14"/>
  <c r="O1106" i="14" s="1"/>
  <c r="M1110" i="14"/>
  <c r="O1110" i="14" s="1"/>
  <c r="M1114" i="14"/>
  <c r="O1114" i="14" s="1"/>
  <c r="M1118" i="14"/>
  <c r="O1118" i="14" s="1"/>
  <c r="M1122" i="14"/>
  <c r="O1122" i="14" s="1"/>
  <c r="M1126" i="14"/>
  <c r="O1126" i="14" s="1"/>
  <c r="M1130" i="14"/>
  <c r="O1130" i="14" s="1"/>
  <c r="M1134" i="14"/>
  <c r="O1134" i="14" s="1"/>
  <c r="M1138" i="14"/>
  <c r="O1138" i="14" s="1"/>
  <c r="M1142" i="14"/>
  <c r="O1142" i="14" s="1"/>
  <c r="M1146" i="14"/>
  <c r="O1146" i="14" s="1"/>
  <c r="M1150" i="14"/>
  <c r="O1150" i="14" s="1"/>
  <c r="M1154" i="14"/>
  <c r="O1154" i="14" s="1"/>
  <c r="M1158" i="14"/>
  <c r="O1158" i="14" s="1"/>
  <c r="M1162" i="14"/>
  <c r="O1162" i="14" s="1"/>
  <c r="M1166" i="14"/>
  <c r="O1166" i="14" s="1"/>
  <c r="M1170" i="14"/>
  <c r="O1170" i="14" s="1"/>
  <c r="M1174" i="14"/>
  <c r="O1174" i="14" s="1"/>
  <c r="M1178" i="14"/>
  <c r="O1178" i="14" s="1"/>
  <c r="M1182" i="14"/>
  <c r="O1182" i="14" s="1"/>
  <c r="M1186" i="14"/>
  <c r="O1186" i="14" s="1"/>
  <c r="M1190" i="14"/>
  <c r="O1190" i="14" s="1"/>
  <c r="M1194" i="14"/>
  <c r="O1194" i="14" s="1"/>
  <c r="M1198" i="14"/>
  <c r="O1198" i="14" s="1"/>
  <c r="M1202" i="14"/>
  <c r="O1202" i="14" s="1"/>
  <c r="M1206" i="14"/>
  <c r="O1206" i="14" s="1"/>
  <c r="M1210" i="14"/>
  <c r="O1210" i="14" s="1"/>
  <c r="M1214" i="14"/>
  <c r="O1214" i="14" s="1"/>
  <c r="M1218" i="14"/>
  <c r="O1218" i="14" s="1"/>
  <c r="M1222" i="14"/>
  <c r="O1222" i="14" s="1"/>
  <c r="M1226" i="14"/>
  <c r="O1226" i="14" s="1"/>
  <c r="M1230" i="14"/>
  <c r="O1230" i="14" s="1"/>
  <c r="M1234" i="14"/>
  <c r="O1234" i="14" s="1"/>
  <c r="M1238" i="14"/>
  <c r="O1238" i="14" s="1"/>
  <c r="M1242" i="14"/>
  <c r="O1242" i="14" s="1"/>
  <c r="M1246" i="14"/>
  <c r="O1246" i="14" s="1"/>
  <c r="M1250" i="14"/>
  <c r="O1250" i="14" s="1"/>
  <c r="M1254" i="14"/>
  <c r="O1254" i="14" s="1"/>
  <c r="M1258" i="14"/>
  <c r="O1258" i="14" s="1"/>
  <c r="M1262" i="14"/>
  <c r="O1262" i="14" s="1"/>
  <c r="M1266" i="14"/>
  <c r="O1266" i="14" s="1"/>
  <c r="M1270" i="14"/>
  <c r="O1270" i="14" s="1"/>
  <c r="M1274" i="14"/>
  <c r="O1274" i="14" s="1"/>
  <c r="M1278" i="14"/>
  <c r="O1278" i="14" s="1"/>
  <c r="M1282" i="14"/>
  <c r="O1282" i="14" s="1"/>
  <c r="M71" i="14"/>
  <c r="O71" i="14" s="1"/>
  <c r="M119" i="14"/>
  <c r="O119" i="14" s="1"/>
  <c r="M167" i="14"/>
  <c r="O167" i="14" s="1"/>
  <c r="M215" i="14"/>
  <c r="O215" i="14" s="1"/>
  <c r="M263" i="14"/>
  <c r="O263" i="14" s="1"/>
  <c r="M311" i="14"/>
  <c r="O311" i="14" s="1"/>
  <c r="M375" i="14"/>
  <c r="O375" i="14" s="1"/>
  <c r="M407" i="14"/>
  <c r="O407" i="14" s="1"/>
  <c r="M455" i="14"/>
  <c r="O455" i="14" s="1"/>
  <c r="M503" i="14"/>
  <c r="O503" i="14" s="1"/>
  <c r="M567" i="14"/>
  <c r="O567" i="14" s="1"/>
  <c r="M627" i="14"/>
  <c r="O627" i="14" s="1"/>
  <c r="M651" i="14"/>
  <c r="O651" i="14" s="1"/>
  <c r="M667" i="14"/>
  <c r="O667" i="14" s="1"/>
  <c r="M699" i="14"/>
  <c r="O699" i="14" s="1"/>
  <c r="M709" i="14"/>
  <c r="O709" i="14" s="1"/>
  <c r="M725" i="14"/>
  <c r="O725" i="14" s="1"/>
  <c r="M737" i="14"/>
  <c r="O737" i="14" s="1"/>
  <c r="M745" i="14"/>
  <c r="O745" i="14" s="1"/>
  <c r="M757" i="14"/>
  <c r="O757" i="14" s="1"/>
  <c r="M773" i="14"/>
  <c r="O773" i="14" s="1"/>
  <c r="M785" i="14"/>
  <c r="O785" i="14" s="1"/>
  <c r="M793" i="14"/>
  <c r="O793" i="14" s="1"/>
  <c r="M809" i="14"/>
  <c r="O809" i="14" s="1"/>
  <c r="M817" i="14"/>
  <c r="O817" i="14" s="1"/>
  <c r="M829" i="14"/>
  <c r="O829" i="14" s="1"/>
  <c r="M841" i="14"/>
  <c r="O841" i="14" s="1"/>
  <c r="M853" i="14"/>
  <c r="O853" i="14" s="1"/>
  <c r="M865" i="14"/>
  <c r="O865" i="14" s="1"/>
  <c r="M881" i="14"/>
  <c r="O881" i="14" s="1"/>
  <c r="M893" i="14"/>
  <c r="O893" i="14" s="1"/>
  <c r="M901" i="14"/>
  <c r="O901" i="14" s="1"/>
  <c r="M913" i="14"/>
  <c r="O913" i="14" s="1"/>
  <c r="M925" i="14"/>
  <c r="O925" i="14" s="1"/>
  <c r="M941" i="14"/>
  <c r="O941" i="14" s="1"/>
  <c r="M953" i="14"/>
  <c r="O953" i="14" s="1"/>
  <c r="M961" i="14"/>
  <c r="O961" i="14" s="1"/>
  <c r="M977" i="14"/>
  <c r="O977" i="14" s="1"/>
  <c r="M985" i="14"/>
  <c r="O985" i="14" s="1"/>
  <c r="M1001" i="14"/>
  <c r="O1001" i="14" s="1"/>
  <c r="M1009" i="14"/>
  <c r="O1009" i="14" s="1"/>
  <c r="M1013" i="14"/>
  <c r="O1013" i="14" s="1"/>
  <c r="M1025" i="14"/>
  <c r="O1025" i="14" s="1"/>
  <c r="M1037" i="14"/>
  <c r="O1037" i="14" s="1"/>
  <c r="M1041" i="14"/>
  <c r="O1041" i="14" s="1"/>
  <c r="M1057" i="14"/>
  <c r="O1057" i="14" s="1"/>
  <c r="M1061" i="14"/>
  <c r="O1061" i="14" s="1"/>
  <c r="M1077" i="14"/>
  <c r="O1077" i="14" s="1"/>
  <c r="M1085" i="14"/>
  <c r="O1085" i="14" s="1"/>
  <c r="M1093" i="14"/>
  <c r="O1093" i="14" s="1"/>
  <c r="M1105" i="14"/>
  <c r="O1105" i="14" s="1"/>
  <c r="M1113" i="14"/>
  <c r="O1113" i="14" s="1"/>
  <c r="M1125" i="14"/>
  <c r="O1125" i="14" s="1"/>
  <c r="M1133" i="14"/>
  <c r="O1133" i="14" s="1"/>
  <c r="M1145" i="14"/>
  <c r="O1145" i="14" s="1"/>
  <c r="M1149" i="14"/>
  <c r="O1149" i="14" s="1"/>
  <c r="M1161" i="14"/>
  <c r="O1161" i="14" s="1"/>
  <c r="M1177" i="14"/>
  <c r="O1177" i="14" s="1"/>
  <c r="M1189" i="14"/>
  <c r="O1189" i="14" s="1"/>
  <c r="M1201" i="14"/>
  <c r="O1201" i="14" s="1"/>
  <c r="M1209" i="14"/>
  <c r="O1209" i="14" s="1"/>
  <c r="M1225" i="14"/>
  <c r="O1225" i="14" s="1"/>
  <c r="M1233" i="14"/>
  <c r="O1233" i="14" s="1"/>
  <c r="M1245" i="14"/>
  <c r="O1245" i="14" s="1"/>
  <c r="M1257" i="14"/>
  <c r="O1257" i="14" s="1"/>
  <c r="M1269" i="14"/>
  <c r="O1269" i="14" s="1"/>
  <c r="M31" i="14"/>
  <c r="O31" i="14" s="1"/>
  <c r="M47" i="14"/>
  <c r="O47" i="14" s="1"/>
  <c r="M63" i="14"/>
  <c r="O63" i="14" s="1"/>
  <c r="M79" i="14"/>
  <c r="O79" i="14" s="1"/>
  <c r="M95" i="14"/>
  <c r="O95" i="14" s="1"/>
  <c r="M111" i="14"/>
  <c r="O111" i="14" s="1"/>
  <c r="M127" i="14"/>
  <c r="O127" i="14" s="1"/>
  <c r="M143" i="14"/>
  <c r="O143" i="14" s="1"/>
  <c r="M159" i="14"/>
  <c r="O159" i="14" s="1"/>
  <c r="M175" i="14"/>
  <c r="O175" i="14" s="1"/>
  <c r="M191" i="14"/>
  <c r="O191" i="14" s="1"/>
  <c r="M207" i="14"/>
  <c r="O207" i="14" s="1"/>
  <c r="M223" i="14"/>
  <c r="O223" i="14" s="1"/>
  <c r="M239" i="14"/>
  <c r="O239" i="14" s="1"/>
  <c r="M255" i="14"/>
  <c r="O255" i="14" s="1"/>
  <c r="M271" i="14"/>
  <c r="O271" i="14" s="1"/>
  <c r="M287" i="14"/>
  <c r="O287" i="14" s="1"/>
  <c r="M303" i="14"/>
  <c r="O303" i="14" s="1"/>
  <c r="M319" i="14"/>
  <c r="O319" i="14" s="1"/>
  <c r="M335" i="14"/>
  <c r="O335" i="14" s="1"/>
  <c r="M351" i="14"/>
  <c r="O351" i="14" s="1"/>
  <c r="M367" i="14"/>
  <c r="O367" i="14" s="1"/>
  <c r="M383" i="14"/>
  <c r="O383" i="14" s="1"/>
  <c r="M399" i="14"/>
  <c r="O399" i="14" s="1"/>
  <c r="M415" i="14"/>
  <c r="O415" i="14" s="1"/>
  <c r="M431" i="14"/>
  <c r="O431" i="14" s="1"/>
  <c r="M447" i="14"/>
  <c r="O447" i="14" s="1"/>
  <c r="M463" i="14"/>
  <c r="O463" i="14" s="1"/>
  <c r="M479" i="14"/>
  <c r="O479" i="14" s="1"/>
  <c r="M495" i="14"/>
  <c r="O495" i="14" s="1"/>
  <c r="M511" i="14"/>
  <c r="O511" i="14" s="1"/>
  <c r="M527" i="14"/>
  <c r="O527" i="14" s="1"/>
  <c r="M543" i="14"/>
  <c r="O543" i="14" s="1"/>
  <c r="M559" i="14"/>
  <c r="O559" i="14" s="1"/>
  <c r="M575" i="14"/>
  <c r="O575" i="14" s="1"/>
  <c r="M591" i="14"/>
  <c r="O591" i="14" s="1"/>
  <c r="M607" i="14"/>
  <c r="O607" i="14" s="1"/>
  <c r="M623" i="14"/>
  <c r="O623" i="14" s="1"/>
  <c r="M631" i="14"/>
  <c r="O631" i="14" s="1"/>
  <c r="M639" i="14"/>
  <c r="O639" i="14" s="1"/>
  <c r="M647" i="14"/>
  <c r="O647" i="14" s="1"/>
  <c r="M655" i="14"/>
  <c r="O655" i="14" s="1"/>
  <c r="M663" i="14"/>
  <c r="O663" i="14" s="1"/>
  <c r="M671" i="14"/>
  <c r="O671" i="14" s="1"/>
  <c r="M679" i="14"/>
  <c r="O679" i="14" s="1"/>
  <c r="M687" i="14"/>
  <c r="O687" i="14" s="1"/>
  <c r="M695" i="14"/>
  <c r="O695" i="14" s="1"/>
  <c r="M702" i="14"/>
  <c r="O702" i="14" s="1"/>
  <c r="M707" i="14"/>
  <c r="O707" i="14" s="1"/>
  <c r="M711" i="14"/>
  <c r="O711" i="14" s="1"/>
  <c r="M715" i="14"/>
  <c r="O715" i="14" s="1"/>
  <c r="M719" i="14"/>
  <c r="O719" i="14" s="1"/>
  <c r="M723" i="14"/>
  <c r="O723" i="14" s="1"/>
  <c r="M727" i="14"/>
  <c r="O727" i="14" s="1"/>
  <c r="M731" i="14"/>
  <c r="O731" i="14" s="1"/>
  <c r="M735" i="14"/>
  <c r="O735" i="14" s="1"/>
  <c r="M739" i="14"/>
  <c r="O739" i="14" s="1"/>
  <c r="M743" i="14"/>
  <c r="O743" i="14" s="1"/>
  <c r="M747" i="14"/>
  <c r="O747" i="14" s="1"/>
  <c r="M751" i="14"/>
  <c r="O751" i="14" s="1"/>
  <c r="M755" i="14"/>
  <c r="O755" i="14" s="1"/>
  <c r="M759" i="14"/>
  <c r="O759" i="14" s="1"/>
  <c r="M763" i="14"/>
  <c r="O763" i="14" s="1"/>
  <c r="M767" i="14"/>
  <c r="O767" i="14" s="1"/>
  <c r="M771" i="14"/>
  <c r="O771" i="14" s="1"/>
  <c r="M775" i="14"/>
  <c r="O775" i="14" s="1"/>
  <c r="M779" i="14"/>
  <c r="O779" i="14" s="1"/>
  <c r="M783" i="14"/>
  <c r="O783" i="14" s="1"/>
  <c r="M787" i="14"/>
  <c r="O787" i="14" s="1"/>
  <c r="M791" i="14"/>
  <c r="O791" i="14" s="1"/>
  <c r="M795" i="14"/>
  <c r="O795" i="14" s="1"/>
  <c r="M799" i="14"/>
  <c r="O799" i="14" s="1"/>
  <c r="M803" i="14"/>
  <c r="O803" i="14" s="1"/>
  <c r="M807" i="14"/>
  <c r="O807" i="14" s="1"/>
  <c r="M811" i="14"/>
  <c r="O811" i="14" s="1"/>
  <c r="M815" i="14"/>
  <c r="O815" i="14" s="1"/>
  <c r="M819" i="14"/>
  <c r="O819" i="14" s="1"/>
  <c r="M823" i="14"/>
  <c r="O823" i="14" s="1"/>
  <c r="M827" i="14"/>
  <c r="O827" i="14" s="1"/>
  <c r="M831" i="14"/>
  <c r="O831" i="14" s="1"/>
  <c r="M835" i="14"/>
  <c r="O835" i="14" s="1"/>
  <c r="M839" i="14"/>
  <c r="O839" i="14" s="1"/>
  <c r="M843" i="14"/>
  <c r="O843" i="14" s="1"/>
  <c r="M847" i="14"/>
  <c r="O847" i="14" s="1"/>
  <c r="M851" i="14"/>
  <c r="O851" i="14" s="1"/>
  <c r="M855" i="14"/>
  <c r="O855" i="14" s="1"/>
  <c r="M859" i="14"/>
  <c r="O859" i="14" s="1"/>
  <c r="M863" i="14"/>
  <c r="O863" i="14" s="1"/>
  <c r="M867" i="14"/>
  <c r="O867" i="14" s="1"/>
  <c r="M871" i="14"/>
  <c r="O871" i="14" s="1"/>
  <c r="M875" i="14"/>
  <c r="O875" i="14" s="1"/>
  <c r="M879" i="14"/>
  <c r="O879" i="14" s="1"/>
  <c r="M883" i="14"/>
  <c r="O883" i="14" s="1"/>
  <c r="M887" i="14"/>
  <c r="O887" i="14" s="1"/>
  <c r="M891" i="14"/>
  <c r="O891" i="14" s="1"/>
  <c r="M895" i="14"/>
  <c r="O895" i="14" s="1"/>
  <c r="M899" i="14"/>
  <c r="O899" i="14" s="1"/>
  <c r="M903" i="14"/>
  <c r="O903" i="14" s="1"/>
  <c r="M907" i="14"/>
  <c r="O907" i="14" s="1"/>
  <c r="M911" i="14"/>
  <c r="O911" i="14" s="1"/>
  <c r="M915" i="14"/>
  <c r="O915" i="14" s="1"/>
  <c r="M919" i="14"/>
  <c r="O919" i="14" s="1"/>
  <c r="M923" i="14"/>
  <c r="O923" i="14" s="1"/>
  <c r="M927" i="14"/>
  <c r="O927" i="14" s="1"/>
  <c r="M931" i="14"/>
  <c r="O931" i="14" s="1"/>
  <c r="M935" i="14"/>
  <c r="O935" i="14" s="1"/>
  <c r="M939" i="14"/>
  <c r="O939" i="14" s="1"/>
  <c r="M943" i="14"/>
  <c r="O943" i="14" s="1"/>
  <c r="M947" i="14"/>
  <c r="O947" i="14" s="1"/>
  <c r="M951" i="14"/>
  <c r="O951" i="14" s="1"/>
  <c r="M955" i="14"/>
  <c r="O955" i="14" s="1"/>
  <c r="M959" i="14"/>
  <c r="O959" i="14" s="1"/>
  <c r="M963" i="14"/>
  <c r="O963" i="14" s="1"/>
  <c r="M967" i="14"/>
  <c r="O967" i="14" s="1"/>
  <c r="M971" i="14"/>
  <c r="O971" i="14" s="1"/>
  <c r="M975" i="14"/>
  <c r="O975" i="14" s="1"/>
  <c r="M979" i="14"/>
  <c r="O979" i="14" s="1"/>
  <c r="M983" i="14"/>
  <c r="O983" i="14" s="1"/>
  <c r="M987" i="14"/>
  <c r="O987" i="14" s="1"/>
  <c r="M991" i="14"/>
  <c r="O991" i="14" s="1"/>
  <c r="M995" i="14"/>
  <c r="O995" i="14" s="1"/>
  <c r="M999" i="14"/>
  <c r="O999" i="14" s="1"/>
  <c r="M1003" i="14"/>
  <c r="O1003" i="14" s="1"/>
  <c r="M1007" i="14"/>
  <c r="O1007" i="14" s="1"/>
  <c r="M1011" i="14"/>
  <c r="O1011" i="14" s="1"/>
  <c r="M1015" i="14"/>
  <c r="O1015" i="14" s="1"/>
  <c r="M1019" i="14"/>
  <c r="O1019" i="14" s="1"/>
  <c r="M1023" i="14"/>
  <c r="O1023" i="14" s="1"/>
  <c r="M1027" i="14"/>
  <c r="O1027" i="14" s="1"/>
  <c r="M1031" i="14"/>
  <c r="O1031" i="14" s="1"/>
  <c r="M1035" i="14"/>
  <c r="O1035" i="14" s="1"/>
  <c r="M1039" i="14"/>
  <c r="O1039" i="14" s="1"/>
  <c r="M1043" i="14"/>
  <c r="O1043" i="14" s="1"/>
  <c r="M1047" i="14"/>
  <c r="O1047" i="14" s="1"/>
  <c r="M1051" i="14"/>
  <c r="O1051" i="14" s="1"/>
  <c r="M1055" i="14"/>
  <c r="O1055" i="14" s="1"/>
  <c r="M1059" i="14"/>
  <c r="O1059" i="14" s="1"/>
  <c r="M1063" i="14"/>
  <c r="O1063" i="14" s="1"/>
  <c r="M1067" i="14"/>
  <c r="O1067" i="14" s="1"/>
  <c r="M1071" i="14"/>
  <c r="O1071" i="14" s="1"/>
  <c r="M1075" i="14"/>
  <c r="O1075" i="14" s="1"/>
  <c r="M1079" i="14"/>
  <c r="O1079" i="14" s="1"/>
  <c r="M1083" i="14"/>
  <c r="O1083" i="14" s="1"/>
  <c r="M1087" i="14"/>
  <c r="O1087" i="14" s="1"/>
  <c r="M1091" i="14"/>
  <c r="O1091" i="14" s="1"/>
  <c r="M1095" i="14"/>
  <c r="O1095" i="14" s="1"/>
  <c r="M1099" i="14"/>
  <c r="O1099" i="14" s="1"/>
  <c r="M1103" i="14"/>
  <c r="O1103" i="14" s="1"/>
  <c r="M1107" i="14"/>
  <c r="O1107" i="14" s="1"/>
  <c r="M1111" i="14"/>
  <c r="O1111" i="14" s="1"/>
  <c r="M1115" i="14"/>
  <c r="O1115" i="14" s="1"/>
  <c r="M1119" i="14"/>
  <c r="O1119" i="14" s="1"/>
  <c r="M1123" i="14"/>
  <c r="O1123" i="14" s="1"/>
  <c r="M1127" i="14"/>
  <c r="O1127" i="14" s="1"/>
  <c r="M1131" i="14"/>
  <c r="O1131" i="14" s="1"/>
  <c r="M1135" i="14"/>
  <c r="O1135" i="14" s="1"/>
  <c r="M1139" i="14"/>
  <c r="O1139" i="14" s="1"/>
  <c r="M1143" i="14"/>
  <c r="O1143" i="14" s="1"/>
  <c r="M1147" i="14"/>
  <c r="O1147" i="14" s="1"/>
  <c r="M1151" i="14"/>
  <c r="O1151" i="14" s="1"/>
  <c r="M1155" i="14"/>
  <c r="O1155" i="14" s="1"/>
  <c r="M1159" i="14"/>
  <c r="O1159" i="14" s="1"/>
  <c r="M1163" i="14"/>
  <c r="O1163" i="14" s="1"/>
  <c r="M1167" i="14"/>
  <c r="O1167" i="14" s="1"/>
  <c r="M1171" i="14"/>
  <c r="O1171" i="14" s="1"/>
  <c r="M1175" i="14"/>
  <c r="O1175" i="14" s="1"/>
  <c r="M1179" i="14"/>
  <c r="O1179" i="14" s="1"/>
  <c r="M1183" i="14"/>
  <c r="O1183" i="14" s="1"/>
  <c r="M1187" i="14"/>
  <c r="O1187" i="14" s="1"/>
  <c r="M1191" i="14"/>
  <c r="O1191" i="14" s="1"/>
  <c r="M1195" i="14"/>
  <c r="O1195" i="14" s="1"/>
  <c r="M1199" i="14"/>
  <c r="O1199" i="14" s="1"/>
  <c r="M1203" i="14"/>
  <c r="O1203" i="14" s="1"/>
  <c r="M1207" i="14"/>
  <c r="O1207" i="14" s="1"/>
  <c r="M1211" i="14"/>
  <c r="O1211" i="14" s="1"/>
  <c r="M1215" i="14"/>
  <c r="O1215" i="14" s="1"/>
  <c r="M1219" i="14"/>
  <c r="O1219" i="14" s="1"/>
  <c r="M1223" i="14"/>
  <c r="O1223" i="14" s="1"/>
  <c r="M1227" i="14"/>
  <c r="O1227" i="14" s="1"/>
  <c r="M1231" i="14"/>
  <c r="O1231" i="14" s="1"/>
  <c r="M1235" i="14"/>
  <c r="O1235" i="14" s="1"/>
  <c r="M1239" i="14"/>
  <c r="O1239" i="14" s="1"/>
  <c r="M1243" i="14"/>
  <c r="O1243" i="14" s="1"/>
  <c r="M1247" i="14"/>
  <c r="O1247" i="14" s="1"/>
  <c r="M1251" i="14"/>
  <c r="O1251" i="14" s="1"/>
  <c r="M1255" i="14"/>
  <c r="O1255" i="14" s="1"/>
  <c r="M1259" i="14"/>
  <c r="O1259" i="14" s="1"/>
  <c r="M1263" i="14"/>
  <c r="O1263" i="14" s="1"/>
  <c r="M1267" i="14"/>
  <c r="O1267" i="14" s="1"/>
  <c r="M1271" i="14"/>
  <c r="O1271" i="14" s="1"/>
  <c r="M1275" i="14"/>
  <c r="O1275" i="14" s="1"/>
  <c r="M1279" i="14"/>
  <c r="O1279" i="14" s="1"/>
  <c r="M1283" i="14"/>
  <c r="O1283" i="14" s="1"/>
  <c r="M87" i="14"/>
  <c r="O87" i="14" s="1"/>
  <c r="M135" i="14"/>
  <c r="O135" i="14" s="1"/>
  <c r="M183" i="14"/>
  <c r="O183" i="14" s="1"/>
  <c r="M231" i="14"/>
  <c r="O231" i="14" s="1"/>
  <c r="M279" i="14"/>
  <c r="O279" i="14" s="1"/>
  <c r="M327" i="14"/>
  <c r="O327" i="14" s="1"/>
  <c r="M359" i="14"/>
  <c r="O359" i="14" s="1"/>
  <c r="M423" i="14"/>
  <c r="O423" i="14" s="1"/>
  <c r="M471" i="14"/>
  <c r="O471" i="14" s="1"/>
  <c r="M519" i="14"/>
  <c r="O519" i="14" s="1"/>
  <c r="M551" i="14"/>
  <c r="O551" i="14" s="1"/>
  <c r="M615" i="14"/>
  <c r="O615" i="14" s="1"/>
  <c r="M643" i="14"/>
  <c r="O643" i="14" s="1"/>
  <c r="M675" i="14"/>
  <c r="O675" i="14" s="1"/>
  <c r="M691" i="14"/>
  <c r="O691" i="14" s="1"/>
  <c r="M713" i="14"/>
  <c r="O713" i="14" s="1"/>
  <c r="M721" i="14"/>
  <c r="O721" i="14" s="1"/>
  <c r="M733" i="14"/>
  <c r="O733" i="14" s="1"/>
  <c r="M749" i="14"/>
  <c r="O749" i="14" s="1"/>
  <c r="M761" i="14"/>
  <c r="O761" i="14" s="1"/>
  <c r="M769" i="14"/>
  <c r="O769" i="14" s="1"/>
  <c r="M781" i="14"/>
  <c r="O781" i="14" s="1"/>
  <c r="M797" i="14"/>
  <c r="O797" i="14" s="1"/>
  <c r="M805" i="14"/>
  <c r="O805" i="14" s="1"/>
  <c r="M821" i="14"/>
  <c r="O821" i="14" s="1"/>
  <c r="M833" i="14"/>
  <c r="O833" i="14" s="1"/>
  <c r="M845" i="14"/>
  <c r="O845" i="14" s="1"/>
  <c r="M857" i="14"/>
  <c r="O857" i="14" s="1"/>
  <c r="M869" i="14"/>
  <c r="O869" i="14" s="1"/>
  <c r="M877" i="14"/>
  <c r="O877" i="14" s="1"/>
  <c r="M889" i="14"/>
  <c r="O889" i="14" s="1"/>
  <c r="M905" i="14"/>
  <c r="O905" i="14" s="1"/>
  <c r="M917" i="14"/>
  <c r="O917" i="14" s="1"/>
  <c r="M929" i="14"/>
  <c r="O929" i="14" s="1"/>
  <c r="M937" i="14"/>
  <c r="O937" i="14" s="1"/>
  <c r="M949" i="14"/>
  <c r="O949" i="14" s="1"/>
  <c r="M965" i="14"/>
  <c r="O965" i="14" s="1"/>
  <c r="M973" i="14"/>
  <c r="O973" i="14" s="1"/>
  <c r="M989" i="14"/>
  <c r="O989" i="14" s="1"/>
  <c r="M997" i="14"/>
  <c r="O997" i="14" s="1"/>
  <c r="M1005" i="14"/>
  <c r="O1005" i="14" s="1"/>
  <c r="M1017" i="14"/>
  <c r="O1017" i="14" s="1"/>
  <c r="M1021" i="14"/>
  <c r="O1021" i="14" s="1"/>
  <c r="M1033" i="14"/>
  <c r="O1033" i="14" s="1"/>
  <c r="M1045" i="14"/>
  <c r="O1045" i="14" s="1"/>
  <c r="M1053" i="14"/>
  <c r="O1053" i="14" s="1"/>
  <c r="M1065" i="14"/>
  <c r="O1065" i="14" s="1"/>
  <c r="M1073" i="14"/>
  <c r="O1073" i="14" s="1"/>
  <c r="M1081" i="14"/>
  <c r="O1081" i="14" s="1"/>
  <c r="M1089" i="14"/>
  <c r="O1089" i="14" s="1"/>
  <c r="M1101" i="14"/>
  <c r="O1101" i="14" s="1"/>
  <c r="M1109" i="14"/>
  <c r="O1109" i="14" s="1"/>
  <c r="M1121" i="14"/>
  <c r="O1121" i="14" s="1"/>
  <c r="M1129" i="14"/>
  <c r="O1129" i="14" s="1"/>
  <c r="M1141" i="14"/>
  <c r="O1141" i="14" s="1"/>
  <c r="M1153" i="14"/>
  <c r="O1153" i="14" s="1"/>
  <c r="M1165" i="14"/>
  <c r="O1165" i="14" s="1"/>
  <c r="M1173" i="14"/>
  <c r="O1173" i="14" s="1"/>
  <c r="M1185" i="14"/>
  <c r="O1185" i="14" s="1"/>
  <c r="M1197" i="14"/>
  <c r="O1197" i="14" s="1"/>
  <c r="M1213" i="14"/>
  <c r="O1213" i="14" s="1"/>
  <c r="M1221" i="14"/>
  <c r="O1221" i="14" s="1"/>
  <c r="M1241" i="14"/>
  <c r="O1241" i="14" s="1"/>
  <c r="M1253" i="14"/>
  <c r="O1253" i="14" s="1"/>
  <c r="M1261" i="14"/>
  <c r="O1261" i="14" s="1"/>
  <c r="M1277" i="14"/>
  <c r="O1277" i="14" s="1"/>
  <c r="M35" i="14"/>
  <c r="O35" i="14" s="1"/>
  <c r="M51" i="14"/>
  <c r="O51" i="14" s="1"/>
  <c r="M67" i="14"/>
  <c r="O67" i="14" s="1"/>
  <c r="M83" i="14"/>
  <c r="O83" i="14" s="1"/>
  <c r="M99" i="14"/>
  <c r="O99" i="14" s="1"/>
  <c r="M115" i="14"/>
  <c r="O115" i="14" s="1"/>
  <c r="M131" i="14"/>
  <c r="O131" i="14" s="1"/>
  <c r="M147" i="14"/>
  <c r="O147" i="14" s="1"/>
  <c r="M163" i="14"/>
  <c r="O163" i="14" s="1"/>
  <c r="M179" i="14"/>
  <c r="O179" i="14" s="1"/>
  <c r="M195" i="14"/>
  <c r="O195" i="14" s="1"/>
  <c r="M211" i="14"/>
  <c r="O211" i="14" s="1"/>
  <c r="M227" i="14"/>
  <c r="O227" i="14" s="1"/>
  <c r="M243" i="14"/>
  <c r="O243" i="14" s="1"/>
  <c r="M259" i="14"/>
  <c r="O259" i="14" s="1"/>
  <c r="M275" i="14"/>
  <c r="O275" i="14" s="1"/>
  <c r="M291" i="14"/>
  <c r="O291" i="14" s="1"/>
  <c r="M307" i="14"/>
  <c r="O307" i="14" s="1"/>
  <c r="M323" i="14"/>
  <c r="O323" i="14" s="1"/>
  <c r="M339" i="14"/>
  <c r="O339" i="14" s="1"/>
  <c r="M355" i="14"/>
  <c r="O355" i="14" s="1"/>
  <c r="M371" i="14"/>
  <c r="O371" i="14" s="1"/>
  <c r="M387" i="14"/>
  <c r="O387" i="14" s="1"/>
  <c r="M403" i="14"/>
  <c r="O403" i="14" s="1"/>
  <c r="M419" i="14"/>
  <c r="O419" i="14" s="1"/>
  <c r="M435" i="14"/>
  <c r="O435" i="14" s="1"/>
  <c r="M451" i="14"/>
  <c r="O451" i="14" s="1"/>
  <c r="M467" i="14"/>
  <c r="O467" i="14" s="1"/>
  <c r="M483" i="14"/>
  <c r="O483" i="14" s="1"/>
  <c r="M499" i="14"/>
  <c r="O499" i="14" s="1"/>
  <c r="M515" i="14"/>
  <c r="O515" i="14" s="1"/>
  <c r="M531" i="14"/>
  <c r="O531" i="14" s="1"/>
  <c r="M547" i="14"/>
  <c r="O547" i="14" s="1"/>
  <c r="M563" i="14"/>
  <c r="O563" i="14" s="1"/>
  <c r="M579" i="14"/>
  <c r="O579" i="14" s="1"/>
  <c r="M595" i="14"/>
  <c r="O595" i="14" s="1"/>
  <c r="M611" i="14"/>
  <c r="O611" i="14" s="1"/>
  <c r="M624" i="14"/>
  <c r="O624" i="14" s="1"/>
  <c r="M632" i="14"/>
  <c r="O632" i="14" s="1"/>
  <c r="M640" i="14"/>
  <c r="O640" i="14" s="1"/>
  <c r="M648" i="14"/>
  <c r="O648" i="14" s="1"/>
  <c r="M656" i="14"/>
  <c r="O656" i="14" s="1"/>
  <c r="M664" i="14"/>
  <c r="O664" i="14" s="1"/>
  <c r="M672" i="14"/>
  <c r="O672" i="14" s="1"/>
  <c r="M680" i="14"/>
  <c r="O680" i="14" s="1"/>
  <c r="M688" i="14"/>
  <c r="O688" i="14" s="1"/>
  <c r="M696" i="14"/>
  <c r="O696" i="14" s="1"/>
  <c r="M703" i="14"/>
  <c r="O703" i="14" s="1"/>
  <c r="M708" i="14"/>
  <c r="O708" i="14" s="1"/>
  <c r="M712" i="14"/>
  <c r="O712" i="14" s="1"/>
  <c r="M716" i="14"/>
  <c r="O716" i="14" s="1"/>
  <c r="M720" i="14"/>
  <c r="O720" i="14" s="1"/>
  <c r="M724" i="14"/>
  <c r="O724" i="14" s="1"/>
  <c r="M728" i="14"/>
  <c r="O728" i="14" s="1"/>
  <c r="M732" i="14"/>
  <c r="O732" i="14" s="1"/>
  <c r="M736" i="14"/>
  <c r="O736" i="14" s="1"/>
  <c r="M740" i="14"/>
  <c r="O740" i="14" s="1"/>
  <c r="M744" i="14"/>
  <c r="O744" i="14" s="1"/>
  <c r="M748" i="14"/>
  <c r="O748" i="14" s="1"/>
  <c r="M752" i="14"/>
  <c r="O752" i="14" s="1"/>
  <c r="M756" i="14"/>
  <c r="O756" i="14" s="1"/>
  <c r="M760" i="14"/>
  <c r="O760" i="14" s="1"/>
  <c r="M764" i="14"/>
  <c r="O764" i="14" s="1"/>
  <c r="M768" i="14"/>
  <c r="O768" i="14" s="1"/>
  <c r="M772" i="14"/>
  <c r="O772" i="14" s="1"/>
  <c r="M776" i="14"/>
  <c r="O776" i="14" s="1"/>
  <c r="M780" i="14"/>
  <c r="O780" i="14" s="1"/>
  <c r="M784" i="14"/>
  <c r="O784" i="14" s="1"/>
  <c r="M788" i="14"/>
  <c r="O788" i="14" s="1"/>
  <c r="M792" i="14"/>
  <c r="O792" i="14" s="1"/>
  <c r="M796" i="14"/>
  <c r="O796" i="14" s="1"/>
  <c r="M800" i="14"/>
  <c r="O800" i="14" s="1"/>
  <c r="M804" i="14"/>
  <c r="O804" i="14" s="1"/>
  <c r="M808" i="14"/>
  <c r="O808" i="14" s="1"/>
  <c r="M812" i="14"/>
  <c r="O812" i="14" s="1"/>
  <c r="M816" i="14"/>
  <c r="O816" i="14" s="1"/>
  <c r="M820" i="14"/>
  <c r="O820" i="14" s="1"/>
  <c r="M824" i="14"/>
  <c r="O824" i="14" s="1"/>
  <c r="M828" i="14"/>
  <c r="O828" i="14" s="1"/>
  <c r="M832" i="14"/>
  <c r="O832" i="14" s="1"/>
  <c r="M836" i="14"/>
  <c r="O836" i="14" s="1"/>
  <c r="M840" i="14"/>
  <c r="O840" i="14" s="1"/>
  <c r="M844" i="14"/>
  <c r="O844" i="14" s="1"/>
  <c r="M848" i="14"/>
  <c r="O848" i="14" s="1"/>
  <c r="M852" i="14"/>
  <c r="O852" i="14" s="1"/>
  <c r="M856" i="14"/>
  <c r="O856" i="14" s="1"/>
  <c r="M860" i="14"/>
  <c r="O860" i="14" s="1"/>
  <c r="M864" i="14"/>
  <c r="O864" i="14" s="1"/>
  <c r="M868" i="14"/>
  <c r="O868" i="14" s="1"/>
  <c r="M872" i="14"/>
  <c r="O872" i="14" s="1"/>
  <c r="M876" i="14"/>
  <c r="O876" i="14" s="1"/>
  <c r="M880" i="14"/>
  <c r="O880" i="14" s="1"/>
  <c r="M884" i="14"/>
  <c r="O884" i="14" s="1"/>
  <c r="M888" i="14"/>
  <c r="O888" i="14" s="1"/>
  <c r="M892" i="14"/>
  <c r="O892" i="14" s="1"/>
  <c r="M896" i="14"/>
  <c r="O896" i="14" s="1"/>
  <c r="M900" i="14"/>
  <c r="O900" i="14" s="1"/>
  <c r="M904" i="14"/>
  <c r="O904" i="14" s="1"/>
  <c r="M908" i="14"/>
  <c r="O908" i="14" s="1"/>
  <c r="M912" i="14"/>
  <c r="O912" i="14" s="1"/>
  <c r="M916" i="14"/>
  <c r="O916" i="14" s="1"/>
  <c r="M920" i="14"/>
  <c r="O920" i="14" s="1"/>
  <c r="M924" i="14"/>
  <c r="O924" i="14" s="1"/>
  <c r="M928" i="14"/>
  <c r="O928" i="14" s="1"/>
  <c r="M932" i="14"/>
  <c r="O932" i="14" s="1"/>
  <c r="M936" i="14"/>
  <c r="O936" i="14" s="1"/>
  <c r="M940" i="14"/>
  <c r="O940" i="14" s="1"/>
  <c r="M944" i="14"/>
  <c r="O944" i="14" s="1"/>
  <c r="M948" i="14"/>
  <c r="O948" i="14" s="1"/>
  <c r="M952" i="14"/>
  <c r="O952" i="14" s="1"/>
  <c r="M956" i="14"/>
  <c r="O956" i="14" s="1"/>
  <c r="M960" i="14"/>
  <c r="O960" i="14" s="1"/>
  <c r="M964" i="14"/>
  <c r="O964" i="14" s="1"/>
  <c r="M968" i="14"/>
  <c r="O968" i="14" s="1"/>
  <c r="M972" i="14"/>
  <c r="O972" i="14" s="1"/>
  <c r="M976" i="14"/>
  <c r="O976" i="14" s="1"/>
  <c r="M980" i="14"/>
  <c r="O980" i="14" s="1"/>
  <c r="M984" i="14"/>
  <c r="O984" i="14" s="1"/>
  <c r="M988" i="14"/>
  <c r="O988" i="14" s="1"/>
  <c r="M992" i="14"/>
  <c r="O992" i="14" s="1"/>
  <c r="M996" i="14"/>
  <c r="O996" i="14" s="1"/>
  <c r="M1000" i="14"/>
  <c r="O1000" i="14" s="1"/>
  <c r="M1004" i="14"/>
  <c r="O1004" i="14" s="1"/>
  <c r="M1008" i="14"/>
  <c r="O1008" i="14" s="1"/>
  <c r="M1012" i="14"/>
  <c r="O1012" i="14" s="1"/>
  <c r="M1016" i="14"/>
  <c r="O1016" i="14" s="1"/>
  <c r="M1020" i="14"/>
  <c r="O1020" i="14" s="1"/>
  <c r="M1024" i="14"/>
  <c r="O1024" i="14" s="1"/>
  <c r="M1028" i="14"/>
  <c r="O1028" i="14" s="1"/>
  <c r="M1032" i="14"/>
  <c r="O1032" i="14" s="1"/>
  <c r="M1036" i="14"/>
  <c r="O1036" i="14" s="1"/>
  <c r="M1040" i="14"/>
  <c r="O1040" i="14" s="1"/>
  <c r="M1044" i="14"/>
  <c r="O1044" i="14" s="1"/>
  <c r="M1048" i="14"/>
  <c r="O1048" i="14" s="1"/>
  <c r="M1052" i="14"/>
  <c r="O1052" i="14" s="1"/>
  <c r="M1056" i="14"/>
  <c r="O1056" i="14" s="1"/>
  <c r="M1060" i="14"/>
  <c r="O1060" i="14" s="1"/>
  <c r="M1064" i="14"/>
  <c r="O1064" i="14" s="1"/>
  <c r="M1068" i="14"/>
  <c r="O1068" i="14" s="1"/>
  <c r="M1072" i="14"/>
  <c r="O1072" i="14" s="1"/>
  <c r="M1076" i="14"/>
  <c r="O1076" i="14" s="1"/>
  <c r="M1080" i="14"/>
  <c r="O1080" i="14" s="1"/>
  <c r="M1084" i="14"/>
  <c r="O1084" i="14" s="1"/>
  <c r="M1088" i="14"/>
  <c r="O1088" i="14" s="1"/>
  <c r="M1092" i="14"/>
  <c r="O1092" i="14" s="1"/>
  <c r="M1096" i="14"/>
  <c r="O1096" i="14" s="1"/>
  <c r="M1100" i="14"/>
  <c r="O1100" i="14" s="1"/>
  <c r="M1104" i="14"/>
  <c r="O1104" i="14" s="1"/>
  <c r="M1108" i="14"/>
  <c r="O1108" i="14" s="1"/>
  <c r="M1112" i="14"/>
  <c r="O1112" i="14" s="1"/>
  <c r="M1116" i="14"/>
  <c r="O1116" i="14" s="1"/>
  <c r="M1120" i="14"/>
  <c r="O1120" i="14" s="1"/>
  <c r="M1124" i="14"/>
  <c r="O1124" i="14" s="1"/>
  <c r="M1128" i="14"/>
  <c r="O1128" i="14" s="1"/>
  <c r="M1132" i="14"/>
  <c r="O1132" i="14" s="1"/>
  <c r="M1136" i="14"/>
  <c r="O1136" i="14" s="1"/>
  <c r="M1140" i="14"/>
  <c r="O1140" i="14" s="1"/>
  <c r="M1144" i="14"/>
  <c r="O1144" i="14" s="1"/>
  <c r="M1148" i="14"/>
  <c r="O1148" i="14" s="1"/>
  <c r="M1152" i="14"/>
  <c r="O1152" i="14" s="1"/>
  <c r="M1156" i="14"/>
  <c r="O1156" i="14" s="1"/>
  <c r="M1160" i="14"/>
  <c r="O1160" i="14" s="1"/>
  <c r="M1164" i="14"/>
  <c r="O1164" i="14" s="1"/>
  <c r="M1168" i="14"/>
  <c r="O1168" i="14" s="1"/>
  <c r="M1172" i="14"/>
  <c r="O1172" i="14" s="1"/>
  <c r="M1176" i="14"/>
  <c r="O1176" i="14" s="1"/>
  <c r="M1180" i="14"/>
  <c r="O1180" i="14" s="1"/>
  <c r="M1184" i="14"/>
  <c r="O1184" i="14" s="1"/>
  <c r="M1188" i="14"/>
  <c r="O1188" i="14" s="1"/>
  <c r="M1192" i="14"/>
  <c r="O1192" i="14" s="1"/>
  <c r="M1196" i="14"/>
  <c r="O1196" i="14" s="1"/>
  <c r="M1200" i="14"/>
  <c r="O1200" i="14" s="1"/>
  <c r="M1204" i="14"/>
  <c r="O1204" i="14" s="1"/>
  <c r="M1208" i="14"/>
  <c r="O1208" i="14" s="1"/>
  <c r="M1212" i="14"/>
  <c r="O1212" i="14" s="1"/>
  <c r="M1216" i="14"/>
  <c r="O1216" i="14" s="1"/>
  <c r="M1220" i="14"/>
  <c r="O1220" i="14" s="1"/>
  <c r="M1224" i="14"/>
  <c r="O1224" i="14" s="1"/>
  <c r="M1228" i="14"/>
  <c r="O1228" i="14" s="1"/>
  <c r="M1232" i="14"/>
  <c r="O1232" i="14" s="1"/>
  <c r="M1236" i="14"/>
  <c r="O1236" i="14" s="1"/>
  <c r="M1240" i="14"/>
  <c r="O1240" i="14" s="1"/>
  <c r="M1244" i="14"/>
  <c r="O1244" i="14" s="1"/>
  <c r="M1248" i="14"/>
  <c r="O1248" i="14" s="1"/>
  <c r="M1252" i="14"/>
  <c r="O1252" i="14" s="1"/>
  <c r="M1256" i="14"/>
  <c r="O1256" i="14" s="1"/>
  <c r="M1260" i="14"/>
  <c r="O1260" i="14" s="1"/>
  <c r="M1264" i="14"/>
  <c r="O1264" i="14" s="1"/>
  <c r="M1268" i="14"/>
  <c r="O1268" i="14" s="1"/>
  <c r="M1272" i="14"/>
  <c r="O1272" i="14" s="1"/>
  <c r="M1276" i="14"/>
  <c r="O1276" i="14" s="1"/>
  <c r="M1280" i="14"/>
  <c r="O1280" i="14" s="1"/>
  <c r="M1284" i="14"/>
  <c r="O1284" i="14" s="1"/>
  <c r="M39" i="14"/>
  <c r="O39" i="14" s="1"/>
  <c r="M55" i="14"/>
  <c r="O55" i="14" s="1"/>
  <c r="M103" i="14"/>
  <c r="O103" i="14" s="1"/>
  <c r="M151" i="14"/>
  <c r="O151" i="14" s="1"/>
  <c r="M199" i="14"/>
  <c r="O199" i="14" s="1"/>
  <c r="M247" i="14"/>
  <c r="O247" i="14" s="1"/>
  <c r="M295" i="14"/>
  <c r="O295" i="14" s="1"/>
  <c r="M343" i="14"/>
  <c r="O343" i="14" s="1"/>
  <c r="M391" i="14"/>
  <c r="O391" i="14" s="1"/>
  <c r="M439" i="14"/>
  <c r="O439" i="14" s="1"/>
  <c r="M487" i="14"/>
  <c r="O487" i="14" s="1"/>
  <c r="M535" i="14"/>
  <c r="O535" i="14" s="1"/>
  <c r="M583" i="14"/>
  <c r="O583" i="14" s="1"/>
  <c r="M599" i="14"/>
  <c r="O599" i="14" s="1"/>
  <c r="M635" i="14"/>
  <c r="O635" i="14" s="1"/>
  <c r="M659" i="14"/>
  <c r="O659" i="14" s="1"/>
  <c r="M683" i="14"/>
  <c r="O683" i="14" s="1"/>
  <c r="M704" i="14"/>
  <c r="O704" i="14" s="1"/>
  <c r="M717" i="14"/>
  <c r="O717" i="14" s="1"/>
  <c r="M729" i="14"/>
  <c r="O729" i="14" s="1"/>
  <c r="M741" i="14"/>
  <c r="O741" i="14" s="1"/>
  <c r="M753" i="14"/>
  <c r="O753" i="14" s="1"/>
  <c r="M765" i="14"/>
  <c r="O765" i="14" s="1"/>
  <c r="M777" i="14"/>
  <c r="O777" i="14" s="1"/>
  <c r="M789" i="14"/>
  <c r="O789" i="14" s="1"/>
  <c r="M801" i="14"/>
  <c r="O801" i="14" s="1"/>
  <c r="M813" i="14"/>
  <c r="O813" i="14" s="1"/>
  <c r="M825" i="14"/>
  <c r="O825" i="14" s="1"/>
  <c r="M837" i="14"/>
  <c r="O837" i="14" s="1"/>
  <c r="M849" i="14"/>
  <c r="O849" i="14" s="1"/>
  <c r="M861" i="14"/>
  <c r="O861" i="14" s="1"/>
  <c r="M873" i="14"/>
  <c r="O873" i="14" s="1"/>
  <c r="M885" i="14"/>
  <c r="O885" i="14" s="1"/>
  <c r="M897" i="14"/>
  <c r="O897" i="14" s="1"/>
  <c r="M909" i="14"/>
  <c r="O909" i="14" s="1"/>
  <c r="M921" i="14"/>
  <c r="O921" i="14" s="1"/>
  <c r="M933" i="14"/>
  <c r="O933" i="14" s="1"/>
  <c r="M945" i="14"/>
  <c r="O945" i="14" s="1"/>
  <c r="M957" i="14"/>
  <c r="O957" i="14" s="1"/>
  <c r="M969" i="14"/>
  <c r="O969" i="14" s="1"/>
  <c r="M981" i="14"/>
  <c r="O981" i="14" s="1"/>
  <c r="M993" i="14"/>
  <c r="O993" i="14" s="1"/>
  <c r="M1029" i="14"/>
  <c r="O1029" i="14" s="1"/>
  <c r="M1049" i="14"/>
  <c r="O1049" i="14" s="1"/>
  <c r="M1069" i="14"/>
  <c r="O1069" i="14" s="1"/>
  <c r="M1097" i="14"/>
  <c r="O1097" i="14" s="1"/>
  <c r="M1117" i="14"/>
  <c r="O1117" i="14" s="1"/>
  <c r="M1137" i="14"/>
  <c r="O1137" i="14" s="1"/>
  <c r="M1157" i="14"/>
  <c r="O1157" i="14" s="1"/>
  <c r="M1169" i="14"/>
  <c r="O1169" i="14" s="1"/>
  <c r="M1181" i="14"/>
  <c r="O1181" i="14" s="1"/>
  <c r="M1193" i="14"/>
  <c r="O1193" i="14" s="1"/>
  <c r="M1205" i="14"/>
  <c r="O1205" i="14" s="1"/>
  <c r="M1217" i="14"/>
  <c r="O1217" i="14" s="1"/>
  <c r="M1229" i="14"/>
  <c r="O1229" i="14" s="1"/>
  <c r="M1237" i="14"/>
  <c r="O1237" i="14" s="1"/>
  <c r="M1249" i="14"/>
  <c r="O1249" i="14" s="1"/>
  <c r="M1265" i="14"/>
  <c r="O1265" i="14" s="1"/>
  <c r="M1273" i="14"/>
  <c r="O1273" i="14" s="1"/>
  <c r="M1281" i="14"/>
  <c r="O1281" i="14" s="1"/>
  <c r="Q6" i="14"/>
  <c r="P6" i="14"/>
  <c r="I172" i="8"/>
  <c r="I173" i="8"/>
  <c r="I174" i="8"/>
  <c r="I175" i="8"/>
  <c r="I176" i="8"/>
  <c r="I177" i="8"/>
  <c r="I178" i="8"/>
  <c r="I179" i="8"/>
  <c r="I180" i="8"/>
  <c r="I181" i="8"/>
  <c r="M523" i="14" l="1"/>
  <c r="O523" i="14" s="1"/>
  <c r="M459" i="14"/>
  <c r="O459" i="14" s="1"/>
  <c r="M395" i="14"/>
  <c r="O395" i="14" s="1"/>
  <c r="M331" i="14"/>
  <c r="O331" i="14" s="1"/>
  <c r="M267" i="14"/>
  <c r="O267" i="14" s="1"/>
  <c r="M203" i="14"/>
  <c r="O203" i="14" s="1"/>
  <c r="M139" i="14"/>
  <c r="O139" i="14" s="1"/>
  <c r="M75" i="14"/>
  <c r="O75" i="14" s="1"/>
  <c r="M698" i="14"/>
  <c r="O698" i="14" s="1"/>
  <c r="M682" i="14"/>
  <c r="O682" i="14" s="1"/>
  <c r="M666" i="14"/>
  <c r="O666" i="14" s="1"/>
  <c r="M650" i="14"/>
  <c r="O650" i="14" s="1"/>
  <c r="M634" i="14"/>
  <c r="O634" i="14" s="1"/>
  <c r="M618" i="14"/>
  <c r="O618" i="14" s="1"/>
  <c r="M602" i="14"/>
  <c r="O602" i="14" s="1"/>
  <c r="M586" i="14"/>
  <c r="O586" i="14" s="1"/>
  <c r="M570" i="14"/>
  <c r="O570" i="14" s="1"/>
  <c r="M550" i="14"/>
  <c r="O550" i="14" s="1"/>
  <c r="M518" i="14"/>
  <c r="O518" i="14" s="1"/>
  <c r="M490" i="14"/>
  <c r="O490" i="14" s="1"/>
  <c r="M466" i="14"/>
  <c r="O466" i="14" s="1"/>
  <c r="M434" i="14"/>
  <c r="O434" i="14" s="1"/>
  <c r="M406" i="14"/>
  <c r="O406" i="14" s="1"/>
  <c r="M378" i="14"/>
  <c r="O378" i="14" s="1"/>
  <c r="M346" i="14"/>
  <c r="O346" i="14" s="1"/>
  <c r="M322" i="14"/>
  <c r="O322" i="14" s="1"/>
  <c r="M294" i="14"/>
  <c r="O294" i="14" s="1"/>
  <c r="M262" i="14"/>
  <c r="O262" i="14" s="1"/>
  <c r="M230" i="14"/>
  <c r="O230" i="14" s="1"/>
  <c r="M186" i="14"/>
  <c r="O186" i="14" s="1"/>
  <c r="M146" i="14"/>
  <c r="O146" i="14" s="1"/>
  <c r="M102" i="14"/>
  <c r="O102" i="14" s="1"/>
  <c r="M58" i="14"/>
  <c r="O58" i="14" s="1"/>
  <c r="M705" i="14"/>
  <c r="O705" i="14" s="1"/>
  <c r="M645" i="14"/>
  <c r="O645" i="14" s="1"/>
  <c r="M581" i="14"/>
  <c r="O581" i="14" s="1"/>
  <c r="M517" i="14"/>
  <c r="O517" i="14" s="1"/>
  <c r="M453" i="14"/>
  <c r="O453" i="14" s="1"/>
  <c r="M369" i="14"/>
  <c r="O369" i="14" s="1"/>
  <c r="M269" i="14"/>
  <c r="O269" i="14" s="1"/>
  <c r="M496" i="14"/>
  <c r="O496" i="14" s="1"/>
  <c r="M534" i="14"/>
  <c r="O534" i="14" s="1"/>
  <c r="M506" i="14"/>
  <c r="O506" i="14" s="1"/>
  <c r="M474" i="14"/>
  <c r="O474" i="14" s="1"/>
  <c r="M450" i="14"/>
  <c r="O450" i="14" s="1"/>
  <c r="M422" i="14"/>
  <c r="O422" i="14" s="1"/>
  <c r="M390" i="14"/>
  <c r="O390" i="14" s="1"/>
  <c r="M362" i="14"/>
  <c r="O362" i="14" s="1"/>
  <c r="M338" i="14"/>
  <c r="O338" i="14" s="1"/>
  <c r="M306" i="14"/>
  <c r="O306" i="14" s="1"/>
  <c r="M278" i="14"/>
  <c r="O278" i="14" s="1"/>
  <c r="M250" i="14"/>
  <c r="O250" i="14" s="1"/>
  <c r="M210" i="14"/>
  <c r="O210" i="14" s="1"/>
  <c r="M166" i="14"/>
  <c r="O166" i="14" s="1"/>
  <c r="M122" i="14"/>
  <c r="O122" i="14" s="1"/>
  <c r="M82" i="14"/>
  <c r="O82" i="14" s="1"/>
  <c r="M38" i="14"/>
  <c r="O38" i="14" s="1"/>
  <c r="M677" i="14"/>
  <c r="O677" i="14" s="1"/>
  <c r="M613" i="14"/>
  <c r="O613" i="14" s="1"/>
  <c r="M549" i="14"/>
  <c r="O549" i="14" s="1"/>
  <c r="M485" i="14"/>
  <c r="O485" i="14" s="1"/>
  <c r="M409" i="14"/>
  <c r="O409" i="14" s="1"/>
  <c r="M325" i="14"/>
  <c r="O325" i="14" s="1"/>
  <c r="M201" i="14"/>
  <c r="O201" i="14" s="1"/>
  <c r="M686" i="14"/>
  <c r="O686" i="14" s="1"/>
  <c r="M670" i="14"/>
  <c r="O670" i="14" s="1"/>
  <c r="M654" i="14"/>
  <c r="O654" i="14" s="1"/>
  <c r="M638" i="14"/>
  <c r="O638" i="14" s="1"/>
  <c r="M622" i="14"/>
  <c r="O622" i="14" s="1"/>
  <c r="M606" i="14"/>
  <c r="O606" i="14" s="1"/>
  <c r="M590" i="14"/>
  <c r="O590" i="14" s="1"/>
  <c r="M574" i="14"/>
  <c r="O574" i="14" s="1"/>
  <c r="M554" i="14"/>
  <c r="O554" i="14" s="1"/>
  <c r="M530" i="14"/>
  <c r="O530" i="14" s="1"/>
  <c r="M498" i="14"/>
  <c r="O498" i="14" s="1"/>
  <c r="M470" i="14"/>
  <c r="O470" i="14" s="1"/>
  <c r="M442" i="14"/>
  <c r="O442" i="14" s="1"/>
  <c r="M410" i="14"/>
  <c r="O410" i="14" s="1"/>
  <c r="M386" i="14"/>
  <c r="O386" i="14" s="1"/>
  <c r="M358" i="14"/>
  <c r="O358" i="14" s="1"/>
  <c r="M326" i="14"/>
  <c r="O326" i="14" s="1"/>
  <c r="M298" i="14"/>
  <c r="O298" i="14" s="1"/>
  <c r="M274" i="14"/>
  <c r="O274" i="14" s="1"/>
  <c r="M234" i="14"/>
  <c r="O234" i="14" s="1"/>
  <c r="M194" i="14"/>
  <c r="O194" i="14" s="1"/>
  <c r="M150" i="14"/>
  <c r="O150" i="14" s="1"/>
  <c r="M106" i="14"/>
  <c r="O106" i="14" s="1"/>
  <c r="M66" i="14"/>
  <c r="O66" i="14" s="1"/>
  <c r="M673" i="14"/>
  <c r="O673" i="14" s="1"/>
  <c r="M609" i="14"/>
  <c r="O609" i="14" s="1"/>
  <c r="M545" i="14"/>
  <c r="O545" i="14" s="1"/>
  <c r="M481" i="14"/>
  <c r="O481" i="14" s="1"/>
  <c r="M405" i="14"/>
  <c r="O405" i="14" s="1"/>
  <c r="M321" i="14"/>
  <c r="O321" i="14" s="1"/>
  <c r="M141" i="14"/>
  <c r="O141" i="14" s="1"/>
  <c r="M546" i="14"/>
  <c r="O546" i="14" s="1"/>
  <c r="M522" i="14"/>
  <c r="O522" i="14" s="1"/>
  <c r="M502" i="14"/>
  <c r="O502" i="14" s="1"/>
  <c r="M482" i="14"/>
  <c r="O482" i="14" s="1"/>
  <c r="M458" i="14"/>
  <c r="O458" i="14" s="1"/>
  <c r="M438" i="14"/>
  <c r="O438" i="14" s="1"/>
  <c r="M418" i="14"/>
  <c r="O418" i="14" s="1"/>
  <c r="M394" i="14"/>
  <c r="O394" i="14" s="1"/>
  <c r="M374" i="14"/>
  <c r="O374" i="14" s="1"/>
  <c r="M354" i="14"/>
  <c r="O354" i="14" s="1"/>
  <c r="M330" i="14"/>
  <c r="O330" i="14" s="1"/>
  <c r="M310" i="14"/>
  <c r="O310" i="14" s="1"/>
  <c r="M290" i="14"/>
  <c r="O290" i="14" s="1"/>
  <c r="M266" i="14"/>
  <c r="O266" i="14" s="1"/>
  <c r="M246" i="14"/>
  <c r="O246" i="14" s="1"/>
  <c r="M226" i="14"/>
  <c r="O226" i="14" s="1"/>
  <c r="M202" i="14"/>
  <c r="O202" i="14" s="1"/>
  <c r="M182" i="14"/>
  <c r="O182" i="14" s="1"/>
  <c r="M162" i="14"/>
  <c r="O162" i="14" s="1"/>
  <c r="M138" i="14"/>
  <c r="O138" i="14" s="1"/>
  <c r="M118" i="14"/>
  <c r="O118" i="14" s="1"/>
  <c r="M98" i="14"/>
  <c r="O98" i="14" s="1"/>
  <c r="M74" i="14"/>
  <c r="O74" i="14" s="1"/>
  <c r="M54" i="14"/>
  <c r="O54" i="14" s="1"/>
  <c r="M34" i="14"/>
  <c r="O34" i="14" s="1"/>
  <c r="M693" i="14"/>
  <c r="O693" i="14" s="1"/>
  <c r="M661" i="14"/>
  <c r="O661" i="14" s="1"/>
  <c r="M629" i="14"/>
  <c r="O629" i="14" s="1"/>
  <c r="M597" i="14"/>
  <c r="O597" i="14" s="1"/>
  <c r="M565" i="14"/>
  <c r="O565" i="14" s="1"/>
  <c r="M533" i="14"/>
  <c r="O533" i="14" s="1"/>
  <c r="M501" i="14"/>
  <c r="O501" i="14" s="1"/>
  <c r="M469" i="14"/>
  <c r="O469" i="14" s="1"/>
  <c r="M433" i="14"/>
  <c r="O433" i="14" s="1"/>
  <c r="M389" i="14"/>
  <c r="O389" i="14" s="1"/>
  <c r="M345" i="14"/>
  <c r="O345" i="14" s="1"/>
  <c r="M301" i="14"/>
  <c r="O301" i="14" s="1"/>
  <c r="M241" i="14"/>
  <c r="O241" i="14" s="1"/>
  <c r="M81" i="14"/>
  <c r="O81" i="14" s="1"/>
  <c r="M242" i="14"/>
  <c r="O242" i="14" s="1"/>
  <c r="M218" i="14"/>
  <c r="O218" i="14" s="1"/>
  <c r="M198" i="14"/>
  <c r="O198" i="14" s="1"/>
  <c r="M178" i="14"/>
  <c r="O178" i="14" s="1"/>
  <c r="M154" i="14"/>
  <c r="O154" i="14" s="1"/>
  <c r="M134" i="14"/>
  <c r="O134" i="14" s="1"/>
  <c r="M114" i="14"/>
  <c r="O114" i="14" s="1"/>
  <c r="M90" i="14"/>
  <c r="O90" i="14" s="1"/>
  <c r="M70" i="14"/>
  <c r="O70" i="14" s="1"/>
  <c r="M50" i="14"/>
  <c r="O50" i="14" s="1"/>
  <c r="M689" i="14"/>
  <c r="O689" i="14" s="1"/>
  <c r="M657" i="14"/>
  <c r="O657" i="14" s="1"/>
  <c r="M625" i="14"/>
  <c r="O625" i="14" s="1"/>
  <c r="M593" i="14"/>
  <c r="O593" i="14" s="1"/>
  <c r="M561" i="14"/>
  <c r="O561" i="14" s="1"/>
  <c r="M529" i="14"/>
  <c r="O529" i="14" s="1"/>
  <c r="M497" i="14"/>
  <c r="O497" i="14" s="1"/>
  <c r="M465" i="14"/>
  <c r="O465" i="14" s="1"/>
  <c r="M425" i="14"/>
  <c r="O425" i="14" s="1"/>
  <c r="M385" i="14"/>
  <c r="O385" i="14" s="1"/>
  <c r="M341" i="14"/>
  <c r="O341" i="14" s="1"/>
  <c r="M289" i="14"/>
  <c r="O289" i="14" s="1"/>
  <c r="M237" i="14"/>
  <c r="O237" i="14" s="1"/>
  <c r="M29" i="14"/>
  <c r="O29" i="14" s="1"/>
  <c r="M205" i="14"/>
  <c r="O205" i="14" s="1"/>
  <c r="M145" i="14"/>
  <c r="O145" i="14" s="1"/>
  <c r="M93" i="14"/>
  <c r="O93" i="14" s="1"/>
  <c r="M33" i="14"/>
  <c r="O33" i="14" s="1"/>
  <c r="M528" i="14"/>
  <c r="O528" i="14" s="1"/>
  <c r="M88" i="14"/>
  <c r="O88" i="14" s="1"/>
  <c r="M685" i="14"/>
  <c r="O685" i="14" s="1"/>
  <c r="M669" i="14"/>
  <c r="O669" i="14" s="1"/>
  <c r="M653" i="14"/>
  <c r="O653" i="14" s="1"/>
  <c r="M637" i="14"/>
  <c r="O637" i="14" s="1"/>
  <c r="M621" i="14"/>
  <c r="O621" i="14" s="1"/>
  <c r="M605" i="14"/>
  <c r="O605" i="14" s="1"/>
  <c r="M589" i="14"/>
  <c r="O589" i="14" s="1"/>
  <c r="M573" i="14"/>
  <c r="O573" i="14" s="1"/>
  <c r="M557" i="14"/>
  <c r="O557" i="14" s="1"/>
  <c r="M541" i="14"/>
  <c r="O541" i="14" s="1"/>
  <c r="M525" i="14"/>
  <c r="O525" i="14" s="1"/>
  <c r="M509" i="14"/>
  <c r="O509" i="14" s="1"/>
  <c r="M493" i="14"/>
  <c r="O493" i="14" s="1"/>
  <c r="M477" i="14"/>
  <c r="O477" i="14" s="1"/>
  <c r="M461" i="14"/>
  <c r="O461" i="14" s="1"/>
  <c r="M441" i="14"/>
  <c r="O441" i="14" s="1"/>
  <c r="M421" i="14"/>
  <c r="O421" i="14" s="1"/>
  <c r="M401" i="14"/>
  <c r="O401" i="14" s="1"/>
  <c r="M377" i="14"/>
  <c r="O377" i="14" s="1"/>
  <c r="M357" i="14"/>
  <c r="O357" i="14" s="1"/>
  <c r="M337" i="14"/>
  <c r="O337" i="14" s="1"/>
  <c r="M313" i="14"/>
  <c r="O313" i="14" s="1"/>
  <c r="M285" i="14"/>
  <c r="O285" i="14" s="1"/>
  <c r="M257" i="14"/>
  <c r="O257" i="14" s="1"/>
  <c r="M225" i="14"/>
  <c r="O225" i="14" s="1"/>
  <c r="M177" i="14"/>
  <c r="O177" i="14" s="1"/>
  <c r="M121" i="14"/>
  <c r="O121" i="14" s="1"/>
  <c r="M61" i="14"/>
  <c r="O61" i="14" s="1"/>
  <c r="M604" i="14"/>
  <c r="O604" i="14" s="1"/>
  <c r="M344" i="14"/>
  <c r="O344" i="14" s="1"/>
  <c r="M558" i="14"/>
  <c r="O558" i="14" s="1"/>
  <c r="M542" i="14"/>
  <c r="O542" i="14" s="1"/>
  <c r="M526" i="14"/>
  <c r="O526" i="14" s="1"/>
  <c r="M510" i="14"/>
  <c r="O510" i="14" s="1"/>
  <c r="M494" i="14"/>
  <c r="O494" i="14" s="1"/>
  <c r="M478" i="14"/>
  <c r="O478" i="14" s="1"/>
  <c r="M462" i="14"/>
  <c r="O462" i="14" s="1"/>
  <c r="M446" i="14"/>
  <c r="O446" i="14" s="1"/>
  <c r="M430" i="14"/>
  <c r="O430" i="14" s="1"/>
  <c r="M414" i="14"/>
  <c r="O414" i="14" s="1"/>
  <c r="M398" i="14"/>
  <c r="O398" i="14" s="1"/>
  <c r="M382" i="14"/>
  <c r="O382" i="14" s="1"/>
  <c r="M366" i="14"/>
  <c r="O366" i="14" s="1"/>
  <c r="M350" i="14"/>
  <c r="O350" i="14" s="1"/>
  <c r="M334" i="14"/>
  <c r="O334" i="14" s="1"/>
  <c r="M318" i="14"/>
  <c r="O318" i="14" s="1"/>
  <c r="M302" i="14"/>
  <c r="O302" i="14" s="1"/>
  <c r="M286" i="14"/>
  <c r="O286" i="14" s="1"/>
  <c r="M270" i="14"/>
  <c r="O270" i="14" s="1"/>
  <c r="M254" i="14"/>
  <c r="O254" i="14" s="1"/>
  <c r="M238" i="14"/>
  <c r="O238" i="14" s="1"/>
  <c r="M222" i="14"/>
  <c r="O222" i="14" s="1"/>
  <c r="M206" i="14"/>
  <c r="O206" i="14" s="1"/>
  <c r="M190" i="14"/>
  <c r="O190" i="14" s="1"/>
  <c r="M174" i="14"/>
  <c r="O174" i="14" s="1"/>
  <c r="M158" i="14"/>
  <c r="O158" i="14" s="1"/>
  <c r="M142" i="14"/>
  <c r="O142" i="14" s="1"/>
  <c r="M126" i="14"/>
  <c r="O126" i="14" s="1"/>
  <c r="M110" i="14"/>
  <c r="O110" i="14" s="1"/>
  <c r="M94" i="14"/>
  <c r="O94" i="14" s="1"/>
  <c r="M78" i="14"/>
  <c r="O78" i="14" s="1"/>
  <c r="M62" i="14"/>
  <c r="O62" i="14" s="1"/>
  <c r="M46" i="14"/>
  <c r="O46" i="14" s="1"/>
  <c r="M30" i="14"/>
  <c r="O30" i="14" s="1"/>
  <c r="M697" i="14"/>
  <c r="O697" i="14" s="1"/>
  <c r="M681" i="14"/>
  <c r="O681" i="14" s="1"/>
  <c r="M665" i="14"/>
  <c r="O665" i="14" s="1"/>
  <c r="M649" i="14"/>
  <c r="O649" i="14" s="1"/>
  <c r="M633" i="14"/>
  <c r="O633" i="14" s="1"/>
  <c r="M617" i="14"/>
  <c r="O617" i="14" s="1"/>
  <c r="M601" i="14"/>
  <c r="O601" i="14" s="1"/>
  <c r="M585" i="14"/>
  <c r="O585" i="14" s="1"/>
  <c r="M569" i="14"/>
  <c r="O569" i="14" s="1"/>
  <c r="M553" i="14"/>
  <c r="O553" i="14" s="1"/>
  <c r="M537" i="14"/>
  <c r="O537" i="14" s="1"/>
  <c r="M521" i="14"/>
  <c r="O521" i="14" s="1"/>
  <c r="M505" i="14"/>
  <c r="O505" i="14" s="1"/>
  <c r="M489" i="14"/>
  <c r="O489" i="14" s="1"/>
  <c r="M473" i="14"/>
  <c r="O473" i="14" s="1"/>
  <c r="M457" i="14"/>
  <c r="O457" i="14" s="1"/>
  <c r="M437" i="14"/>
  <c r="O437" i="14" s="1"/>
  <c r="M417" i="14"/>
  <c r="O417" i="14" s="1"/>
  <c r="M393" i="14"/>
  <c r="O393" i="14" s="1"/>
  <c r="M373" i="14"/>
  <c r="O373" i="14" s="1"/>
  <c r="M353" i="14"/>
  <c r="O353" i="14" s="1"/>
  <c r="M329" i="14"/>
  <c r="O329" i="14" s="1"/>
  <c r="M305" i="14"/>
  <c r="O305" i="14" s="1"/>
  <c r="M281" i="14"/>
  <c r="O281" i="14" s="1"/>
  <c r="M249" i="14"/>
  <c r="O249" i="14" s="1"/>
  <c r="M221" i="14"/>
  <c r="O221" i="14" s="1"/>
  <c r="M169" i="14"/>
  <c r="O169" i="14" s="1"/>
  <c r="M113" i="14"/>
  <c r="O113" i="14" s="1"/>
  <c r="M57" i="14"/>
  <c r="O57" i="14" s="1"/>
  <c r="M588" i="14"/>
  <c r="O588" i="14" s="1"/>
  <c r="M280" i="14"/>
  <c r="O280" i="14" s="1"/>
  <c r="M217" i="14"/>
  <c r="O217" i="14" s="1"/>
  <c r="M189" i="14"/>
  <c r="O189" i="14" s="1"/>
  <c r="M161" i="14"/>
  <c r="O161" i="14" s="1"/>
  <c r="M137" i="14"/>
  <c r="O137" i="14" s="1"/>
  <c r="M105" i="14"/>
  <c r="O105" i="14" s="1"/>
  <c r="M77" i="14"/>
  <c r="O77" i="14" s="1"/>
  <c r="M49" i="14"/>
  <c r="O49" i="14" s="1"/>
  <c r="M612" i="14"/>
  <c r="O612" i="14" s="1"/>
  <c r="M580" i="14"/>
  <c r="O580" i="14" s="1"/>
  <c r="M464" i="14"/>
  <c r="O464" i="14" s="1"/>
  <c r="M216" i="14"/>
  <c r="O216" i="14" s="1"/>
  <c r="M445" i="14"/>
  <c r="O445" i="14" s="1"/>
  <c r="M429" i="14"/>
  <c r="O429" i="14" s="1"/>
  <c r="M413" i="14"/>
  <c r="O413" i="14" s="1"/>
  <c r="M397" i="14"/>
  <c r="O397" i="14" s="1"/>
  <c r="M381" i="14"/>
  <c r="O381" i="14" s="1"/>
  <c r="M365" i="14"/>
  <c r="O365" i="14" s="1"/>
  <c r="M349" i="14"/>
  <c r="O349" i="14" s="1"/>
  <c r="M333" i="14"/>
  <c r="O333" i="14" s="1"/>
  <c r="M317" i="14"/>
  <c r="O317" i="14" s="1"/>
  <c r="M297" i="14"/>
  <c r="O297" i="14" s="1"/>
  <c r="M273" i="14"/>
  <c r="O273" i="14" s="1"/>
  <c r="M253" i="14"/>
  <c r="O253" i="14" s="1"/>
  <c r="M233" i="14"/>
  <c r="O233" i="14" s="1"/>
  <c r="M209" i="14"/>
  <c r="O209" i="14" s="1"/>
  <c r="M185" i="14"/>
  <c r="O185" i="14" s="1"/>
  <c r="M157" i="14"/>
  <c r="O157" i="14" s="1"/>
  <c r="M125" i="14"/>
  <c r="O125" i="14" s="1"/>
  <c r="M97" i="14"/>
  <c r="O97" i="14" s="1"/>
  <c r="M73" i="14"/>
  <c r="O73" i="14" s="1"/>
  <c r="M41" i="14"/>
  <c r="O41" i="14" s="1"/>
  <c r="M608" i="14"/>
  <c r="O608" i="14" s="1"/>
  <c r="M560" i="14"/>
  <c r="O560" i="14" s="1"/>
  <c r="M408" i="14"/>
  <c r="O408" i="14" s="1"/>
  <c r="M152" i="14"/>
  <c r="O152" i="14" s="1"/>
  <c r="M592" i="14"/>
  <c r="O592" i="14" s="1"/>
  <c r="M564" i="14"/>
  <c r="O564" i="14" s="1"/>
  <c r="M532" i="14"/>
  <c r="O532" i="14" s="1"/>
  <c r="M500" i="14"/>
  <c r="O500" i="14" s="1"/>
  <c r="M468" i="14"/>
  <c r="O468" i="14" s="1"/>
  <c r="M420" i="14"/>
  <c r="O420" i="14" s="1"/>
  <c r="M356" i="14"/>
  <c r="O356" i="14" s="1"/>
  <c r="M292" i="14"/>
  <c r="O292" i="14" s="1"/>
  <c r="M228" i="14"/>
  <c r="O228" i="14" s="1"/>
  <c r="M164" i="14"/>
  <c r="O164" i="14" s="1"/>
  <c r="M100" i="14"/>
  <c r="O100" i="14" s="1"/>
  <c r="M36" i="14"/>
  <c r="O36" i="14" s="1"/>
  <c r="M548" i="14"/>
  <c r="O548" i="14" s="1"/>
  <c r="M516" i="14"/>
  <c r="O516" i="14" s="1"/>
  <c r="M484" i="14"/>
  <c r="O484" i="14" s="1"/>
  <c r="M448" i="14"/>
  <c r="O448" i="14" s="1"/>
  <c r="M388" i="14"/>
  <c r="O388" i="14" s="1"/>
  <c r="M324" i="14"/>
  <c r="O324" i="14" s="1"/>
  <c r="M260" i="14"/>
  <c r="O260" i="14" s="1"/>
  <c r="M196" i="14"/>
  <c r="O196" i="14" s="1"/>
  <c r="M132" i="14"/>
  <c r="O132" i="14" s="1"/>
  <c r="M68" i="14"/>
  <c r="O68" i="14" s="1"/>
  <c r="M193" i="14"/>
  <c r="O193" i="14" s="1"/>
  <c r="M173" i="14"/>
  <c r="O173" i="14" s="1"/>
  <c r="M153" i="14"/>
  <c r="O153" i="14" s="1"/>
  <c r="M129" i="14"/>
  <c r="O129" i="14" s="1"/>
  <c r="M109" i="14"/>
  <c r="O109" i="14" s="1"/>
  <c r="M89" i="14"/>
  <c r="O89" i="14" s="1"/>
  <c r="M65" i="14"/>
  <c r="O65" i="14" s="1"/>
  <c r="M45" i="14"/>
  <c r="O45" i="14" s="1"/>
  <c r="M620" i="14"/>
  <c r="O620" i="14" s="1"/>
  <c r="M596" i="14"/>
  <c r="O596" i="14" s="1"/>
  <c r="M576" i="14"/>
  <c r="O576" i="14" s="1"/>
  <c r="M544" i="14"/>
  <c r="O544" i="14" s="1"/>
  <c r="M512" i="14"/>
  <c r="O512" i="14" s="1"/>
  <c r="M480" i="14"/>
  <c r="O480" i="14" s="1"/>
  <c r="M440" i="14"/>
  <c r="O440" i="14" s="1"/>
  <c r="M376" i="14"/>
  <c r="O376" i="14" s="1"/>
  <c r="M312" i="14"/>
  <c r="O312" i="14" s="1"/>
  <c r="M248" i="14"/>
  <c r="O248" i="14" s="1"/>
  <c r="M184" i="14"/>
  <c r="O184" i="14" s="1"/>
  <c r="M120" i="14"/>
  <c r="O120" i="14" s="1"/>
  <c r="M56" i="14"/>
  <c r="O56" i="14" s="1"/>
  <c r="M572" i="14"/>
  <c r="O572" i="14" s="1"/>
  <c r="M556" i="14"/>
  <c r="O556" i="14" s="1"/>
  <c r="M540" i="14"/>
  <c r="O540" i="14" s="1"/>
  <c r="M524" i="14"/>
  <c r="O524" i="14" s="1"/>
  <c r="M508" i="14"/>
  <c r="O508" i="14" s="1"/>
  <c r="M492" i="14"/>
  <c r="O492" i="14" s="1"/>
  <c r="M476" i="14"/>
  <c r="O476" i="14" s="1"/>
  <c r="M456" i="14"/>
  <c r="O456" i="14" s="1"/>
  <c r="M436" i="14"/>
  <c r="O436" i="14" s="1"/>
  <c r="M404" i="14"/>
  <c r="O404" i="14" s="1"/>
  <c r="M372" i="14"/>
  <c r="O372" i="14" s="1"/>
  <c r="M340" i="14"/>
  <c r="O340" i="14" s="1"/>
  <c r="M308" i="14"/>
  <c r="O308" i="14" s="1"/>
  <c r="M276" i="14"/>
  <c r="O276" i="14" s="1"/>
  <c r="M244" i="14"/>
  <c r="O244" i="14" s="1"/>
  <c r="M212" i="14"/>
  <c r="O212" i="14" s="1"/>
  <c r="M180" i="14"/>
  <c r="O180" i="14" s="1"/>
  <c r="M148" i="14"/>
  <c r="O148" i="14" s="1"/>
  <c r="M116" i="14"/>
  <c r="O116" i="14" s="1"/>
  <c r="M84" i="14"/>
  <c r="O84" i="14" s="1"/>
  <c r="M52" i="14"/>
  <c r="O52" i="14" s="1"/>
  <c r="M309" i="14"/>
  <c r="O309" i="14" s="1"/>
  <c r="M293" i="14"/>
  <c r="O293" i="14" s="1"/>
  <c r="M277" i="14"/>
  <c r="O277" i="14" s="1"/>
  <c r="M261" i="14"/>
  <c r="O261" i="14" s="1"/>
  <c r="M245" i="14"/>
  <c r="O245" i="14" s="1"/>
  <c r="M229" i="14"/>
  <c r="O229" i="14" s="1"/>
  <c r="M213" i="14"/>
  <c r="O213" i="14" s="1"/>
  <c r="M197" i="14"/>
  <c r="O197" i="14" s="1"/>
  <c r="M181" i="14"/>
  <c r="O181" i="14" s="1"/>
  <c r="M165" i="14"/>
  <c r="O165" i="14" s="1"/>
  <c r="M149" i="14"/>
  <c r="O149" i="14" s="1"/>
  <c r="M133" i="14"/>
  <c r="O133" i="14" s="1"/>
  <c r="M117" i="14"/>
  <c r="O117" i="14" s="1"/>
  <c r="M101" i="14"/>
  <c r="O101" i="14" s="1"/>
  <c r="M85" i="14"/>
  <c r="O85" i="14" s="1"/>
  <c r="M69" i="14"/>
  <c r="O69" i="14" s="1"/>
  <c r="M53" i="14"/>
  <c r="O53" i="14" s="1"/>
  <c r="M37" i="14"/>
  <c r="O37" i="14" s="1"/>
  <c r="M616" i="14"/>
  <c r="O616" i="14" s="1"/>
  <c r="M600" i="14"/>
  <c r="O600" i="14" s="1"/>
  <c r="M584" i="14"/>
  <c r="O584" i="14" s="1"/>
  <c r="M568" i="14"/>
  <c r="O568" i="14" s="1"/>
  <c r="M552" i="14"/>
  <c r="O552" i="14" s="1"/>
  <c r="M536" i="14"/>
  <c r="O536" i="14" s="1"/>
  <c r="M520" i="14"/>
  <c r="O520" i="14" s="1"/>
  <c r="M504" i="14"/>
  <c r="O504" i="14" s="1"/>
  <c r="M488" i="14"/>
  <c r="O488" i="14" s="1"/>
  <c r="M472" i="14"/>
  <c r="O472" i="14" s="1"/>
  <c r="M452" i="14"/>
  <c r="O452" i="14" s="1"/>
  <c r="M424" i="14"/>
  <c r="O424" i="14" s="1"/>
  <c r="M392" i="14"/>
  <c r="O392" i="14" s="1"/>
  <c r="M360" i="14"/>
  <c r="O360" i="14" s="1"/>
  <c r="M328" i="14"/>
  <c r="O328" i="14" s="1"/>
  <c r="M296" i="14"/>
  <c r="O296" i="14" s="1"/>
  <c r="M264" i="14"/>
  <c r="O264" i="14" s="1"/>
  <c r="M232" i="14"/>
  <c r="O232" i="14" s="1"/>
  <c r="M200" i="14"/>
  <c r="O200" i="14" s="1"/>
  <c r="M168" i="14"/>
  <c r="O168" i="14" s="1"/>
  <c r="M136" i="14"/>
  <c r="O136" i="14" s="1"/>
  <c r="M104" i="14"/>
  <c r="O104" i="14" s="1"/>
  <c r="M72" i="14"/>
  <c r="O72" i="14" s="1"/>
  <c r="M40" i="14"/>
  <c r="O40" i="14" s="1"/>
  <c r="P1273" i="14"/>
  <c r="N1273" i="14"/>
  <c r="P1181" i="14"/>
  <c r="N1181" i="14"/>
  <c r="P957" i="14"/>
  <c r="N957" i="14"/>
  <c r="P813" i="14"/>
  <c r="N813" i="14"/>
  <c r="P635" i="14"/>
  <c r="N635" i="14"/>
  <c r="P295" i="14"/>
  <c r="N295" i="14"/>
  <c r="P1280" i="14"/>
  <c r="N1280" i="14"/>
  <c r="P1264" i="14"/>
  <c r="N1264" i="14"/>
  <c r="P1232" i="14"/>
  <c r="N1232" i="14"/>
  <c r="P1200" i="14"/>
  <c r="N1200" i="14"/>
  <c r="P1152" i="14"/>
  <c r="N1152" i="14"/>
  <c r="P1104" i="14"/>
  <c r="N1104" i="14"/>
  <c r="P1056" i="14"/>
  <c r="N1056" i="14"/>
  <c r="P1008" i="14"/>
  <c r="N1008" i="14"/>
  <c r="P960" i="14"/>
  <c r="N960" i="14"/>
  <c r="P912" i="14"/>
  <c r="N912" i="14"/>
  <c r="P880" i="14"/>
  <c r="N880" i="14"/>
  <c r="P864" i="14"/>
  <c r="N864" i="14"/>
  <c r="P832" i="14"/>
  <c r="N832" i="14"/>
  <c r="P800" i="14"/>
  <c r="N800" i="14"/>
  <c r="P752" i="14"/>
  <c r="N752" i="14"/>
  <c r="P703" i="14"/>
  <c r="N703" i="14"/>
  <c r="P595" i="14"/>
  <c r="N595" i="14"/>
  <c r="P403" i="14"/>
  <c r="N403" i="14"/>
  <c r="P211" i="14"/>
  <c r="N211" i="14"/>
  <c r="P1277" i="14"/>
  <c r="N1277" i="14"/>
  <c r="P1173" i="14"/>
  <c r="N1173" i="14"/>
  <c r="P1053" i="14"/>
  <c r="N1053" i="14"/>
  <c r="P1017" i="14"/>
  <c r="N1017" i="14"/>
  <c r="P929" i="14"/>
  <c r="N929" i="14"/>
  <c r="P833" i="14"/>
  <c r="N833" i="14"/>
  <c r="P733" i="14"/>
  <c r="N733" i="14"/>
  <c r="P327" i="14"/>
  <c r="N327" i="14"/>
  <c r="P1259" i="14"/>
  <c r="N1259" i="14"/>
  <c r="P1211" i="14"/>
  <c r="N1211" i="14"/>
  <c r="P1163" i="14"/>
  <c r="N1163" i="14"/>
  <c r="P1131" i="14"/>
  <c r="N1131" i="14"/>
  <c r="P1083" i="14"/>
  <c r="N1083" i="14"/>
  <c r="P1035" i="14"/>
  <c r="N1035" i="14"/>
  <c r="P1019" i="14"/>
  <c r="N1019" i="14"/>
  <c r="P987" i="14"/>
  <c r="N987" i="14"/>
  <c r="P971" i="14"/>
  <c r="N971" i="14"/>
  <c r="P939" i="14"/>
  <c r="N939" i="14"/>
  <c r="P891" i="14"/>
  <c r="N891" i="14"/>
  <c r="P843" i="14"/>
  <c r="N843" i="14"/>
  <c r="P795" i="14"/>
  <c r="N795" i="14"/>
  <c r="P747" i="14"/>
  <c r="N747" i="14"/>
  <c r="P695" i="14"/>
  <c r="N695" i="14"/>
  <c r="P575" i="14"/>
  <c r="N575" i="14"/>
  <c r="P383" i="14"/>
  <c r="N383" i="14"/>
  <c r="P191" i="14"/>
  <c r="N191" i="14"/>
  <c r="P127" i="14"/>
  <c r="N127" i="14"/>
  <c r="P1257" i="14"/>
  <c r="N1257" i="14"/>
  <c r="P1161" i="14"/>
  <c r="N1161" i="14"/>
  <c r="P1085" i="14"/>
  <c r="N1085" i="14"/>
  <c r="P1009" i="14"/>
  <c r="N1009" i="14"/>
  <c r="P913" i="14"/>
  <c r="N913" i="14"/>
  <c r="P773" i="14"/>
  <c r="N773" i="14"/>
  <c r="P455" i="14"/>
  <c r="N455" i="14"/>
  <c r="P1270" i="14"/>
  <c r="N1270" i="14"/>
  <c r="P1222" i="14"/>
  <c r="N1222" i="14"/>
  <c r="P1174" i="14"/>
  <c r="N1174" i="14"/>
  <c r="P1229" i="14"/>
  <c r="N1229" i="14"/>
  <c r="P1029" i="14"/>
  <c r="N1029" i="14"/>
  <c r="P861" i="14"/>
  <c r="N861" i="14"/>
  <c r="P717" i="14"/>
  <c r="N717" i="14"/>
  <c r="P103" i="14"/>
  <c r="N103" i="14"/>
  <c r="P1248" i="14"/>
  <c r="N1248" i="14"/>
  <c r="P1216" i="14"/>
  <c r="N1216" i="14"/>
  <c r="P1184" i="14"/>
  <c r="N1184" i="14"/>
  <c r="P1120" i="14"/>
  <c r="N1120" i="14"/>
  <c r="P1088" i="14"/>
  <c r="N1088" i="14"/>
  <c r="P1040" i="14"/>
  <c r="N1040" i="14"/>
  <c r="P992" i="14"/>
  <c r="N992" i="14"/>
  <c r="P944" i="14"/>
  <c r="N944" i="14"/>
  <c r="P896" i="14"/>
  <c r="N896" i="14"/>
  <c r="P848" i="14"/>
  <c r="N848" i="14"/>
  <c r="P816" i="14"/>
  <c r="N816" i="14"/>
  <c r="P768" i="14"/>
  <c r="N768" i="14"/>
  <c r="P720" i="14"/>
  <c r="N720" i="14"/>
  <c r="P640" i="14"/>
  <c r="N640" i="14"/>
  <c r="P467" i="14"/>
  <c r="N467" i="14"/>
  <c r="P275" i="14"/>
  <c r="N275" i="14"/>
  <c r="P83" i="14"/>
  <c r="N83" i="14"/>
  <c r="P1129" i="14"/>
  <c r="N1129" i="14"/>
  <c r="P973" i="14"/>
  <c r="N973" i="14"/>
  <c r="P877" i="14"/>
  <c r="N877" i="14"/>
  <c r="P781" i="14"/>
  <c r="N781" i="14"/>
  <c r="P675" i="14"/>
  <c r="N675" i="14"/>
  <c r="P135" i="14"/>
  <c r="N135" i="14"/>
  <c r="P1243" i="14"/>
  <c r="N1243" i="14"/>
  <c r="P1195" i="14"/>
  <c r="N1195" i="14"/>
  <c r="P1147" i="14"/>
  <c r="N1147" i="14"/>
  <c r="P1099" i="14"/>
  <c r="N1099" i="14"/>
  <c r="P1051" i="14"/>
  <c r="N1051" i="14"/>
  <c r="P1003" i="14"/>
  <c r="N1003" i="14"/>
  <c r="P955" i="14"/>
  <c r="N955" i="14"/>
  <c r="P907" i="14"/>
  <c r="N907" i="14"/>
  <c r="P875" i="14"/>
  <c r="N875" i="14"/>
  <c r="P811" i="14"/>
  <c r="N811" i="14"/>
  <c r="P763" i="14"/>
  <c r="N763" i="14"/>
  <c r="P715" i="14"/>
  <c r="N715" i="14"/>
  <c r="P663" i="14"/>
  <c r="N663" i="14"/>
  <c r="P511" i="14"/>
  <c r="N511" i="14"/>
  <c r="P319" i="14"/>
  <c r="N319" i="14"/>
  <c r="P63" i="14"/>
  <c r="N63" i="14"/>
  <c r="P1209" i="14"/>
  <c r="N1209" i="14"/>
  <c r="P1125" i="14"/>
  <c r="N1125" i="14"/>
  <c r="P1041" i="14"/>
  <c r="N1041" i="14"/>
  <c r="P865" i="14"/>
  <c r="N865" i="14"/>
  <c r="P725" i="14"/>
  <c r="N725" i="14"/>
  <c r="P263" i="14"/>
  <c r="N263" i="14"/>
  <c r="P1254" i="14"/>
  <c r="N1254" i="14"/>
  <c r="P1206" i="14"/>
  <c r="N1206" i="14"/>
  <c r="P1158" i="14"/>
  <c r="N1158" i="14"/>
  <c r="P1281" i="14"/>
  <c r="N1281" i="14"/>
  <c r="P1237" i="14"/>
  <c r="N1237" i="14"/>
  <c r="P1193" i="14"/>
  <c r="N1193" i="14"/>
  <c r="P1137" i="14"/>
  <c r="N1137" i="14"/>
  <c r="P1049" i="14"/>
  <c r="N1049" i="14"/>
  <c r="P969" i="14"/>
  <c r="N969" i="14"/>
  <c r="P921" i="14"/>
  <c r="N921" i="14"/>
  <c r="P873" i="14"/>
  <c r="N873" i="14"/>
  <c r="P825" i="14"/>
  <c r="N825" i="14"/>
  <c r="P777" i="14"/>
  <c r="N777" i="14"/>
  <c r="N729" i="14"/>
  <c r="P729" i="14"/>
  <c r="P659" i="14"/>
  <c r="N659" i="14"/>
  <c r="P535" i="14"/>
  <c r="N535" i="14"/>
  <c r="P343" i="14"/>
  <c r="N343" i="14"/>
  <c r="P151" i="14"/>
  <c r="N151" i="14"/>
  <c r="P1284" i="14"/>
  <c r="N1284" i="14"/>
  <c r="P1268" i="14"/>
  <c r="N1268" i="14"/>
  <c r="P1252" i="14"/>
  <c r="N1252" i="14"/>
  <c r="P1236" i="14"/>
  <c r="N1236" i="14"/>
  <c r="P1220" i="14"/>
  <c r="N1220" i="14"/>
  <c r="P1204" i="14"/>
  <c r="N1204" i="14"/>
  <c r="P1188" i="14"/>
  <c r="N1188" i="14"/>
  <c r="P1172" i="14"/>
  <c r="N1172" i="14"/>
  <c r="P1156" i="14"/>
  <c r="N1156" i="14"/>
  <c r="P1140" i="14"/>
  <c r="N1140" i="14"/>
  <c r="P1124" i="14"/>
  <c r="N1124" i="14"/>
  <c r="P1108" i="14"/>
  <c r="N1108" i="14"/>
  <c r="P1092" i="14"/>
  <c r="N1092" i="14"/>
  <c r="P1076" i="14"/>
  <c r="N1076" i="14"/>
  <c r="P1060" i="14"/>
  <c r="N1060" i="14"/>
  <c r="P1044" i="14"/>
  <c r="N1044" i="14"/>
  <c r="P1028" i="14"/>
  <c r="N1028" i="14"/>
  <c r="P1012" i="14"/>
  <c r="N1012" i="14"/>
  <c r="P996" i="14"/>
  <c r="N996" i="14"/>
  <c r="P980" i="14"/>
  <c r="N980" i="14"/>
  <c r="P964" i="14"/>
  <c r="N964" i="14"/>
  <c r="P948" i="14"/>
  <c r="N948" i="14"/>
  <c r="P932" i="14"/>
  <c r="N932" i="14"/>
  <c r="P916" i="14"/>
  <c r="N916" i="14"/>
  <c r="P900" i="14"/>
  <c r="N900" i="14"/>
  <c r="P884" i="14"/>
  <c r="N884" i="14"/>
  <c r="P868" i="14"/>
  <c r="N868" i="14"/>
  <c r="P852" i="14"/>
  <c r="N852" i="14"/>
  <c r="P836" i="14"/>
  <c r="N836" i="14"/>
  <c r="P820" i="14"/>
  <c r="N820" i="14"/>
  <c r="P804" i="14"/>
  <c r="N804" i="14"/>
  <c r="P788" i="14"/>
  <c r="N788" i="14"/>
  <c r="P772" i="14"/>
  <c r="N772" i="14"/>
  <c r="P756" i="14"/>
  <c r="N756" i="14"/>
  <c r="P740" i="14"/>
  <c r="N740" i="14"/>
  <c r="P724" i="14"/>
  <c r="N724" i="14"/>
  <c r="P708" i="14"/>
  <c r="N708" i="14"/>
  <c r="P680" i="14"/>
  <c r="N680" i="14"/>
  <c r="P648" i="14"/>
  <c r="N648" i="14"/>
  <c r="P611" i="14"/>
  <c r="N611" i="14"/>
  <c r="P547" i="14"/>
  <c r="N547" i="14"/>
  <c r="P483" i="14"/>
  <c r="N483" i="14"/>
  <c r="P419" i="14"/>
  <c r="N419" i="14"/>
  <c r="P355" i="14"/>
  <c r="N355" i="14"/>
  <c r="P291" i="14"/>
  <c r="N291" i="14"/>
  <c r="P227" i="14"/>
  <c r="N227" i="14"/>
  <c r="P1117" i="14"/>
  <c r="N1117" i="14"/>
  <c r="P909" i="14"/>
  <c r="N909" i="14"/>
  <c r="P765" i="14"/>
  <c r="N765" i="14"/>
  <c r="P487" i="14"/>
  <c r="N487" i="14"/>
  <c r="P1168" i="14"/>
  <c r="N1168" i="14"/>
  <c r="P1136" i="14"/>
  <c r="N1136" i="14"/>
  <c r="P1072" i="14"/>
  <c r="N1072" i="14"/>
  <c r="P1024" i="14"/>
  <c r="N1024" i="14"/>
  <c r="P976" i="14"/>
  <c r="N976" i="14"/>
  <c r="P928" i="14"/>
  <c r="N928" i="14"/>
  <c r="P784" i="14"/>
  <c r="N784" i="14"/>
  <c r="P736" i="14"/>
  <c r="N736" i="14"/>
  <c r="P672" i="14"/>
  <c r="N672" i="14"/>
  <c r="P531" i="14"/>
  <c r="N531" i="14"/>
  <c r="P339" i="14"/>
  <c r="N339" i="14"/>
  <c r="P147" i="14"/>
  <c r="N147" i="14"/>
  <c r="P1221" i="14"/>
  <c r="N1221" i="14"/>
  <c r="P1089" i="14"/>
  <c r="N1089" i="14"/>
  <c r="P519" i="14"/>
  <c r="N519" i="14"/>
  <c r="P1275" i="14"/>
  <c r="N1275" i="14"/>
  <c r="P1227" i="14"/>
  <c r="N1227" i="14"/>
  <c r="P1179" i="14"/>
  <c r="N1179" i="14"/>
  <c r="P1115" i="14"/>
  <c r="N1115" i="14"/>
  <c r="P1067" i="14"/>
  <c r="N1067" i="14"/>
  <c r="P923" i="14"/>
  <c r="N923" i="14"/>
  <c r="P859" i="14"/>
  <c r="N859" i="14"/>
  <c r="P827" i="14"/>
  <c r="N827" i="14"/>
  <c r="P779" i="14"/>
  <c r="N779" i="14"/>
  <c r="P731" i="14"/>
  <c r="N731" i="14"/>
  <c r="P631" i="14"/>
  <c r="N631" i="14"/>
  <c r="P447" i="14"/>
  <c r="N447" i="14"/>
  <c r="P255" i="14"/>
  <c r="N255" i="14"/>
  <c r="P961" i="14"/>
  <c r="N961" i="14"/>
  <c r="P817" i="14"/>
  <c r="N817" i="14"/>
  <c r="P651" i="14"/>
  <c r="N651" i="14"/>
  <c r="P71" i="14"/>
  <c r="N71" i="14"/>
  <c r="P1238" i="14"/>
  <c r="N1238" i="14"/>
  <c r="P1190" i="14"/>
  <c r="N1190" i="14"/>
  <c r="P1142" i="14"/>
  <c r="N1142" i="14"/>
  <c r="P163" i="14"/>
  <c r="N163" i="14"/>
  <c r="P99" i="14"/>
  <c r="N99" i="14"/>
  <c r="P35" i="14"/>
  <c r="N35" i="14"/>
  <c r="P1241" i="14"/>
  <c r="N1241" i="14"/>
  <c r="P1185" i="14"/>
  <c r="N1185" i="14"/>
  <c r="P1141" i="14"/>
  <c r="N1141" i="14"/>
  <c r="P1101" i="14"/>
  <c r="N1101" i="14"/>
  <c r="P1065" i="14"/>
  <c r="N1065" i="14"/>
  <c r="P1021" i="14"/>
  <c r="N1021" i="14"/>
  <c r="P989" i="14"/>
  <c r="N989" i="14"/>
  <c r="P937" i="14"/>
  <c r="N937" i="14"/>
  <c r="P889" i="14"/>
  <c r="N889" i="14"/>
  <c r="P845" i="14"/>
  <c r="N845" i="14"/>
  <c r="P797" i="14"/>
  <c r="N797" i="14"/>
  <c r="P749" i="14"/>
  <c r="N749" i="14"/>
  <c r="P691" i="14"/>
  <c r="N691" i="14"/>
  <c r="P551" i="14"/>
  <c r="N551" i="14"/>
  <c r="P359" i="14"/>
  <c r="N359" i="14"/>
  <c r="P183" i="14"/>
  <c r="N183" i="14"/>
  <c r="P1279" i="14"/>
  <c r="N1279" i="14"/>
  <c r="P1263" i="14"/>
  <c r="N1263" i="14"/>
  <c r="P1247" i="14"/>
  <c r="N1247" i="14"/>
  <c r="P1231" i="14"/>
  <c r="N1231" i="14"/>
  <c r="P1215" i="14"/>
  <c r="N1215" i="14"/>
  <c r="P1199" i="14"/>
  <c r="N1199" i="14"/>
  <c r="P1183" i="14"/>
  <c r="N1183" i="14"/>
  <c r="P1167" i="14"/>
  <c r="N1167" i="14"/>
  <c r="P1151" i="14"/>
  <c r="N1151" i="14"/>
  <c r="P1135" i="14"/>
  <c r="N1135" i="14"/>
  <c r="P1119" i="14"/>
  <c r="N1119" i="14"/>
  <c r="P1103" i="14"/>
  <c r="N1103" i="14"/>
  <c r="P1087" i="14"/>
  <c r="N1087" i="14"/>
  <c r="P1071" i="14"/>
  <c r="N1071" i="14"/>
  <c r="P1055" i="14"/>
  <c r="N1055" i="14"/>
  <c r="P1039" i="14"/>
  <c r="N1039" i="14"/>
  <c r="P1023" i="14"/>
  <c r="N1023" i="14"/>
  <c r="P1007" i="14"/>
  <c r="N1007" i="14"/>
  <c r="P991" i="14"/>
  <c r="N991" i="14"/>
  <c r="P975" i="14"/>
  <c r="N975" i="14"/>
  <c r="P959" i="14"/>
  <c r="N959" i="14"/>
  <c r="P943" i="14"/>
  <c r="N943" i="14"/>
  <c r="P927" i="14"/>
  <c r="N927" i="14"/>
  <c r="P911" i="14"/>
  <c r="N911" i="14"/>
  <c r="P895" i="14"/>
  <c r="N895" i="14"/>
  <c r="P879" i="14"/>
  <c r="N879" i="14"/>
  <c r="P863" i="14"/>
  <c r="N863" i="14"/>
  <c r="P847" i="14"/>
  <c r="N847" i="14"/>
  <c r="P831" i="14"/>
  <c r="N831" i="14"/>
  <c r="P815" i="14"/>
  <c r="N815" i="14"/>
  <c r="P799" i="14"/>
  <c r="N799" i="14"/>
  <c r="P783" i="14"/>
  <c r="N783" i="14"/>
  <c r="P767" i="14"/>
  <c r="N767" i="14"/>
  <c r="P751" i="14"/>
  <c r="N751" i="14"/>
  <c r="P735" i="14"/>
  <c r="N735" i="14"/>
  <c r="P719" i="14"/>
  <c r="N719" i="14"/>
  <c r="P702" i="14"/>
  <c r="N702" i="14"/>
  <c r="P671" i="14"/>
  <c r="N671" i="14"/>
  <c r="P639" i="14"/>
  <c r="N639" i="14"/>
  <c r="P591" i="14"/>
  <c r="N591" i="14"/>
  <c r="P527" i="14"/>
  <c r="N527" i="14"/>
  <c r="P463" i="14"/>
  <c r="N463" i="14"/>
  <c r="P399" i="14"/>
  <c r="N399" i="14"/>
  <c r="P335" i="14"/>
  <c r="N335" i="14"/>
  <c r="P271" i="14"/>
  <c r="N271" i="14"/>
  <c r="P207" i="14"/>
  <c r="N207" i="14"/>
  <c r="P143" i="14"/>
  <c r="N143" i="14"/>
  <c r="P79" i="14"/>
  <c r="N79" i="14"/>
  <c r="P1269" i="14"/>
  <c r="N1269" i="14"/>
  <c r="P1225" i="14"/>
  <c r="N1225" i="14"/>
  <c r="P1177" i="14"/>
  <c r="N1177" i="14"/>
  <c r="P1133" i="14"/>
  <c r="N1133" i="14"/>
  <c r="P1093" i="14"/>
  <c r="N1093" i="14"/>
  <c r="P1057" i="14"/>
  <c r="N1057" i="14"/>
  <c r="P1013" i="14"/>
  <c r="N1013" i="14"/>
  <c r="P977" i="14"/>
  <c r="N977" i="14"/>
  <c r="P925" i="14"/>
  <c r="N925" i="14"/>
  <c r="P881" i="14"/>
  <c r="N881" i="14"/>
  <c r="P829" i="14"/>
  <c r="N829" i="14"/>
  <c r="P785" i="14"/>
  <c r="N785" i="14"/>
  <c r="P737" i="14"/>
  <c r="N737" i="14"/>
  <c r="P667" i="14"/>
  <c r="N667" i="14"/>
  <c r="P503" i="14"/>
  <c r="N503" i="14"/>
  <c r="P311" i="14"/>
  <c r="N311" i="14"/>
  <c r="P119" i="14"/>
  <c r="N119" i="14"/>
  <c r="P1274" i="14"/>
  <c r="N1274" i="14"/>
  <c r="P1258" i="14"/>
  <c r="N1258" i="14"/>
  <c r="P1242" i="14"/>
  <c r="N1242" i="14"/>
  <c r="P1226" i="14"/>
  <c r="N1226" i="14"/>
  <c r="P1210" i="14"/>
  <c r="N1210" i="14"/>
  <c r="P1194" i="14"/>
  <c r="N1194" i="14"/>
  <c r="P1178" i="14"/>
  <c r="N1178" i="14"/>
  <c r="P1162" i="14"/>
  <c r="N1162" i="14"/>
  <c r="P1146" i="14"/>
  <c r="N1146" i="14"/>
  <c r="P1130" i="14"/>
  <c r="N1130" i="14"/>
  <c r="P1114" i="14"/>
  <c r="N1114" i="14"/>
  <c r="P1098" i="14"/>
  <c r="N1098" i="14"/>
  <c r="P1082" i="14"/>
  <c r="N1082" i="14"/>
  <c r="P1066" i="14"/>
  <c r="N1066" i="14"/>
  <c r="P1050" i="14"/>
  <c r="N1050" i="14"/>
  <c r="P1034" i="14"/>
  <c r="N1034" i="14"/>
  <c r="P1018" i="14"/>
  <c r="N1018" i="14"/>
  <c r="P1002" i="14"/>
  <c r="N1002" i="14"/>
  <c r="P986" i="14"/>
  <c r="N986" i="14"/>
  <c r="P970" i="14"/>
  <c r="N970" i="14"/>
  <c r="P954" i="14"/>
  <c r="N954" i="14"/>
  <c r="P938" i="14"/>
  <c r="N938" i="14"/>
  <c r="P922" i="14"/>
  <c r="N922" i="14"/>
  <c r="P906" i="14"/>
  <c r="N906" i="14"/>
  <c r="P890" i="14"/>
  <c r="N890" i="14"/>
  <c r="P874" i="14"/>
  <c r="N874" i="14"/>
  <c r="P858" i="14"/>
  <c r="N858" i="14"/>
  <c r="P842" i="14"/>
  <c r="N842" i="14"/>
  <c r="P826" i="14"/>
  <c r="N826" i="14"/>
  <c r="P810" i="14"/>
  <c r="N810" i="14"/>
  <c r="P794" i="14"/>
  <c r="N794" i="14"/>
  <c r="P778" i="14"/>
  <c r="N778" i="14"/>
  <c r="P762" i="14"/>
  <c r="N762" i="14"/>
  <c r="P746" i="14"/>
  <c r="N746" i="14"/>
  <c r="P730" i="14"/>
  <c r="N730" i="14"/>
  <c r="P714" i="14"/>
  <c r="N714" i="14"/>
  <c r="P692" i="14"/>
  <c r="N692" i="14"/>
  <c r="P660" i="14"/>
  <c r="N660" i="14"/>
  <c r="P628" i="14"/>
  <c r="N628" i="14"/>
  <c r="P571" i="14"/>
  <c r="N571" i="14"/>
  <c r="P507" i="14"/>
  <c r="N507" i="14"/>
  <c r="P443" i="14"/>
  <c r="N443" i="14"/>
  <c r="P379" i="14"/>
  <c r="N379" i="14"/>
  <c r="P315" i="14"/>
  <c r="N315" i="14"/>
  <c r="P251" i="14"/>
  <c r="N251" i="14"/>
  <c r="P187" i="14"/>
  <c r="N187" i="14"/>
  <c r="P123" i="14"/>
  <c r="N123" i="14"/>
  <c r="P59" i="14"/>
  <c r="N59" i="14"/>
  <c r="P694" i="14"/>
  <c r="N694" i="14"/>
  <c r="P678" i="14"/>
  <c r="N678" i="14"/>
  <c r="P662" i="14"/>
  <c r="N662" i="14"/>
  <c r="P646" i="14"/>
  <c r="N646" i="14"/>
  <c r="P630" i="14"/>
  <c r="N630" i="14"/>
  <c r="P614" i="14"/>
  <c r="N614" i="14"/>
  <c r="P598" i="14"/>
  <c r="N598" i="14"/>
  <c r="P582" i="14"/>
  <c r="N582" i="14"/>
  <c r="P566" i="14"/>
  <c r="N566" i="14"/>
  <c r="P550" i="14"/>
  <c r="N550" i="14"/>
  <c r="P534" i="14"/>
  <c r="N534" i="14"/>
  <c r="P518" i="14"/>
  <c r="N518" i="14"/>
  <c r="P502" i="14"/>
  <c r="N502" i="14"/>
  <c r="P486" i="14"/>
  <c r="N486" i="14"/>
  <c r="P470" i="14"/>
  <c r="N470" i="14"/>
  <c r="P454" i="14"/>
  <c r="N454" i="14"/>
  <c r="P438" i="14"/>
  <c r="N438" i="14"/>
  <c r="P422" i="14"/>
  <c r="N422" i="14"/>
  <c r="P406" i="14"/>
  <c r="N406" i="14"/>
  <c r="P390" i="14"/>
  <c r="P374" i="14"/>
  <c r="N374" i="14"/>
  <c r="P342" i="14"/>
  <c r="N342" i="14"/>
  <c r="P326" i="14"/>
  <c r="N326" i="14"/>
  <c r="P310" i="14"/>
  <c r="P294" i="14"/>
  <c r="N294" i="14"/>
  <c r="P278" i="14"/>
  <c r="P262" i="14"/>
  <c r="P246" i="14"/>
  <c r="N246" i="14"/>
  <c r="P230" i="14"/>
  <c r="N230" i="14"/>
  <c r="P214" i="14"/>
  <c r="N214" i="14"/>
  <c r="P198" i="14"/>
  <c r="N198" i="14"/>
  <c r="P182" i="14"/>
  <c r="N182" i="14"/>
  <c r="P166" i="14"/>
  <c r="N166" i="14"/>
  <c r="P150" i="14"/>
  <c r="N150" i="14"/>
  <c r="N118" i="14"/>
  <c r="P102" i="14"/>
  <c r="P86" i="14"/>
  <c r="N86" i="14"/>
  <c r="N70" i="14"/>
  <c r="N54" i="14"/>
  <c r="P38" i="14"/>
  <c r="N38" i="14"/>
  <c r="P705" i="14"/>
  <c r="N705" i="14"/>
  <c r="P689" i="14"/>
  <c r="N689" i="14"/>
  <c r="P673" i="14"/>
  <c r="N673" i="14"/>
  <c r="P657" i="14"/>
  <c r="N657" i="14"/>
  <c r="P641" i="14"/>
  <c r="N641" i="14"/>
  <c r="N625" i="14"/>
  <c r="P609" i="14"/>
  <c r="N609" i="14"/>
  <c r="P577" i="14"/>
  <c r="N577" i="14"/>
  <c r="P561" i="14"/>
  <c r="N561" i="14"/>
  <c r="N545" i="14"/>
  <c r="P529" i="14"/>
  <c r="N529" i="14"/>
  <c r="P513" i="14"/>
  <c r="N513" i="14"/>
  <c r="N497" i="14"/>
  <c r="P481" i="14"/>
  <c r="N481" i="14"/>
  <c r="P449" i="14"/>
  <c r="N449" i="14"/>
  <c r="P433" i="14"/>
  <c r="N433" i="14"/>
  <c r="P417" i="14"/>
  <c r="N417" i="14"/>
  <c r="P401" i="14"/>
  <c r="N401" i="14"/>
  <c r="P385" i="14"/>
  <c r="N385" i="14"/>
  <c r="P369" i="14"/>
  <c r="N369" i="14"/>
  <c r="P353" i="14"/>
  <c r="P337" i="14"/>
  <c r="N337" i="14"/>
  <c r="P321" i="14"/>
  <c r="N321" i="14"/>
  <c r="N305" i="14"/>
  <c r="P273" i="14"/>
  <c r="N273" i="14"/>
  <c r="P241" i="14"/>
  <c r="N241" i="14"/>
  <c r="P225" i="14"/>
  <c r="N225" i="14"/>
  <c r="P177" i="14"/>
  <c r="N177" i="14"/>
  <c r="P161" i="14"/>
  <c r="N161" i="14"/>
  <c r="P97" i="14"/>
  <c r="P81" i="14"/>
  <c r="N81" i="14"/>
  <c r="P65" i="14"/>
  <c r="P49" i="14"/>
  <c r="N49" i="14"/>
  <c r="P33" i="14"/>
  <c r="N33" i="14"/>
  <c r="P596" i="14"/>
  <c r="N596" i="14"/>
  <c r="N548" i="14"/>
  <c r="P532" i="14"/>
  <c r="N532" i="14"/>
  <c r="P500" i="14"/>
  <c r="N500" i="14"/>
  <c r="P484" i="14"/>
  <c r="P436" i="14"/>
  <c r="N436" i="14"/>
  <c r="P420" i="14"/>
  <c r="N356" i="14"/>
  <c r="P340" i="14"/>
  <c r="P308" i="14"/>
  <c r="N308" i="14"/>
  <c r="P292" i="14"/>
  <c r="N292" i="14"/>
  <c r="P244" i="14"/>
  <c r="N212" i="14"/>
  <c r="P196" i="14"/>
  <c r="N196" i="14"/>
  <c r="P180" i="14"/>
  <c r="N180" i="14"/>
  <c r="P100" i="14"/>
  <c r="P52" i="14"/>
  <c r="N52" i="14"/>
  <c r="P36" i="14"/>
  <c r="N36" i="14"/>
  <c r="P1110" i="14"/>
  <c r="N1110" i="14"/>
  <c r="P1046" i="14"/>
  <c r="N1046" i="14"/>
  <c r="P982" i="14"/>
  <c r="N982" i="14"/>
  <c r="P934" i="14"/>
  <c r="N934" i="14"/>
  <c r="P902" i="14"/>
  <c r="N902" i="14"/>
  <c r="P886" i="14"/>
  <c r="N886" i="14"/>
  <c r="P854" i="14"/>
  <c r="N854" i="14"/>
  <c r="P838" i="14"/>
  <c r="N838" i="14"/>
  <c r="P822" i="14"/>
  <c r="N822" i="14"/>
  <c r="P806" i="14"/>
  <c r="N806" i="14"/>
  <c r="P790" i="14"/>
  <c r="N790" i="14"/>
  <c r="P774" i="14"/>
  <c r="N774" i="14"/>
  <c r="P758" i="14"/>
  <c r="N758" i="14"/>
  <c r="P742" i="14"/>
  <c r="N742" i="14"/>
  <c r="P726" i="14"/>
  <c r="N726" i="14"/>
  <c r="P710" i="14"/>
  <c r="N710" i="14"/>
  <c r="P684" i="14"/>
  <c r="N684" i="14"/>
  <c r="P652" i="14"/>
  <c r="N652" i="14"/>
  <c r="P619" i="14"/>
  <c r="N619" i="14"/>
  <c r="P555" i="14"/>
  <c r="N555" i="14"/>
  <c r="P491" i="14"/>
  <c r="N491" i="14"/>
  <c r="P427" i="14"/>
  <c r="N427" i="14"/>
  <c r="P363" i="14"/>
  <c r="N363" i="14"/>
  <c r="P299" i="14"/>
  <c r="N299" i="14"/>
  <c r="P235" i="14"/>
  <c r="N235" i="14"/>
  <c r="P171" i="14"/>
  <c r="N171" i="14"/>
  <c r="P107" i="14"/>
  <c r="N107" i="14"/>
  <c r="P43" i="14"/>
  <c r="N43" i="14"/>
  <c r="P690" i="14"/>
  <c r="N690" i="14"/>
  <c r="P674" i="14"/>
  <c r="N674" i="14"/>
  <c r="P658" i="14"/>
  <c r="N658" i="14"/>
  <c r="P642" i="14"/>
  <c r="N642" i="14"/>
  <c r="P626" i="14"/>
  <c r="N626" i="14"/>
  <c r="P610" i="14"/>
  <c r="N610" i="14"/>
  <c r="P594" i="14"/>
  <c r="N594" i="14"/>
  <c r="P578" i="14"/>
  <c r="N578" i="14"/>
  <c r="P562" i="14"/>
  <c r="N562" i="14"/>
  <c r="P530" i="14"/>
  <c r="N530" i="14"/>
  <c r="P514" i="14"/>
  <c r="N514" i="14"/>
  <c r="P498" i="14"/>
  <c r="N498" i="14"/>
  <c r="N482" i="14"/>
  <c r="P466" i="14"/>
  <c r="N466" i="14"/>
  <c r="P450" i="14"/>
  <c r="N450" i="14"/>
  <c r="P434" i="14"/>
  <c r="N434" i="14"/>
  <c r="P418" i="14"/>
  <c r="N418" i="14"/>
  <c r="P402" i="14"/>
  <c r="N402" i="14"/>
  <c r="N386" i="14"/>
  <c r="P370" i="14"/>
  <c r="N370" i="14"/>
  <c r="P354" i="14"/>
  <c r="N354" i="14"/>
  <c r="P338" i="14"/>
  <c r="N338" i="14"/>
  <c r="P322" i="14"/>
  <c r="N322" i="14"/>
  <c r="P306" i="14"/>
  <c r="N306" i="14"/>
  <c r="P290" i="14"/>
  <c r="P274" i="14"/>
  <c r="N274" i="14"/>
  <c r="P258" i="14"/>
  <c r="N258" i="14"/>
  <c r="P242" i="14"/>
  <c r="P226" i="14"/>
  <c r="P210" i="14"/>
  <c r="N210" i="14"/>
  <c r="P194" i="14"/>
  <c r="N194" i="14"/>
  <c r="P178" i="14"/>
  <c r="N178" i="14"/>
  <c r="P162" i="14"/>
  <c r="N162" i="14"/>
  <c r="P146" i="14"/>
  <c r="N146" i="14"/>
  <c r="P130" i="14"/>
  <c r="N130" i="14"/>
  <c r="P114" i="14"/>
  <c r="N114" i="14"/>
  <c r="P98" i="14"/>
  <c r="N98" i="14"/>
  <c r="P82" i="14"/>
  <c r="N82" i="14"/>
  <c r="P66" i="14"/>
  <c r="P50" i="14"/>
  <c r="P34" i="14"/>
  <c r="P701" i="14"/>
  <c r="N701" i="14"/>
  <c r="P685" i="14"/>
  <c r="N685" i="14"/>
  <c r="P669" i="14"/>
  <c r="N669" i="14"/>
  <c r="N653" i="14"/>
  <c r="P637" i="14"/>
  <c r="N637" i="14"/>
  <c r="P621" i="14"/>
  <c r="N621" i="14"/>
  <c r="P605" i="14"/>
  <c r="N605" i="14"/>
  <c r="N589" i="14"/>
  <c r="P573" i="14"/>
  <c r="N573" i="14"/>
  <c r="P557" i="14"/>
  <c r="N557" i="14"/>
  <c r="P541" i="14"/>
  <c r="N541" i="14"/>
  <c r="N525" i="14"/>
  <c r="P509" i="14"/>
  <c r="N509" i="14"/>
  <c r="P493" i="14"/>
  <c r="N493" i="14"/>
  <c r="P477" i="14"/>
  <c r="N477" i="14"/>
  <c r="N461" i="14"/>
  <c r="N445" i="14"/>
  <c r="P413" i="14"/>
  <c r="N413" i="14"/>
  <c r="P397" i="14"/>
  <c r="N397" i="14"/>
  <c r="P349" i="14"/>
  <c r="N349" i="14"/>
  <c r="P333" i="14"/>
  <c r="N333" i="14"/>
  <c r="P317" i="14"/>
  <c r="P301" i="14"/>
  <c r="N285" i="14"/>
  <c r="P269" i="14"/>
  <c r="P253" i="14"/>
  <c r="N253" i="14"/>
  <c r="P237" i="14"/>
  <c r="N237" i="14"/>
  <c r="P221" i="14"/>
  <c r="N221" i="14"/>
  <c r="P205" i="14"/>
  <c r="P189" i="14"/>
  <c r="N189" i="14"/>
  <c r="P173" i="14"/>
  <c r="N173" i="14"/>
  <c r="P157" i="14"/>
  <c r="N157" i="14"/>
  <c r="P141" i="14"/>
  <c r="N141" i="14"/>
  <c r="P125" i="14"/>
  <c r="P109" i="14"/>
  <c r="P93" i="14"/>
  <c r="N93" i="14"/>
  <c r="P77" i="14"/>
  <c r="N77" i="14"/>
  <c r="N61" i="14"/>
  <c r="P45" i="14"/>
  <c r="P29" i="14"/>
  <c r="N29" i="14"/>
  <c r="N608" i="14"/>
  <c r="P528" i="14"/>
  <c r="P512" i="14"/>
  <c r="P496" i="14"/>
  <c r="N496" i="14"/>
  <c r="P480" i="14"/>
  <c r="N480" i="14"/>
  <c r="P464" i="14"/>
  <c r="P448" i="14"/>
  <c r="N448" i="14"/>
  <c r="M432" i="14"/>
  <c r="O432" i="14" s="1"/>
  <c r="M416" i="14"/>
  <c r="O416" i="14" s="1"/>
  <c r="M400" i="14"/>
  <c r="O400" i="14" s="1"/>
  <c r="M384" i="14"/>
  <c r="O384" i="14" s="1"/>
  <c r="M368" i="14"/>
  <c r="O368" i="14" s="1"/>
  <c r="M352" i="14"/>
  <c r="O352" i="14" s="1"/>
  <c r="M336" i="14"/>
  <c r="O336" i="14" s="1"/>
  <c r="M320" i="14"/>
  <c r="O320" i="14" s="1"/>
  <c r="M304" i="14"/>
  <c r="O304" i="14" s="1"/>
  <c r="M288" i="14"/>
  <c r="O288" i="14" s="1"/>
  <c r="M272" i="14"/>
  <c r="O272" i="14" s="1"/>
  <c r="M256" i="14"/>
  <c r="O256" i="14" s="1"/>
  <c r="M240" i="14"/>
  <c r="O240" i="14" s="1"/>
  <c r="M224" i="14"/>
  <c r="O224" i="14" s="1"/>
  <c r="M208" i="14"/>
  <c r="O208" i="14" s="1"/>
  <c r="M192" i="14"/>
  <c r="O192" i="14" s="1"/>
  <c r="M176" i="14"/>
  <c r="O176" i="14" s="1"/>
  <c r="M160" i="14"/>
  <c r="O160" i="14" s="1"/>
  <c r="M144" i="14"/>
  <c r="O144" i="14" s="1"/>
  <c r="M128" i="14"/>
  <c r="O128" i="14" s="1"/>
  <c r="M112" i="14"/>
  <c r="O112" i="14" s="1"/>
  <c r="M96" i="14"/>
  <c r="O96" i="14" s="1"/>
  <c r="M80" i="14"/>
  <c r="O80" i="14" s="1"/>
  <c r="M64" i="14"/>
  <c r="O64" i="14" s="1"/>
  <c r="M48" i="14"/>
  <c r="O48" i="14" s="1"/>
  <c r="M32" i="14"/>
  <c r="O32" i="14" s="1"/>
  <c r="P1078" i="14"/>
  <c r="N1078" i="14"/>
  <c r="P1030" i="14"/>
  <c r="N1030" i="14"/>
  <c r="P998" i="14"/>
  <c r="N998" i="14"/>
  <c r="P950" i="14"/>
  <c r="N950" i="14"/>
  <c r="P918" i="14"/>
  <c r="N918" i="14"/>
  <c r="P870" i="14"/>
  <c r="N870" i="14"/>
  <c r="P1265" i="14"/>
  <c r="N1265" i="14"/>
  <c r="P1097" i="14"/>
  <c r="N1097" i="14"/>
  <c r="P993" i="14"/>
  <c r="N993" i="14"/>
  <c r="P897" i="14"/>
  <c r="N897" i="14"/>
  <c r="P801" i="14"/>
  <c r="N801" i="14"/>
  <c r="P704" i="14"/>
  <c r="N704" i="14"/>
  <c r="P599" i="14"/>
  <c r="N599" i="14"/>
  <c r="P439" i="14"/>
  <c r="N439" i="14"/>
  <c r="P247" i="14"/>
  <c r="N247" i="14"/>
  <c r="P55" i="14"/>
  <c r="N55" i="14"/>
  <c r="P1276" i="14"/>
  <c r="N1276" i="14"/>
  <c r="P1260" i="14"/>
  <c r="N1260" i="14"/>
  <c r="P1244" i="14"/>
  <c r="N1244" i="14"/>
  <c r="P1228" i="14"/>
  <c r="N1228" i="14"/>
  <c r="P1212" i="14"/>
  <c r="N1212" i="14"/>
  <c r="P1196" i="14"/>
  <c r="N1196" i="14"/>
  <c r="P1180" i="14"/>
  <c r="N1180" i="14"/>
  <c r="P1164" i="14"/>
  <c r="N1164" i="14"/>
  <c r="P1148" i="14"/>
  <c r="N1148" i="14"/>
  <c r="P1132" i="14"/>
  <c r="N1132" i="14"/>
  <c r="P1116" i="14"/>
  <c r="N1116" i="14"/>
  <c r="P1100" i="14"/>
  <c r="N1100" i="14"/>
  <c r="P1084" i="14"/>
  <c r="N1084" i="14"/>
  <c r="P1068" i="14"/>
  <c r="N1068" i="14"/>
  <c r="P1052" i="14"/>
  <c r="N1052" i="14"/>
  <c r="P1036" i="14"/>
  <c r="N1036" i="14"/>
  <c r="P1020" i="14"/>
  <c r="N1020" i="14"/>
  <c r="P1004" i="14"/>
  <c r="N1004" i="14"/>
  <c r="P988" i="14"/>
  <c r="N988" i="14"/>
  <c r="P972" i="14"/>
  <c r="N972" i="14"/>
  <c r="P956" i="14"/>
  <c r="N956" i="14"/>
  <c r="P940" i="14"/>
  <c r="N940" i="14"/>
  <c r="P924" i="14"/>
  <c r="N924" i="14"/>
  <c r="P908" i="14"/>
  <c r="N908" i="14"/>
  <c r="P892" i="14"/>
  <c r="N892" i="14"/>
  <c r="P876" i="14"/>
  <c r="N876" i="14"/>
  <c r="P860" i="14"/>
  <c r="N860" i="14"/>
  <c r="P844" i="14"/>
  <c r="N844" i="14"/>
  <c r="P828" i="14"/>
  <c r="N828" i="14"/>
  <c r="P812" i="14"/>
  <c r="N812" i="14"/>
  <c r="P796" i="14"/>
  <c r="N796" i="14"/>
  <c r="P780" i="14"/>
  <c r="N780" i="14"/>
  <c r="P764" i="14"/>
  <c r="N764" i="14"/>
  <c r="P748" i="14"/>
  <c r="N748" i="14"/>
  <c r="P732" i="14"/>
  <c r="N732" i="14"/>
  <c r="P716" i="14"/>
  <c r="N716" i="14"/>
  <c r="P696" i="14"/>
  <c r="N696" i="14"/>
  <c r="P664" i="14"/>
  <c r="N664" i="14"/>
  <c r="P632" i="14"/>
  <c r="N632" i="14"/>
  <c r="P579" i="14"/>
  <c r="N579" i="14"/>
  <c r="P515" i="14"/>
  <c r="N515" i="14"/>
  <c r="P451" i="14"/>
  <c r="N451" i="14"/>
  <c r="P387" i="14"/>
  <c r="N387" i="14"/>
  <c r="P323" i="14"/>
  <c r="N323" i="14"/>
  <c r="P259" i="14"/>
  <c r="N259" i="14"/>
  <c r="P195" i="14"/>
  <c r="N195" i="14"/>
  <c r="P131" i="14"/>
  <c r="N131" i="14"/>
  <c r="P67" i="14"/>
  <c r="N67" i="14"/>
  <c r="P1261" i="14"/>
  <c r="N1261" i="14"/>
  <c r="P1213" i="14"/>
  <c r="N1213" i="14"/>
  <c r="P1165" i="14"/>
  <c r="N1165" i="14"/>
  <c r="P1121" i="14"/>
  <c r="N1121" i="14"/>
  <c r="P1081" i="14"/>
  <c r="N1081" i="14"/>
  <c r="P1045" i="14"/>
  <c r="N1045" i="14"/>
  <c r="P1005" i="14"/>
  <c r="N1005" i="14"/>
  <c r="P965" i="14"/>
  <c r="N965" i="14"/>
  <c r="P917" i="14"/>
  <c r="N917" i="14"/>
  <c r="P869" i="14"/>
  <c r="N869" i="14"/>
  <c r="P821" i="14"/>
  <c r="N821" i="14"/>
  <c r="P769" i="14"/>
  <c r="N769" i="14"/>
  <c r="P721" i="14"/>
  <c r="N721" i="14"/>
  <c r="P643" i="14"/>
  <c r="N643" i="14"/>
  <c r="P471" i="14"/>
  <c r="N471" i="14"/>
  <c r="P279" i="14"/>
  <c r="N279" i="14"/>
  <c r="P87" i="14"/>
  <c r="N87" i="14"/>
  <c r="P1271" i="14"/>
  <c r="N1271" i="14"/>
  <c r="P1255" i="14"/>
  <c r="N1255" i="14"/>
  <c r="N1239" i="14"/>
  <c r="P1239" i="14"/>
  <c r="P1223" i="14"/>
  <c r="N1223" i="14"/>
  <c r="P1207" i="14"/>
  <c r="N1207" i="14"/>
  <c r="P1191" i="14"/>
  <c r="N1191" i="14"/>
  <c r="P1175" i="14"/>
  <c r="N1175" i="14"/>
  <c r="P1159" i="14"/>
  <c r="N1159" i="14"/>
  <c r="P1143" i="14"/>
  <c r="N1143" i="14"/>
  <c r="P1127" i="14"/>
  <c r="N1127" i="14"/>
  <c r="P1111" i="14"/>
  <c r="N1111" i="14"/>
  <c r="P1095" i="14"/>
  <c r="N1095" i="14"/>
  <c r="P1079" i="14"/>
  <c r="N1079" i="14"/>
  <c r="P1063" i="14"/>
  <c r="N1063" i="14"/>
  <c r="P1047" i="14"/>
  <c r="N1047" i="14"/>
  <c r="P1031" i="14"/>
  <c r="N1031" i="14"/>
  <c r="P1015" i="14"/>
  <c r="N1015" i="14"/>
  <c r="P999" i="14"/>
  <c r="N999" i="14"/>
  <c r="P983" i="14"/>
  <c r="N983" i="14"/>
  <c r="P967" i="14"/>
  <c r="N967" i="14"/>
  <c r="P951" i="14"/>
  <c r="N951" i="14"/>
  <c r="P935" i="14"/>
  <c r="N935" i="14"/>
  <c r="P919" i="14"/>
  <c r="N919" i="14"/>
  <c r="P903" i="14"/>
  <c r="N903" i="14"/>
  <c r="P887" i="14"/>
  <c r="N887" i="14"/>
  <c r="P871" i="14"/>
  <c r="N871" i="14"/>
  <c r="P855" i="14"/>
  <c r="N855" i="14"/>
  <c r="P839" i="14"/>
  <c r="N839" i="14"/>
  <c r="P823" i="14"/>
  <c r="N823" i="14"/>
  <c r="P807" i="14"/>
  <c r="N807" i="14"/>
  <c r="P791" i="14"/>
  <c r="N791" i="14"/>
  <c r="P775" i="14"/>
  <c r="N775" i="14"/>
  <c r="P759" i="14"/>
  <c r="N759" i="14"/>
  <c r="P743" i="14"/>
  <c r="N743" i="14"/>
  <c r="P727" i="14"/>
  <c r="N727" i="14"/>
  <c r="P711" i="14"/>
  <c r="N711" i="14"/>
  <c r="P687" i="14"/>
  <c r="N687" i="14"/>
  <c r="P655" i="14"/>
  <c r="N655" i="14"/>
  <c r="P623" i="14"/>
  <c r="N623" i="14"/>
  <c r="P559" i="14"/>
  <c r="N559" i="14"/>
  <c r="P495" i="14"/>
  <c r="N495" i="14"/>
  <c r="P431" i="14"/>
  <c r="N431" i="14"/>
  <c r="P367" i="14"/>
  <c r="N367" i="14"/>
  <c r="P303" i="14"/>
  <c r="N303" i="14"/>
  <c r="P239" i="14"/>
  <c r="N239" i="14"/>
  <c r="P175" i="14"/>
  <c r="N175" i="14"/>
  <c r="P111" i="14"/>
  <c r="N111" i="14"/>
  <c r="P47" i="14"/>
  <c r="N47" i="14"/>
  <c r="P1245" i="14"/>
  <c r="N1245" i="14"/>
  <c r="P1201" i="14"/>
  <c r="N1201" i="14"/>
  <c r="P1149" i="14"/>
  <c r="N1149" i="14"/>
  <c r="P1113" i="14"/>
  <c r="N1113" i="14"/>
  <c r="P1077" i="14"/>
  <c r="N1077" i="14"/>
  <c r="P1037" i="14"/>
  <c r="N1037" i="14"/>
  <c r="P1001" i="14"/>
  <c r="N1001" i="14"/>
  <c r="P953" i="14"/>
  <c r="N953" i="14"/>
  <c r="P901" i="14"/>
  <c r="N901" i="14"/>
  <c r="P853" i="14"/>
  <c r="N853" i="14"/>
  <c r="P809" i="14"/>
  <c r="N809" i="14"/>
  <c r="P757" i="14"/>
  <c r="N757" i="14"/>
  <c r="P709" i="14"/>
  <c r="N709" i="14"/>
  <c r="P627" i="14"/>
  <c r="N627" i="14"/>
  <c r="P407" i="14"/>
  <c r="N407" i="14"/>
  <c r="P215" i="14"/>
  <c r="N215" i="14"/>
  <c r="P1282" i="14"/>
  <c r="N1282" i="14"/>
  <c r="P1266" i="14"/>
  <c r="N1266" i="14"/>
  <c r="P1250" i="14"/>
  <c r="N1250" i="14"/>
  <c r="P1234" i="14"/>
  <c r="N1234" i="14"/>
  <c r="P1218" i="14"/>
  <c r="N1218" i="14"/>
  <c r="P1202" i="14"/>
  <c r="N1202" i="14"/>
  <c r="P1186" i="14"/>
  <c r="N1186" i="14"/>
  <c r="P1170" i="14"/>
  <c r="N1170" i="14"/>
  <c r="P1154" i="14"/>
  <c r="N1154" i="14"/>
  <c r="P1138" i="14"/>
  <c r="N1138" i="14"/>
  <c r="P1122" i="14"/>
  <c r="N1122" i="14"/>
  <c r="P1106" i="14"/>
  <c r="N1106" i="14"/>
  <c r="P1090" i="14"/>
  <c r="N1090" i="14"/>
  <c r="P1074" i="14"/>
  <c r="N1074" i="14"/>
  <c r="P1058" i="14"/>
  <c r="N1058" i="14"/>
  <c r="P1042" i="14"/>
  <c r="N1042" i="14"/>
  <c r="P1026" i="14"/>
  <c r="N1026" i="14"/>
  <c r="P1010" i="14"/>
  <c r="N1010" i="14"/>
  <c r="P994" i="14"/>
  <c r="N994" i="14"/>
  <c r="P978" i="14"/>
  <c r="N978" i="14"/>
  <c r="P962" i="14"/>
  <c r="N962" i="14"/>
  <c r="P946" i="14"/>
  <c r="N946" i="14"/>
  <c r="P930" i="14"/>
  <c r="N930" i="14"/>
  <c r="P914" i="14"/>
  <c r="N914" i="14"/>
  <c r="P898" i="14"/>
  <c r="N898" i="14"/>
  <c r="P882" i="14"/>
  <c r="N882" i="14"/>
  <c r="P866" i="14"/>
  <c r="N866" i="14"/>
  <c r="P850" i="14"/>
  <c r="N850" i="14"/>
  <c r="P834" i="14"/>
  <c r="N834" i="14"/>
  <c r="P818" i="14"/>
  <c r="N818" i="14"/>
  <c r="P802" i="14"/>
  <c r="N802" i="14"/>
  <c r="P786" i="14"/>
  <c r="N786" i="14"/>
  <c r="P770" i="14"/>
  <c r="N770" i="14"/>
  <c r="P754" i="14"/>
  <c r="N754" i="14"/>
  <c r="P738" i="14"/>
  <c r="N738" i="14"/>
  <c r="P722" i="14"/>
  <c r="N722" i="14"/>
  <c r="P706" i="14"/>
  <c r="N706" i="14"/>
  <c r="P676" i="14"/>
  <c r="N676" i="14"/>
  <c r="P644" i="14"/>
  <c r="N644" i="14"/>
  <c r="P603" i="14"/>
  <c r="N603" i="14"/>
  <c r="P539" i="14"/>
  <c r="N539" i="14"/>
  <c r="P475" i="14"/>
  <c r="N475" i="14"/>
  <c r="P411" i="14"/>
  <c r="N411" i="14"/>
  <c r="P347" i="14"/>
  <c r="N347" i="14"/>
  <c r="P283" i="14"/>
  <c r="N283" i="14"/>
  <c r="P219" i="14"/>
  <c r="N219" i="14"/>
  <c r="P155" i="14"/>
  <c r="N155" i="14"/>
  <c r="P91" i="14"/>
  <c r="N91" i="14"/>
  <c r="P27" i="14"/>
  <c r="N27" i="14"/>
  <c r="P686" i="14"/>
  <c r="N686" i="14"/>
  <c r="P670" i="14"/>
  <c r="N670" i="14"/>
  <c r="P654" i="14"/>
  <c r="N654" i="14"/>
  <c r="P638" i="14"/>
  <c r="N638" i="14"/>
  <c r="P622" i="14"/>
  <c r="N622" i="14"/>
  <c r="P606" i="14"/>
  <c r="N606" i="14"/>
  <c r="P590" i="14"/>
  <c r="N590" i="14"/>
  <c r="P574" i="14"/>
  <c r="N574" i="14"/>
  <c r="P558" i="14"/>
  <c r="N558" i="14"/>
  <c r="P542" i="14"/>
  <c r="N542" i="14"/>
  <c r="P526" i="14"/>
  <c r="N526" i="14"/>
  <c r="P510" i="14"/>
  <c r="N510" i="14"/>
  <c r="P494" i="14"/>
  <c r="P478" i="14"/>
  <c r="N478" i="14"/>
  <c r="P462" i="14"/>
  <c r="N462" i="14"/>
  <c r="P446" i="14"/>
  <c r="N446" i="14"/>
  <c r="P430" i="14"/>
  <c r="P414" i="14"/>
  <c r="N414" i="14"/>
  <c r="P398" i="14"/>
  <c r="N398" i="14"/>
  <c r="P382" i="14"/>
  <c r="N382" i="14"/>
  <c r="P366" i="14"/>
  <c r="P350" i="14"/>
  <c r="N350" i="14"/>
  <c r="P334" i="14"/>
  <c r="N334" i="14"/>
  <c r="P318" i="14"/>
  <c r="N318" i="14"/>
  <c r="P302" i="14"/>
  <c r="P286" i="14"/>
  <c r="P270" i="14"/>
  <c r="N270" i="14"/>
  <c r="P254" i="14"/>
  <c r="N254" i="14"/>
  <c r="N238" i="14"/>
  <c r="P222" i="14"/>
  <c r="P206" i="14"/>
  <c r="N206" i="14"/>
  <c r="P190" i="14"/>
  <c r="N190" i="14"/>
  <c r="P174" i="14"/>
  <c r="P158" i="14"/>
  <c r="P142" i="14"/>
  <c r="N142" i="14"/>
  <c r="P126" i="14"/>
  <c r="N126" i="14"/>
  <c r="N110" i="14"/>
  <c r="P94" i="14"/>
  <c r="P78" i="14"/>
  <c r="N78" i="14"/>
  <c r="P62" i="14"/>
  <c r="N62" i="14"/>
  <c r="P46" i="14"/>
  <c r="P30" i="14"/>
  <c r="P697" i="14"/>
  <c r="N697" i="14"/>
  <c r="P681" i="14"/>
  <c r="N681" i="14"/>
  <c r="P665" i="14"/>
  <c r="P649" i="14"/>
  <c r="P633" i="14"/>
  <c r="N633" i="14"/>
  <c r="P617" i="14"/>
  <c r="N617" i="14"/>
  <c r="P601" i="14"/>
  <c r="P585" i="14"/>
  <c r="P569" i="14"/>
  <c r="N569" i="14"/>
  <c r="P553" i="14"/>
  <c r="N553" i="14"/>
  <c r="N537" i="14"/>
  <c r="P521" i="14"/>
  <c r="P505" i="14"/>
  <c r="N505" i="14"/>
  <c r="P489" i="14"/>
  <c r="N489" i="14"/>
  <c r="P473" i="14"/>
  <c r="P457" i="14"/>
  <c r="N441" i="14"/>
  <c r="P425" i="14"/>
  <c r="N425" i="14"/>
  <c r="P409" i="14"/>
  <c r="N409" i="14"/>
  <c r="P393" i="14"/>
  <c r="P377" i="14"/>
  <c r="N377" i="14"/>
  <c r="P361" i="14"/>
  <c r="N361" i="14"/>
  <c r="P345" i="14"/>
  <c r="N345" i="14"/>
  <c r="P329" i="14"/>
  <c r="N329" i="14"/>
  <c r="P313" i="14"/>
  <c r="N313" i="14"/>
  <c r="N281" i="14"/>
  <c r="P265" i="14"/>
  <c r="N265" i="14"/>
  <c r="P249" i="14"/>
  <c r="N249" i="14"/>
  <c r="N233" i="14"/>
  <c r="P201" i="14"/>
  <c r="N201" i="14"/>
  <c r="P185" i="14"/>
  <c r="N185" i="14"/>
  <c r="N169" i="14"/>
  <c r="N153" i="14"/>
  <c r="N137" i="14"/>
  <c r="P121" i="14"/>
  <c r="N121" i="14"/>
  <c r="P105" i="14"/>
  <c r="P89" i="14"/>
  <c r="N89" i="14"/>
  <c r="P73" i="14"/>
  <c r="N73" i="14"/>
  <c r="P57" i="14"/>
  <c r="N57" i="14"/>
  <c r="P41" i="14"/>
  <c r="N41" i="14"/>
  <c r="P620" i="14"/>
  <c r="P604" i="14"/>
  <c r="N604" i="14"/>
  <c r="P588" i="14"/>
  <c r="N588" i="14"/>
  <c r="P572" i="14"/>
  <c r="N572" i="14"/>
  <c r="N556" i="14"/>
  <c r="P524" i="14"/>
  <c r="P508" i="14"/>
  <c r="N508" i="14"/>
  <c r="P492" i="14"/>
  <c r="M460" i="14"/>
  <c r="O460" i="14" s="1"/>
  <c r="M444" i="14"/>
  <c r="O444" i="14" s="1"/>
  <c r="M428" i="14"/>
  <c r="O428" i="14" s="1"/>
  <c r="M412" i="14"/>
  <c r="O412" i="14" s="1"/>
  <c r="M396" i="14"/>
  <c r="O396" i="14" s="1"/>
  <c r="M380" i="14"/>
  <c r="O380" i="14" s="1"/>
  <c r="M364" i="14"/>
  <c r="O364" i="14" s="1"/>
  <c r="M348" i="14"/>
  <c r="O348" i="14" s="1"/>
  <c r="M332" i="14"/>
  <c r="O332" i="14" s="1"/>
  <c r="M316" i="14"/>
  <c r="O316" i="14" s="1"/>
  <c r="M300" i="14"/>
  <c r="O300" i="14" s="1"/>
  <c r="M284" i="14"/>
  <c r="O284" i="14" s="1"/>
  <c r="M268" i="14"/>
  <c r="O268" i="14" s="1"/>
  <c r="M252" i="14"/>
  <c r="O252" i="14" s="1"/>
  <c r="M236" i="14"/>
  <c r="O236" i="14" s="1"/>
  <c r="M220" i="14"/>
  <c r="O220" i="14" s="1"/>
  <c r="M204" i="14"/>
  <c r="O204" i="14" s="1"/>
  <c r="M188" i="14"/>
  <c r="O188" i="14" s="1"/>
  <c r="M172" i="14"/>
  <c r="O172" i="14" s="1"/>
  <c r="M156" i="14"/>
  <c r="O156" i="14" s="1"/>
  <c r="M140" i="14"/>
  <c r="O140" i="14" s="1"/>
  <c r="M124" i="14"/>
  <c r="O124" i="14" s="1"/>
  <c r="M108" i="14"/>
  <c r="O108" i="14" s="1"/>
  <c r="M92" i="14"/>
  <c r="O92" i="14" s="1"/>
  <c r="M76" i="14"/>
  <c r="O76" i="14" s="1"/>
  <c r="M60" i="14"/>
  <c r="O60" i="14" s="1"/>
  <c r="M44" i="14"/>
  <c r="O44" i="14" s="1"/>
  <c r="M28" i="14"/>
  <c r="O28" i="14" s="1"/>
  <c r="P1126" i="14"/>
  <c r="N1126" i="14"/>
  <c r="P1094" i="14"/>
  <c r="N1094" i="14"/>
  <c r="P1062" i="14"/>
  <c r="N1062" i="14"/>
  <c r="P1014" i="14"/>
  <c r="N1014" i="14"/>
  <c r="P966" i="14"/>
  <c r="N966" i="14"/>
  <c r="P1217" i="14"/>
  <c r="N1217" i="14"/>
  <c r="P1169" i="14"/>
  <c r="N1169" i="14"/>
  <c r="P945" i="14"/>
  <c r="N945" i="14"/>
  <c r="P849" i="14"/>
  <c r="N849" i="14"/>
  <c r="P753" i="14"/>
  <c r="N753" i="14"/>
  <c r="P1249" i="14"/>
  <c r="N1249" i="14"/>
  <c r="P1205" i="14"/>
  <c r="N1205" i="14"/>
  <c r="P1157" i="14"/>
  <c r="N1157" i="14"/>
  <c r="P1069" i="14"/>
  <c r="N1069" i="14"/>
  <c r="P981" i="14"/>
  <c r="N981" i="14"/>
  <c r="P933" i="14"/>
  <c r="N933" i="14"/>
  <c r="P885" i="14"/>
  <c r="N885" i="14"/>
  <c r="P837" i="14"/>
  <c r="N837" i="14"/>
  <c r="P789" i="14"/>
  <c r="N789" i="14"/>
  <c r="P741" i="14"/>
  <c r="N741" i="14"/>
  <c r="P683" i="14"/>
  <c r="N683" i="14"/>
  <c r="P583" i="14"/>
  <c r="N583" i="14"/>
  <c r="P391" i="14"/>
  <c r="N391" i="14"/>
  <c r="P199" i="14"/>
  <c r="N199" i="14"/>
  <c r="P39" i="14"/>
  <c r="N39" i="14"/>
  <c r="P1272" i="14"/>
  <c r="N1272" i="14"/>
  <c r="P1256" i="14"/>
  <c r="N1256" i="14"/>
  <c r="P1240" i="14"/>
  <c r="N1240" i="14"/>
  <c r="P1224" i="14"/>
  <c r="N1224" i="14"/>
  <c r="P1208" i="14"/>
  <c r="N1208" i="14"/>
  <c r="P1192" i="14"/>
  <c r="N1192" i="14"/>
  <c r="P1176" i="14"/>
  <c r="N1176" i="14"/>
  <c r="P1160" i="14"/>
  <c r="N1160" i="14"/>
  <c r="P1144" i="14"/>
  <c r="N1144" i="14"/>
  <c r="P1128" i="14"/>
  <c r="N1128" i="14"/>
  <c r="P1112" i="14"/>
  <c r="N1112" i="14"/>
  <c r="P1096" i="14"/>
  <c r="N1096" i="14"/>
  <c r="P1080" i="14"/>
  <c r="N1080" i="14"/>
  <c r="P1064" i="14"/>
  <c r="N1064" i="14"/>
  <c r="P1048" i="14"/>
  <c r="N1048" i="14"/>
  <c r="P1032" i="14"/>
  <c r="N1032" i="14"/>
  <c r="P1016" i="14"/>
  <c r="N1016" i="14"/>
  <c r="P1000" i="14"/>
  <c r="N1000" i="14"/>
  <c r="P984" i="14"/>
  <c r="N984" i="14"/>
  <c r="P968" i="14"/>
  <c r="N968" i="14"/>
  <c r="P952" i="14"/>
  <c r="N952" i="14"/>
  <c r="P936" i="14"/>
  <c r="N936" i="14"/>
  <c r="P920" i="14"/>
  <c r="N920" i="14"/>
  <c r="P904" i="14"/>
  <c r="N904" i="14"/>
  <c r="P888" i="14"/>
  <c r="N888" i="14"/>
  <c r="P872" i="14"/>
  <c r="N872" i="14"/>
  <c r="P856" i="14"/>
  <c r="N856" i="14"/>
  <c r="P840" i="14"/>
  <c r="N840" i="14"/>
  <c r="P824" i="14"/>
  <c r="N824" i="14"/>
  <c r="P808" i="14"/>
  <c r="N808" i="14"/>
  <c r="P792" i="14"/>
  <c r="N792" i="14"/>
  <c r="P776" i="14"/>
  <c r="N776" i="14"/>
  <c r="P760" i="14"/>
  <c r="N760" i="14"/>
  <c r="P744" i="14"/>
  <c r="N744" i="14"/>
  <c r="P728" i="14"/>
  <c r="N728" i="14"/>
  <c r="P712" i="14"/>
  <c r="N712" i="14"/>
  <c r="P688" i="14"/>
  <c r="N688" i="14"/>
  <c r="P656" i="14"/>
  <c r="N656" i="14"/>
  <c r="P624" i="14"/>
  <c r="N624" i="14"/>
  <c r="P563" i="14"/>
  <c r="N563" i="14"/>
  <c r="P499" i="14"/>
  <c r="N499" i="14"/>
  <c r="P435" i="14"/>
  <c r="N435" i="14"/>
  <c r="P371" i="14"/>
  <c r="N371" i="14"/>
  <c r="P307" i="14"/>
  <c r="N307" i="14"/>
  <c r="P243" i="14"/>
  <c r="N243" i="14"/>
  <c r="P179" i="14"/>
  <c r="N179" i="14"/>
  <c r="P115" i="14"/>
  <c r="N115" i="14"/>
  <c r="P51" i="14"/>
  <c r="N51" i="14"/>
  <c r="P1253" i="14"/>
  <c r="N1253" i="14"/>
  <c r="P1197" i="14"/>
  <c r="N1197" i="14"/>
  <c r="P1153" i="14"/>
  <c r="N1153" i="14"/>
  <c r="P1109" i="14"/>
  <c r="N1109" i="14"/>
  <c r="P1073" i="14"/>
  <c r="N1073" i="14"/>
  <c r="P1033" i="14"/>
  <c r="N1033" i="14"/>
  <c r="P997" i="14"/>
  <c r="N997" i="14"/>
  <c r="P949" i="14"/>
  <c r="N949" i="14"/>
  <c r="P905" i="14"/>
  <c r="N905" i="14"/>
  <c r="P857" i="14"/>
  <c r="N857" i="14"/>
  <c r="P805" i="14"/>
  <c r="N805" i="14"/>
  <c r="P761" i="14"/>
  <c r="N761" i="14"/>
  <c r="P713" i="14"/>
  <c r="N713" i="14"/>
  <c r="P615" i="14"/>
  <c r="N615" i="14"/>
  <c r="P423" i="14"/>
  <c r="N423" i="14"/>
  <c r="P231" i="14"/>
  <c r="N231" i="14"/>
  <c r="P1283" i="14"/>
  <c r="N1283" i="14"/>
  <c r="P1267" i="14"/>
  <c r="N1267" i="14"/>
  <c r="P1251" i="14"/>
  <c r="N1251" i="14"/>
  <c r="P1235" i="14"/>
  <c r="N1235" i="14"/>
  <c r="P1219" i="14"/>
  <c r="N1219" i="14"/>
  <c r="P1203" i="14"/>
  <c r="N1203" i="14"/>
  <c r="P1187" i="14"/>
  <c r="N1187" i="14"/>
  <c r="P1171" i="14"/>
  <c r="N1171" i="14"/>
  <c r="P1155" i="14"/>
  <c r="N1155" i="14"/>
  <c r="P1139" i="14"/>
  <c r="N1139" i="14"/>
  <c r="P1123" i="14"/>
  <c r="N1123" i="14"/>
  <c r="P1107" i="14"/>
  <c r="N1107" i="14"/>
  <c r="P1091" i="14"/>
  <c r="N1091" i="14"/>
  <c r="P1075" i="14"/>
  <c r="N1075" i="14"/>
  <c r="P1059" i="14"/>
  <c r="N1059" i="14"/>
  <c r="P1043" i="14"/>
  <c r="N1043" i="14"/>
  <c r="P1027" i="14"/>
  <c r="N1027" i="14"/>
  <c r="P1011" i="14"/>
  <c r="N1011" i="14"/>
  <c r="P995" i="14"/>
  <c r="N995" i="14"/>
  <c r="P979" i="14"/>
  <c r="N979" i="14"/>
  <c r="P963" i="14"/>
  <c r="N963" i="14"/>
  <c r="P947" i="14"/>
  <c r="N947" i="14"/>
  <c r="P931" i="14"/>
  <c r="N931" i="14"/>
  <c r="P915" i="14"/>
  <c r="N915" i="14"/>
  <c r="P899" i="14"/>
  <c r="N899" i="14"/>
  <c r="P883" i="14"/>
  <c r="N883" i="14"/>
  <c r="P867" i="14"/>
  <c r="N867" i="14"/>
  <c r="P851" i="14"/>
  <c r="N851" i="14"/>
  <c r="P835" i="14"/>
  <c r="N835" i="14"/>
  <c r="P819" i="14"/>
  <c r="N819" i="14"/>
  <c r="P803" i="14"/>
  <c r="N803" i="14"/>
  <c r="P787" i="14"/>
  <c r="N787" i="14"/>
  <c r="P771" i="14"/>
  <c r="N771" i="14"/>
  <c r="P755" i="14"/>
  <c r="N755" i="14"/>
  <c r="P739" i="14"/>
  <c r="N739" i="14"/>
  <c r="P723" i="14"/>
  <c r="N723" i="14"/>
  <c r="P707" i="14"/>
  <c r="N707" i="14"/>
  <c r="P679" i="14"/>
  <c r="N679" i="14"/>
  <c r="P647" i="14"/>
  <c r="N647" i="14"/>
  <c r="P607" i="14"/>
  <c r="N607" i="14"/>
  <c r="P543" i="14"/>
  <c r="N543" i="14"/>
  <c r="P479" i="14"/>
  <c r="N479" i="14"/>
  <c r="P415" i="14"/>
  <c r="N415" i="14"/>
  <c r="P351" i="14"/>
  <c r="N351" i="14"/>
  <c r="P287" i="14"/>
  <c r="N287" i="14"/>
  <c r="P223" i="14"/>
  <c r="N223" i="14"/>
  <c r="P159" i="14"/>
  <c r="N159" i="14"/>
  <c r="P95" i="14"/>
  <c r="N95" i="14"/>
  <c r="P31" i="14"/>
  <c r="N31" i="14"/>
  <c r="P1233" i="14"/>
  <c r="N1233" i="14"/>
  <c r="P1189" i="14"/>
  <c r="N1189" i="14"/>
  <c r="P1145" i="14"/>
  <c r="N1145" i="14"/>
  <c r="P1105" i="14"/>
  <c r="N1105" i="14"/>
  <c r="P1061" i="14"/>
  <c r="N1061" i="14"/>
  <c r="P1025" i="14"/>
  <c r="N1025" i="14"/>
  <c r="P985" i="14"/>
  <c r="N985" i="14"/>
  <c r="P941" i="14"/>
  <c r="N941" i="14"/>
  <c r="P893" i="14"/>
  <c r="N893" i="14"/>
  <c r="P841" i="14"/>
  <c r="N841" i="14"/>
  <c r="N793" i="14"/>
  <c r="P793" i="14"/>
  <c r="P745" i="14"/>
  <c r="N745" i="14"/>
  <c r="P699" i="14"/>
  <c r="N699" i="14"/>
  <c r="P567" i="14"/>
  <c r="N567" i="14"/>
  <c r="P375" i="14"/>
  <c r="N375" i="14"/>
  <c r="P167" i="14"/>
  <c r="N167" i="14"/>
  <c r="P1278" i="14"/>
  <c r="N1278" i="14"/>
  <c r="P1262" i="14"/>
  <c r="N1262" i="14"/>
  <c r="P1246" i="14"/>
  <c r="N1246" i="14"/>
  <c r="P1230" i="14"/>
  <c r="N1230" i="14"/>
  <c r="P1214" i="14"/>
  <c r="N1214" i="14"/>
  <c r="P1198" i="14"/>
  <c r="N1198" i="14"/>
  <c r="P1182" i="14"/>
  <c r="N1182" i="14"/>
  <c r="P1166" i="14"/>
  <c r="N1166" i="14"/>
  <c r="P1150" i="14"/>
  <c r="N1150" i="14"/>
  <c r="P1134" i="14"/>
  <c r="N1134" i="14"/>
  <c r="P1118" i="14"/>
  <c r="N1118" i="14"/>
  <c r="P1102" i="14"/>
  <c r="N1102" i="14"/>
  <c r="P1086" i="14"/>
  <c r="N1086" i="14"/>
  <c r="P1070" i="14"/>
  <c r="N1070" i="14"/>
  <c r="P1054" i="14"/>
  <c r="N1054" i="14"/>
  <c r="P1038" i="14"/>
  <c r="N1038" i="14"/>
  <c r="P1022" i="14"/>
  <c r="N1022" i="14"/>
  <c r="P1006" i="14"/>
  <c r="N1006" i="14"/>
  <c r="P990" i="14"/>
  <c r="N990" i="14"/>
  <c r="P974" i="14"/>
  <c r="N974" i="14"/>
  <c r="P958" i="14"/>
  <c r="N958" i="14"/>
  <c r="P942" i="14"/>
  <c r="N942" i="14"/>
  <c r="P926" i="14"/>
  <c r="N926" i="14"/>
  <c r="P910" i="14"/>
  <c r="N910" i="14"/>
  <c r="P894" i="14"/>
  <c r="N894" i="14"/>
  <c r="P878" i="14"/>
  <c r="N878" i="14"/>
  <c r="P862" i="14"/>
  <c r="N862" i="14"/>
  <c r="P846" i="14"/>
  <c r="N846" i="14"/>
  <c r="P830" i="14"/>
  <c r="N830" i="14"/>
  <c r="P814" i="14"/>
  <c r="N814" i="14"/>
  <c r="P798" i="14"/>
  <c r="N798" i="14"/>
  <c r="P782" i="14"/>
  <c r="N782" i="14"/>
  <c r="P766" i="14"/>
  <c r="N766" i="14"/>
  <c r="P750" i="14"/>
  <c r="N750" i="14"/>
  <c r="P734" i="14"/>
  <c r="N734" i="14"/>
  <c r="P718" i="14"/>
  <c r="N718" i="14"/>
  <c r="P700" i="14"/>
  <c r="N700" i="14"/>
  <c r="P668" i="14"/>
  <c r="N668" i="14"/>
  <c r="P636" i="14"/>
  <c r="N636" i="14"/>
  <c r="P587" i="14"/>
  <c r="N587" i="14"/>
  <c r="P523" i="14"/>
  <c r="N523" i="14"/>
  <c r="P459" i="14"/>
  <c r="N459" i="14"/>
  <c r="P395" i="14"/>
  <c r="N395" i="14"/>
  <c r="P331" i="14"/>
  <c r="N331" i="14"/>
  <c r="P267" i="14"/>
  <c r="N267" i="14"/>
  <c r="P203" i="14"/>
  <c r="N203" i="14"/>
  <c r="P139" i="14"/>
  <c r="N139" i="14"/>
  <c r="P75" i="14"/>
  <c r="N75" i="14"/>
  <c r="P698" i="14"/>
  <c r="N698" i="14"/>
  <c r="P682" i="14"/>
  <c r="N682" i="14"/>
  <c r="P666" i="14"/>
  <c r="N666" i="14"/>
  <c r="P650" i="14"/>
  <c r="N650" i="14"/>
  <c r="P634" i="14"/>
  <c r="N634" i="14"/>
  <c r="P618" i="14"/>
  <c r="N618" i="14"/>
  <c r="P602" i="14"/>
  <c r="N602" i="14"/>
  <c r="P586" i="14"/>
  <c r="N586" i="14"/>
  <c r="P570" i="14"/>
  <c r="N570" i="14"/>
  <c r="P554" i="14"/>
  <c r="N554" i="14"/>
  <c r="P538" i="14"/>
  <c r="N538" i="14"/>
  <c r="P522" i="14"/>
  <c r="N522" i="14"/>
  <c r="P506" i="14"/>
  <c r="N506" i="14"/>
  <c r="P490" i="14"/>
  <c r="N490" i="14"/>
  <c r="P474" i="14"/>
  <c r="N474" i="14"/>
  <c r="P458" i="14"/>
  <c r="N458" i="14"/>
  <c r="P442" i="14"/>
  <c r="N442" i="14"/>
  <c r="P426" i="14"/>
  <c r="N426" i="14"/>
  <c r="P410" i="14"/>
  <c r="N410" i="14"/>
  <c r="P394" i="14"/>
  <c r="N394" i="14"/>
  <c r="P378" i="14"/>
  <c r="N378" i="14"/>
  <c r="P362" i="14"/>
  <c r="N362" i="14"/>
  <c r="P346" i="14"/>
  <c r="N346" i="14"/>
  <c r="P330" i="14"/>
  <c r="N330" i="14"/>
  <c r="P314" i="14"/>
  <c r="N314" i="14"/>
  <c r="P298" i="14"/>
  <c r="N298" i="14"/>
  <c r="P282" i="14"/>
  <c r="N282" i="14"/>
  <c r="P266" i="14"/>
  <c r="N266" i="14"/>
  <c r="P250" i="14"/>
  <c r="N250" i="14"/>
  <c r="P234" i="14"/>
  <c r="N234" i="14"/>
  <c r="P218" i="14"/>
  <c r="N218" i="14"/>
  <c r="P202" i="14"/>
  <c r="N202" i="14"/>
  <c r="P186" i="14"/>
  <c r="N186" i="14"/>
  <c r="P170" i="14"/>
  <c r="N170" i="14"/>
  <c r="P154" i="14"/>
  <c r="N154" i="14"/>
  <c r="P138" i="14"/>
  <c r="N138" i="14"/>
  <c r="P122" i="14"/>
  <c r="N122" i="14"/>
  <c r="P106" i="14"/>
  <c r="N106" i="14"/>
  <c r="P90" i="14"/>
  <c r="N90" i="14"/>
  <c r="P74" i="14"/>
  <c r="N74" i="14"/>
  <c r="P58" i="14"/>
  <c r="N58" i="14"/>
  <c r="P42" i="14"/>
  <c r="N42" i="14"/>
  <c r="P26" i="14"/>
  <c r="N26" i="14"/>
  <c r="P693" i="14"/>
  <c r="N693" i="14"/>
  <c r="P677" i="14"/>
  <c r="N677" i="14"/>
  <c r="P661" i="14"/>
  <c r="N661" i="14"/>
  <c r="P645" i="14"/>
  <c r="N645" i="14"/>
  <c r="P629" i="14"/>
  <c r="N629" i="14"/>
  <c r="P613" i="14"/>
  <c r="N613" i="14"/>
  <c r="P597" i="14"/>
  <c r="N597" i="14"/>
  <c r="P581" i="14"/>
  <c r="N581" i="14"/>
  <c r="P565" i="14"/>
  <c r="N565" i="14"/>
  <c r="P549" i="14"/>
  <c r="N549" i="14"/>
  <c r="P533" i="14"/>
  <c r="N533" i="14"/>
  <c r="P517" i="14"/>
  <c r="N517" i="14"/>
  <c r="P501" i="14"/>
  <c r="N501" i="14"/>
  <c r="P485" i="14"/>
  <c r="N485" i="14"/>
  <c r="P469" i="14"/>
  <c r="N469" i="14"/>
  <c r="P453" i="14"/>
  <c r="N453" i="14"/>
  <c r="P437" i="14"/>
  <c r="N437" i="14"/>
  <c r="P421" i="14"/>
  <c r="N421" i="14"/>
  <c r="P405" i="14"/>
  <c r="N405" i="14"/>
  <c r="P389" i="14"/>
  <c r="N389" i="14"/>
  <c r="P373" i="14"/>
  <c r="N373" i="14"/>
  <c r="P357" i="14"/>
  <c r="N357" i="14"/>
  <c r="P341" i="14"/>
  <c r="N341" i="14"/>
  <c r="P325" i="14"/>
  <c r="N325" i="14"/>
  <c r="P309" i="14"/>
  <c r="P293" i="14"/>
  <c r="P277" i="14"/>
  <c r="P261" i="14"/>
  <c r="N261" i="14"/>
  <c r="P245" i="14"/>
  <c r="N229" i="14"/>
  <c r="P213" i="14"/>
  <c r="P197" i="14"/>
  <c r="N197" i="14"/>
  <c r="P181" i="14"/>
  <c r="P149" i="14"/>
  <c r="P133" i="14"/>
  <c r="N133" i="14"/>
  <c r="N117" i="14"/>
  <c r="P85" i="14"/>
  <c r="P69" i="14"/>
  <c r="N69" i="14"/>
  <c r="P53" i="14"/>
  <c r="P37" i="14"/>
  <c r="P616" i="14"/>
  <c r="P600" i="14"/>
  <c r="N600" i="14"/>
  <c r="P584" i="14"/>
  <c r="N568" i="14"/>
  <c r="P552" i="14"/>
  <c r="P536" i="14"/>
  <c r="N536" i="14"/>
  <c r="P520" i="14"/>
  <c r="P488" i="14"/>
  <c r="P472" i="14"/>
  <c r="N472" i="14"/>
  <c r="P456" i="14"/>
  <c r="P440" i="14"/>
  <c r="N440" i="14"/>
  <c r="P408" i="14"/>
  <c r="N408" i="14"/>
  <c r="P392" i="14"/>
  <c r="P360" i="14"/>
  <c r="N360" i="14"/>
  <c r="P344" i="14"/>
  <c r="N344" i="14"/>
  <c r="N328" i="14"/>
  <c r="P312" i="14"/>
  <c r="P280" i="14"/>
  <c r="N280" i="14"/>
  <c r="P264" i="14"/>
  <c r="P248" i="14"/>
  <c r="N248" i="14"/>
  <c r="P232" i="14"/>
  <c r="N232" i="14"/>
  <c r="P216" i="14"/>
  <c r="N216" i="14"/>
  <c r="N200" i="14"/>
  <c r="N184" i="14"/>
  <c r="N168" i="14"/>
  <c r="P152" i="14"/>
  <c r="N152" i="14"/>
  <c r="P136" i="14"/>
  <c r="P120" i="14"/>
  <c r="P104" i="14"/>
  <c r="N104" i="14"/>
  <c r="P88" i="14"/>
  <c r="N88" i="14"/>
  <c r="P72" i="14"/>
  <c r="P56" i="14"/>
  <c r="M13" i="14"/>
  <c r="M14" i="14"/>
  <c r="I66" i="1"/>
  <c r="I67" i="1"/>
  <c r="I68" i="1"/>
  <c r="I69" i="1"/>
  <c r="I70" i="1"/>
  <c r="I160" i="8"/>
  <c r="I161" i="8"/>
  <c r="I162" i="8"/>
  <c r="I163" i="8"/>
  <c r="I164" i="8"/>
  <c r="I165" i="8"/>
  <c r="I166" i="8"/>
  <c r="I167" i="8"/>
  <c r="I168" i="8"/>
  <c r="I169" i="8"/>
  <c r="I170" i="8"/>
  <c r="I171" i="8"/>
  <c r="P200" i="14" l="1"/>
  <c r="P328" i="14"/>
  <c r="N584" i="14"/>
  <c r="P117" i="14"/>
  <c r="N181" i="14"/>
  <c r="N309" i="14"/>
  <c r="N492" i="14"/>
  <c r="P153" i="14"/>
  <c r="P233" i="14"/>
  <c r="N393" i="14"/>
  <c r="N473" i="14"/>
  <c r="P537" i="14"/>
  <c r="N46" i="14"/>
  <c r="P110" i="14"/>
  <c r="N302" i="14"/>
  <c r="N366" i="14"/>
  <c r="N430" i="14"/>
  <c r="N494" i="14"/>
  <c r="N528" i="14"/>
  <c r="P285" i="14"/>
  <c r="P381" i="14"/>
  <c r="P461" i="14"/>
  <c r="P525" i="14"/>
  <c r="P589" i="14"/>
  <c r="P653" i="14"/>
  <c r="N226" i="14"/>
  <c r="P386" i="14"/>
  <c r="P482" i="14"/>
  <c r="N612" i="14"/>
  <c r="P497" i="14"/>
  <c r="P54" i="14"/>
  <c r="N72" i="14"/>
  <c r="P184" i="14"/>
  <c r="N520" i="14"/>
  <c r="N53" i="14"/>
  <c r="N245" i="14"/>
  <c r="P556" i="14"/>
  <c r="P137" i="14"/>
  <c r="P169" i="14"/>
  <c r="N601" i="14"/>
  <c r="N665" i="14"/>
  <c r="N174" i="14"/>
  <c r="P238" i="14"/>
  <c r="N592" i="14"/>
  <c r="N205" i="14"/>
  <c r="N317" i="14"/>
  <c r="P445" i="14"/>
  <c r="N242" i="14"/>
  <c r="N132" i="14"/>
  <c r="P545" i="14"/>
  <c r="P625" i="14"/>
  <c r="P70" i="14"/>
  <c r="N278" i="14"/>
  <c r="N310" i="14"/>
  <c r="N390" i="14"/>
  <c r="P404" i="14"/>
  <c r="P468" i="14"/>
  <c r="P296" i="14"/>
  <c r="N376" i="14"/>
  <c r="N217" i="14"/>
  <c r="P297" i="14"/>
  <c r="N50" i="14"/>
  <c r="P546" i="14"/>
  <c r="P564" i="14"/>
  <c r="P129" i="14"/>
  <c r="P118" i="14"/>
  <c r="N540" i="14"/>
  <c r="P544" i="14"/>
  <c r="P209" i="14"/>
  <c r="N576" i="14"/>
  <c r="P608" i="14"/>
  <c r="P148" i="14"/>
  <c r="N468" i="14"/>
  <c r="P612" i="14"/>
  <c r="P592" i="14"/>
  <c r="N125" i="14"/>
  <c r="N381" i="14"/>
  <c r="N228" i="14"/>
  <c r="N388" i="14"/>
  <c r="P305" i="14"/>
  <c r="P452" i="14"/>
  <c r="P276" i="14"/>
  <c r="P388" i="14"/>
  <c r="N65" i="14"/>
  <c r="P576" i="14"/>
  <c r="P132" i="14"/>
  <c r="P228" i="14"/>
  <c r="P548" i="14"/>
  <c r="N504" i="14"/>
  <c r="P568" i="14"/>
  <c r="N476" i="14"/>
  <c r="P540" i="14"/>
  <c r="N560" i="14"/>
  <c r="N116" i="14"/>
  <c r="N516" i="14"/>
  <c r="N580" i="14"/>
  <c r="N113" i="14"/>
  <c r="N145" i="14"/>
  <c r="N257" i="14"/>
  <c r="N289" i="14"/>
  <c r="P168" i="14"/>
  <c r="N165" i="14"/>
  <c r="N40" i="14"/>
  <c r="P424" i="14"/>
  <c r="P504" i="14"/>
  <c r="P476" i="14"/>
  <c r="P217" i="14"/>
  <c r="P281" i="14"/>
  <c r="P441" i="14"/>
  <c r="P560" i="14"/>
  <c r="P61" i="14"/>
  <c r="N269" i="14"/>
  <c r="N301" i="14"/>
  <c r="N365" i="14"/>
  <c r="N429" i="14"/>
  <c r="N34" i="14"/>
  <c r="N66" i="14"/>
  <c r="N290" i="14"/>
  <c r="N546" i="14"/>
  <c r="N68" i="14"/>
  <c r="P116" i="14"/>
  <c r="N164" i="14"/>
  <c r="N324" i="14"/>
  <c r="N372" i="14"/>
  <c r="P516" i="14"/>
  <c r="P580" i="14"/>
  <c r="P113" i="14"/>
  <c r="P145" i="14"/>
  <c r="P257" i="14"/>
  <c r="P289" i="14"/>
  <c r="N465" i="14"/>
  <c r="N593" i="14"/>
  <c r="N102" i="14"/>
  <c r="N134" i="14"/>
  <c r="N262" i="14"/>
  <c r="N358" i="14"/>
  <c r="P376" i="14"/>
  <c r="N424" i="14"/>
  <c r="P229" i="14"/>
  <c r="N101" i="14"/>
  <c r="P165" i="14"/>
  <c r="P40" i="14"/>
  <c r="N120" i="14"/>
  <c r="N296" i="14"/>
  <c r="N37" i="14"/>
  <c r="P101" i="14"/>
  <c r="N293" i="14"/>
  <c r="N105" i="14"/>
  <c r="N297" i="14"/>
  <c r="N457" i="14"/>
  <c r="N521" i="14"/>
  <c r="N585" i="14"/>
  <c r="N649" i="14"/>
  <c r="N30" i="14"/>
  <c r="N94" i="14"/>
  <c r="N158" i="14"/>
  <c r="N222" i="14"/>
  <c r="N286" i="14"/>
  <c r="N544" i="14"/>
  <c r="N45" i="14"/>
  <c r="P365" i="14"/>
  <c r="P429" i="14"/>
  <c r="P68" i="14"/>
  <c r="P164" i="14"/>
  <c r="N244" i="14"/>
  <c r="P324" i="14"/>
  <c r="P372" i="14"/>
  <c r="N420" i="14"/>
  <c r="N564" i="14"/>
  <c r="N97" i="14"/>
  <c r="N129" i="14"/>
  <c r="N209" i="14"/>
  <c r="P465" i="14"/>
  <c r="P593" i="14"/>
  <c r="P134" i="14"/>
  <c r="P358" i="14"/>
  <c r="N464" i="14"/>
  <c r="P356" i="14"/>
  <c r="N353" i="14"/>
  <c r="N136" i="14"/>
  <c r="N264" i="14"/>
  <c r="N392" i="14"/>
  <c r="N456" i="14"/>
  <c r="N488" i="14"/>
  <c r="N552" i="14"/>
  <c r="N616" i="14"/>
  <c r="N85" i="14"/>
  <c r="N149" i="14"/>
  <c r="N213" i="14"/>
  <c r="N277" i="14"/>
  <c r="N84" i="14"/>
  <c r="P212" i="14"/>
  <c r="N193" i="14"/>
  <c r="P84" i="14"/>
  <c r="N260" i="14"/>
  <c r="P193" i="14"/>
  <c r="N56" i="14"/>
  <c r="N312" i="14"/>
  <c r="N524" i="14"/>
  <c r="N620" i="14"/>
  <c r="N512" i="14"/>
  <c r="N109" i="14"/>
  <c r="N100" i="14"/>
  <c r="P260" i="14"/>
  <c r="N340" i="14"/>
  <c r="N484" i="14"/>
  <c r="N452" i="14"/>
  <c r="N148" i="14"/>
  <c r="N276" i="14"/>
  <c r="N404" i="14"/>
  <c r="N13" i="14"/>
  <c r="O13" i="14"/>
  <c r="N14" i="14"/>
  <c r="O14" i="14"/>
  <c r="P28" i="14"/>
  <c r="N28" i="14"/>
  <c r="P220" i="14"/>
  <c r="N220" i="14"/>
  <c r="P44" i="14"/>
  <c r="N44" i="14"/>
  <c r="P236" i="14"/>
  <c r="N236" i="14"/>
  <c r="P300" i="14"/>
  <c r="N300" i="14"/>
  <c r="P48" i="14"/>
  <c r="N48" i="14"/>
  <c r="P112" i="14"/>
  <c r="N112" i="14"/>
  <c r="P176" i="14"/>
  <c r="N176" i="14"/>
  <c r="P240" i="14"/>
  <c r="N240" i="14"/>
  <c r="P304" i="14"/>
  <c r="N304" i="14"/>
  <c r="P368" i="14"/>
  <c r="N368" i="14"/>
  <c r="P432" i="14"/>
  <c r="N432" i="14"/>
  <c r="P156" i="14"/>
  <c r="N156" i="14"/>
  <c r="P412" i="14"/>
  <c r="N412" i="14"/>
  <c r="P108" i="14"/>
  <c r="N108" i="14"/>
  <c r="P364" i="14"/>
  <c r="N364" i="14"/>
  <c r="P60" i="14"/>
  <c r="N60" i="14"/>
  <c r="P124" i="14"/>
  <c r="N124" i="14"/>
  <c r="P188" i="14"/>
  <c r="N188" i="14"/>
  <c r="P252" i="14"/>
  <c r="N252" i="14"/>
  <c r="P316" i="14"/>
  <c r="N316" i="14"/>
  <c r="P380" i="14"/>
  <c r="N380" i="14"/>
  <c r="P444" i="14"/>
  <c r="N444" i="14"/>
  <c r="P64" i="14"/>
  <c r="N64" i="14"/>
  <c r="P128" i="14"/>
  <c r="N128" i="14"/>
  <c r="P192" i="14"/>
  <c r="N192" i="14"/>
  <c r="P256" i="14"/>
  <c r="N256" i="14"/>
  <c r="P320" i="14"/>
  <c r="N320" i="14"/>
  <c r="P384" i="14"/>
  <c r="N384" i="14"/>
  <c r="P92" i="14"/>
  <c r="N92" i="14"/>
  <c r="P348" i="14"/>
  <c r="N348" i="14"/>
  <c r="P172" i="14"/>
  <c r="N172" i="14"/>
  <c r="P428" i="14"/>
  <c r="N428" i="14"/>
  <c r="P76" i="14"/>
  <c r="N76" i="14"/>
  <c r="P140" i="14"/>
  <c r="N140" i="14"/>
  <c r="P204" i="14"/>
  <c r="N204" i="14"/>
  <c r="P268" i="14"/>
  <c r="N268" i="14"/>
  <c r="P332" i="14"/>
  <c r="N332" i="14"/>
  <c r="P396" i="14"/>
  <c r="N396" i="14"/>
  <c r="P460" i="14"/>
  <c r="N460" i="14"/>
  <c r="P80" i="14"/>
  <c r="N80" i="14"/>
  <c r="P144" i="14"/>
  <c r="N144" i="14"/>
  <c r="P208" i="14"/>
  <c r="N208" i="14"/>
  <c r="P272" i="14"/>
  <c r="N272" i="14"/>
  <c r="P336" i="14"/>
  <c r="N336" i="14"/>
  <c r="P400" i="14"/>
  <c r="N400" i="14"/>
  <c r="P284" i="14"/>
  <c r="N284" i="14"/>
  <c r="P32" i="14"/>
  <c r="N32" i="14"/>
  <c r="P96" i="14"/>
  <c r="N96" i="14"/>
  <c r="P160" i="14"/>
  <c r="N160" i="14"/>
  <c r="P224" i="14"/>
  <c r="N224" i="14"/>
  <c r="P288" i="14"/>
  <c r="N288" i="14"/>
  <c r="P352" i="14"/>
  <c r="N352" i="14"/>
  <c r="P416" i="14"/>
  <c r="N416" i="14"/>
  <c r="P13" i="14"/>
  <c r="Q13" i="14"/>
  <c r="M15" i="14"/>
  <c r="M22" i="14"/>
  <c r="M23" i="14"/>
  <c r="M19" i="14"/>
  <c r="M18" i="14"/>
  <c r="M21" i="14"/>
  <c r="M17" i="14"/>
  <c r="M16" i="14"/>
  <c r="Q16" i="14" s="1"/>
  <c r="M25" i="14"/>
  <c r="M24" i="14"/>
  <c r="M20" i="14"/>
  <c r="Q94" i="14"/>
  <c r="Q47" i="14"/>
  <c r="Q34" i="14"/>
  <c r="Q39" i="14"/>
  <c r="Q105" i="14"/>
  <c r="Q106" i="14"/>
  <c r="Q91" i="14"/>
  <c r="Q55" i="14"/>
  <c r="Q70" i="14"/>
  <c r="Q81" i="14"/>
  <c r="Q99" i="14"/>
  <c r="P14" i="14"/>
  <c r="Q14" i="14"/>
  <c r="Q65" i="14"/>
  <c r="Q36" i="14"/>
  <c r="Q63" i="14"/>
  <c r="P16" i="14" l="1"/>
  <c r="N24" i="14"/>
  <c r="O24" i="14"/>
  <c r="N21" i="14"/>
  <c r="O21" i="14"/>
  <c r="N22" i="14"/>
  <c r="O22" i="14"/>
  <c r="N18" i="14"/>
  <c r="O18" i="14"/>
  <c r="N15" i="14"/>
  <c r="O15" i="14"/>
  <c r="N25" i="14"/>
  <c r="O25" i="14"/>
  <c r="N16" i="14"/>
  <c r="O16" i="14"/>
  <c r="N19" i="14"/>
  <c r="O19" i="14"/>
  <c r="N20" i="14"/>
  <c r="O20" i="14"/>
  <c r="N17" i="14"/>
  <c r="O17" i="14"/>
  <c r="N23" i="14"/>
  <c r="O23" i="14"/>
  <c r="P15" i="14"/>
  <c r="Q97" i="14"/>
  <c r="P18" i="14"/>
  <c r="Q75" i="14"/>
  <c r="Q48" i="14"/>
  <c r="Q17" i="14"/>
  <c r="Q15" i="14"/>
  <c r="Q24" i="14"/>
  <c r="Q84" i="14"/>
  <c r="Q19" i="14"/>
  <c r="Q90" i="14"/>
  <c r="Q58" i="14"/>
  <c r="Q69" i="14"/>
  <c r="Q64" i="14"/>
  <c r="Q57" i="14"/>
  <c r="Q83" i="14"/>
  <c r="Q42" i="14"/>
  <c r="Q46" i="14"/>
  <c r="Q32" i="14"/>
  <c r="Q71" i="14"/>
  <c r="Q53" i="14"/>
  <c r="Q60" i="14"/>
  <c r="Q87" i="14"/>
  <c r="Q51" i="14"/>
  <c r="Q74" i="14"/>
  <c r="Q44" i="14"/>
  <c r="Q76" i="14"/>
  <c r="Q59" i="14"/>
  <c r="Q18" i="14"/>
  <c r="Q41" i="14"/>
  <c r="Q107" i="14"/>
  <c r="Q62" i="14"/>
  <c r="Q108" i="14"/>
  <c r="Q67" i="14"/>
  <c r="Q37" i="14"/>
  <c r="Q35" i="14"/>
  <c r="P24" i="14"/>
  <c r="Q49" i="14"/>
  <c r="Q45" i="14"/>
  <c r="Q89" i="14"/>
  <c r="Q86" i="14"/>
  <c r="Q72" i="14"/>
  <c r="Q103" i="14"/>
  <c r="Q110" i="14"/>
  <c r="Q68" i="14"/>
  <c r="Q25" i="14"/>
  <c r="Q33" i="14"/>
  <c r="Q100" i="14"/>
  <c r="P25" i="14"/>
  <c r="P22" i="14"/>
  <c r="Q117" i="14"/>
  <c r="Q22" i="14"/>
  <c r="Q23" i="14"/>
  <c r="Q104" i="14"/>
  <c r="Q95" i="14"/>
  <c r="P17" i="14"/>
  <c r="P23" i="14"/>
  <c r="Q30" i="14"/>
  <c r="Q56" i="14"/>
  <c r="Q43" i="14"/>
  <c r="Q96" i="14"/>
  <c r="Q102" i="14"/>
  <c r="Q73" i="14"/>
  <c r="Q38" i="14"/>
  <c r="Q109" i="14"/>
  <c r="Q27" i="14"/>
  <c r="Q78" i="14"/>
  <c r="Q92" i="14"/>
  <c r="Q52" i="14"/>
  <c r="P19" i="14"/>
  <c r="Q79" i="14"/>
  <c r="Q93" i="14"/>
  <c r="Q54" i="14"/>
  <c r="Q111" i="14"/>
  <c r="Q88" i="14"/>
  <c r="Q40" i="14"/>
  <c r="Q26" i="14"/>
  <c r="Q112" i="14"/>
  <c r="Q20" i="14"/>
  <c r="P20" i="14"/>
  <c r="Q116" i="14"/>
  <c r="Q66" i="14"/>
  <c r="Q113" i="14"/>
  <c r="P21" i="14"/>
  <c r="Q21" i="14"/>
  <c r="Q114" i="14"/>
  <c r="Q85" i="14"/>
  <c r="Q115" i="14"/>
  <c r="Q28" i="14"/>
  <c r="Q29" i="14"/>
  <c r="Q80" i="14"/>
  <c r="Q31" i="14"/>
  <c r="Q82" i="14"/>
  <c r="Q77" i="14"/>
  <c r="Q61" i="14"/>
  <c r="Q50" i="14"/>
  <c r="Q98" i="14"/>
  <c r="Q101" i="14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38" i="8" l="1"/>
  <c r="I139" i="8" l="1"/>
  <c r="I140" i="8"/>
  <c r="I141" i="8"/>
  <c r="I142" i="8"/>
  <c r="I143" i="8"/>
  <c r="I144" i="8"/>
  <c r="I145" i="8"/>
  <c r="I146" i="8"/>
  <c r="I124" i="8" l="1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12" i="8" l="1"/>
  <c r="I113" i="8"/>
  <c r="I114" i="8"/>
  <c r="I115" i="8"/>
  <c r="I116" i="8"/>
  <c r="I117" i="8"/>
  <c r="I118" i="8"/>
  <c r="I119" i="8"/>
  <c r="I120" i="8"/>
  <c r="I121" i="8"/>
  <c r="I122" i="8"/>
  <c r="I123" i="8"/>
  <c r="L719" i="14" l="1"/>
  <c r="L374" i="14"/>
  <c r="M8" i="14"/>
  <c r="L225" i="14"/>
  <c r="L275" i="14"/>
  <c r="L279" i="14"/>
  <c r="L521" i="14"/>
  <c r="L205" i="14"/>
  <c r="L351" i="14"/>
  <c r="L256" i="14"/>
  <c r="L237" i="14"/>
  <c r="L307" i="14"/>
  <c r="L655" i="14"/>
  <c r="L271" i="14"/>
  <c r="M11" i="14"/>
  <c r="L343" i="14"/>
  <c r="M9" i="14"/>
  <c r="L569" i="14"/>
  <c r="L174" i="14"/>
  <c r="L425" i="14"/>
  <c r="L181" i="14"/>
  <c r="L457" i="14"/>
  <c r="L355" i="14"/>
  <c r="L217" i="14"/>
  <c r="L299" i="14"/>
  <c r="L347" i="14"/>
  <c r="L213" i="14"/>
  <c r="L229" i="14"/>
  <c r="L221" i="14"/>
  <c r="L197" i="14"/>
  <c r="L367" i="14"/>
  <c r="L249" i="14"/>
  <c r="M7" i="14"/>
  <c r="L339" i="14"/>
  <c r="L287" i="14"/>
  <c r="L201" i="14"/>
  <c r="L404" i="14"/>
  <c r="L295" i="14"/>
  <c r="L170" i="14"/>
  <c r="L617" i="14"/>
  <c r="L441" i="14"/>
  <c r="M10" i="14"/>
  <c r="L420" i="14"/>
  <c r="L241" i="14"/>
  <c r="L505" i="14"/>
  <c r="L233" i="14"/>
  <c r="L783" i="14"/>
  <c r="L406" i="14"/>
  <c r="L1051" i="14"/>
  <c r="L260" i="14"/>
  <c r="L335" i="14"/>
  <c r="L166" i="14"/>
  <c r="Q151" i="14"/>
  <c r="L489" i="14"/>
  <c r="L389" i="14"/>
  <c r="L585" i="14"/>
  <c r="L372" i="14"/>
  <c r="L473" i="14"/>
  <c r="L252" i="14"/>
  <c r="L390" i="14"/>
  <c r="L359" i="14"/>
  <c r="L189" i="14"/>
  <c r="L268" i="14"/>
  <c r="L553" i="14"/>
  <c r="L388" i="14"/>
  <c r="L331" i="14"/>
  <c r="L209" i="14"/>
  <c r="L315" i="14"/>
  <c r="L405" i="14"/>
  <c r="L319" i="14"/>
  <c r="L311" i="14"/>
  <c r="L363" i="14"/>
  <c r="L193" i="14"/>
  <c r="L264" i="14"/>
  <c r="L291" i="14"/>
  <c r="L286" i="14"/>
  <c r="L203" i="14"/>
  <c r="L399" i="14"/>
  <c r="L667" i="14"/>
  <c r="L454" i="14"/>
  <c r="L624" i="14"/>
  <c r="L964" i="14"/>
  <c r="L934" i="14"/>
  <c r="L774" i="14"/>
  <c r="L1157" i="14"/>
  <c r="L383" i="14"/>
  <c r="L949" i="14"/>
  <c r="L267" i="14"/>
  <c r="L804" i="14"/>
  <c r="L679" i="14"/>
  <c r="L350" i="14"/>
  <c r="L1175" i="14"/>
  <c r="L438" i="14"/>
  <c r="L1159" i="14"/>
  <c r="L743" i="14"/>
  <c r="L789" i="14"/>
  <c r="L820" i="14"/>
  <c r="L187" i="14"/>
  <c r="L517" i="14"/>
  <c r="L1228" i="14"/>
  <c r="L508" i="14"/>
  <c r="L592" i="14"/>
  <c r="L879" i="14"/>
  <c r="L731" i="14"/>
  <c r="L1068" i="14"/>
  <c r="L763" i="14"/>
  <c r="L290" i="14"/>
  <c r="L1232" i="14"/>
  <c r="L455" i="14"/>
  <c r="L1209" i="14"/>
  <c r="L461" i="14"/>
  <c r="L417" i="14"/>
  <c r="L880" i="14"/>
  <c r="L903" i="14"/>
  <c r="L812" i="14"/>
  <c r="L232" i="14"/>
  <c r="L1060" i="14"/>
  <c r="L746" i="14"/>
  <c r="L1008" i="14"/>
  <c r="L597" i="14"/>
  <c r="L261" i="14"/>
  <c r="L171" i="14"/>
  <c r="L912" i="14"/>
  <c r="L706" i="14"/>
  <c r="L1194" i="14"/>
  <c r="L1050" i="14"/>
  <c r="L1074" i="14"/>
  <c r="L370" i="14"/>
  <c r="L575" i="14"/>
  <c r="L612" i="14"/>
  <c r="L488" i="14"/>
  <c r="L888" i="14"/>
  <c r="L1271" i="14"/>
  <c r="L1114" i="14"/>
  <c r="L952" i="14"/>
  <c r="L1139" i="14"/>
  <c r="L792" i="14"/>
  <c r="L918" i="14"/>
  <c r="L183" i="14"/>
  <c r="L478" i="14"/>
  <c r="L499" i="14"/>
  <c r="L961" i="14"/>
  <c r="L824" i="14"/>
  <c r="L1058" i="14"/>
  <c r="L502" i="14"/>
  <c r="L1081" i="14"/>
  <c r="L846" i="14"/>
  <c r="L610" i="14"/>
  <c r="L745" i="14"/>
  <c r="L991" i="14"/>
  <c r="L698" i="14"/>
  <c r="L732" i="14"/>
  <c r="L1030" i="14"/>
  <c r="L226" i="14"/>
  <c r="L392" i="14"/>
  <c r="L1170" i="14"/>
  <c r="L1034" i="14"/>
  <c r="L1108" i="14"/>
  <c r="L544" i="14"/>
  <c r="L418" i="14"/>
  <c r="L707" i="14"/>
  <c r="L329" i="14"/>
  <c r="L601" i="14"/>
  <c r="L371" i="14"/>
  <c r="L477" i="14"/>
  <c r="L1089" i="14"/>
  <c r="L990" i="14"/>
  <c r="L672" i="14"/>
  <c r="L490" i="14"/>
  <c r="L1110" i="14"/>
  <c r="L1136" i="14"/>
  <c r="L638" i="14"/>
  <c r="L1118" i="14"/>
  <c r="L1121" i="14"/>
  <c r="L251" i="14"/>
  <c r="L976" i="14"/>
  <c r="L1207" i="14"/>
  <c r="L432" i="14"/>
  <c r="L234" i="14"/>
  <c r="L244" i="14"/>
  <c r="L939" i="14"/>
  <c r="L790" i="14"/>
  <c r="L169" i="14"/>
  <c r="L1281" i="14"/>
  <c r="L688" i="14"/>
  <c r="L902" i="14"/>
  <c r="L416" i="14"/>
  <c r="L821" i="14"/>
  <c r="L810" i="14"/>
  <c r="L895" i="14"/>
  <c r="L1187" i="14"/>
  <c r="L1023" i="14"/>
  <c r="L173" i="14"/>
  <c r="L167" i="14"/>
  <c r="L442" i="14"/>
  <c r="L1140" i="14"/>
  <c r="L1006" i="14"/>
  <c r="L1167" i="14"/>
  <c r="L179" i="14"/>
  <c r="L1141" i="14"/>
  <c r="L922" i="14"/>
  <c r="L762" i="14"/>
  <c r="L608" i="14"/>
  <c r="L309" i="14"/>
  <c r="L414" i="14"/>
  <c r="L387" i="14"/>
  <c r="L897" i="14"/>
  <c r="L516" i="14"/>
  <c r="L866" i="14"/>
  <c r="L1148" i="14"/>
  <c r="L1053" i="14"/>
  <c r="L546" i="14"/>
  <c r="L728" i="14"/>
  <c r="L740" i="14"/>
  <c r="L995" i="14"/>
  <c r="L668" i="14"/>
  <c r="L212" i="14"/>
  <c r="L920" i="14"/>
  <c r="L386" i="14"/>
  <c r="L186" i="14"/>
  <c r="L1145" i="14"/>
  <c r="L999" i="14"/>
  <c r="L953" i="14"/>
  <c r="L1033" i="14"/>
  <c r="L407" i="14"/>
  <c r="L632" i="14"/>
  <c r="L946" i="14"/>
  <c r="L969" i="14"/>
  <c r="L1219" i="14"/>
  <c r="L1019" i="14"/>
  <c r="L1198" i="14"/>
  <c r="L1071" i="14"/>
  <c r="L539" i="14"/>
  <c r="L757" i="14"/>
  <c r="L269" i="14"/>
  <c r="L871" i="14"/>
  <c r="L904" i="14"/>
  <c r="L717" i="14"/>
  <c r="L349" i="14"/>
  <c r="L495" i="14"/>
  <c r="L663" i="14"/>
  <c r="L1062" i="14"/>
  <c r="L1229" i="14"/>
  <c r="L993" i="14"/>
  <c r="L854" i="14"/>
  <c r="L588" i="14"/>
  <c r="L725" i="14"/>
  <c r="L626" i="14"/>
  <c r="L313" i="14"/>
  <c r="L465" i="14"/>
  <c r="L908" i="14"/>
  <c r="L245" i="14"/>
  <c r="L1182" i="14"/>
  <c r="L658" i="14"/>
  <c r="L966" i="14"/>
  <c r="L809" i="14"/>
  <c r="L687" i="14"/>
  <c r="L1109" i="14"/>
  <c r="L1196" i="14"/>
  <c r="L722" i="14"/>
  <c r="L543" i="14"/>
  <c r="L650" i="14"/>
  <c r="L325" i="14"/>
  <c r="L963" i="14"/>
  <c r="L800" i="14"/>
  <c r="L970" i="14"/>
  <c r="L449" i="14"/>
  <c r="L704" i="14"/>
  <c r="L1096" i="14"/>
  <c r="L304" i="14"/>
  <c r="L486" i="14"/>
  <c r="L479" i="14"/>
  <c r="L219" i="14"/>
  <c r="L1276" i="14"/>
  <c r="L830" i="14"/>
  <c r="L594" i="14"/>
  <c r="L1218" i="14"/>
  <c r="L426" i="14"/>
  <c r="L423" i="14"/>
  <c r="L664" i="14"/>
  <c r="L962" i="14"/>
  <c r="L248" i="14"/>
  <c r="L1044" i="14"/>
  <c r="L923" i="14"/>
  <c r="L1215" i="14"/>
  <c r="L911" i="14"/>
  <c r="L526" i="14"/>
  <c r="L549" i="14"/>
  <c r="L1115" i="14"/>
  <c r="L837" i="14"/>
  <c r="L1235" i="14"/>
  <c r="L1077" i="14"/>
  <c r="L928" i="14"/>
  <c r="L741" i="14"/>
  <c r="L769" i="14"/>
  <c r="L1172" i="14"/>
  <c r="L305" i="14"/>
  <c r="L204" i="14"/>
  <c r="L737" i="14"/>
  <c r="L623" i="14"/>
  <c r="L450" i="14"/>
  <c r="L853" i="14"/>
  <c r="L1122" i="14"/>
  <c r="L1070" i="14"/>
  <c r="L176" i="14"/>
  <c r="L850" i="14"/>
  <c r="L1021" i="14"/>
  <c r="L541" i="14"/>
  <c r="L574" i="14"/>
  <c r="L759" i="14"/>
  <c r="L464" i="14"/>
  <c r="L266" i="14"/>
  <c r="L1137" i="14"/>
  <c r="L413" i="14"/>
  <c r="L913" i="14"/>
  <c r="L916" i="14"/>
  <c r="L1184" i="14"/>
  <c r="L589" i="14"/>
  <c r="L605" i="14"/>
  <c r="L786" i="14"/>
  <c r="L1046" i="14"/>
  <c r="L736" i="14"/>
  <c r="L1256" i="14"/>
  <c r="L858" i="14"/>
  <c r="L876" i="14"/>
  <c r="L320" i="14"/>
  <c r="L1254" i="14"/>
  <c r="L1282" i="14"/>
  <c r="L518" i="14"/>
  <c r="L451" i="14"/>
  <c r="L567" i="14"/>
  <c r="L649" i="14"/>
  <c r="L747" i="14"/>
  <c r="L366" i="14"/>
  <c r="L676" i="14"/>
  <c r="L1064" i="14"/>
  <c r="L1039" i="14"/>
  <c r="L342" i="14"/>
  <c r="L556" i="14"/>
  <c r="L1130" i="14"/>
  <c r="L525" i="14"/>
  <c r="L631" i="14"/>
  <c r="L1197" i="14"/>
  <c r="L971" i="14"/>
  <c r="L1132" i="14"/>
  <c r="L1123" i="14"/>
  <c r="L344" i="14"/>
  <c r="L1253" i="14"/>
  <c r="L1054" i="14"/>
  <c r="L744" i="14"/>
  <c r="L346" i="14"/>
  <c r="L198" i="14"/>
  <c r="L215" i="14"/>
  <c r="L1083" i="14"/>
  <c r="L788" i="14"/>
  <c r="L874" i="14"/>
  <c r="L184" i="14"/>
  <c r="L1257" i="14"/>
  <c r="L1270" i="14"/>
  <c r="L523" i="14"/>
  <c r="L316" i="14"/>
  <c r="L921" i="14"/>
  <c r="L1237" i="14"/>
  <c r="L246" i="14"/>
  <c r="L210" i="14"/>
  <c r="L1040" i="14"/>
  <c r="L842" i="14"/>
  <c r="L182" i="14"/>
  <c r="L984" i="14"/>
  <c r="L1227" i="14"/>
  <c r="L1179" i="14"/>
  <c r="L175" i="14"/>
  <c r="L819" i="14"/>
  <c r="L1117" i="14"/>
  <c r="L931" i="14"/>
  <c r="L652" i="14"/>
  <c r="L711" i="14"/>
  <c r="L356" i="14"/>
  <c r="L603" i="14"/>
  <c r="L980" i="14"/>
  <c r="L816" i="14"/>
  <c r="L806" i="14"/>
  <c r="L365" i="14"/>
  <c r="L1165" i="14"/>
  <c r="L793" i="14"/>
  <c r="L1142" i="14"/>
  <c r="L891" i="14"/>
  <c r="L954" i="14"/>
  <c r="L208" i="14"/>
  <c r="L369" i="14"/>
  <c r="L657" i="14"/>
  <c r="L306" i="14"/>
  <c r="L552" i="14"/>
  <c r="L301" i="14"/>
  <c r="L845" i="14"/>
  <c r="L878" i="14"/>
  <c r="L494" i="14"/>
  <c r="L1208" i="14"/>
  <c r="L263" i="14"/>
  <c r="L195" i="14"/>
  <c r="L190" i="14"/>
  <c r="L768" i="14"/>
  <c r="L619" i="14"/>
  <c r="L1128" i="14"/>
  <c r="L1015" i="14"/>
  <c r="L1251" i="14"/>
  <c r="L884" i="14"/>
  <c r="L784" i="14"/>
  <c r="L691" i="14"/>
  <c r="L686" i="14"/>
  <c r="L942" i="14"/>
  <c r="L500" i="14"/>
  <c r="L459" i="14"/>
  <c r="L1155" i="14"/>
  <c r="L185" i="14"/>
  <c r="L1192" i="14"/>
  <c r="L814" i="14"/>
  <c r="L570" i="14"/>
  <c r="L582" i="14"/>
  <c r="L1031" i="14"/>
  <c r="L297" i="14"/>
  <c r="L651" i="14"/>
  <c r="L659" i="14"/>
  <c r="L493" i="14"/>
  <c r="L396" i="14"/>
  <c r="L881" i="14"/>
  <c r="L1005" i="14"/>
  <c r="L270" i="14"/>
  <c r="L530" i="14"/>
  <c r="L172" i="14"/>
  <c r="L894" i="14"/>
  <c r="L533" i="14"/>
  <c r="L487" i="14"/>
  <c r="L1279" i="14"/>
  <c r="L621" i="14"/>
  <c r="L557" i="14"/>
  <c r="L727" i="14"/>
  <c r="L907" i="14"/>
  <c r="L1244" i="14"/>
  <c r="L1112" i="14"/>
  <c r="L690" i="14"/>
  <c r="L611" i="14"/>
  <c r="L914" i="14"/>
  <c r="L1014" i="14"/>
  <c r="L289" i="14"/>
  <c r="L748" i="14"/>
  <c r="L943" i="14"/>
  <c r="L849" i="14"/>
  <c r="L1274" i="14"/>
  <c r="L324" i="14"/>
  <c r="L280" i="14"/>
  <c r="L848" i="14"/>
  <c r="L1242" i="14"/>
  <c r="L785" i="14"/>
  <c r="L1248" i="14"/>
  <c r="L986" i="14"/>
  <c r="L1004" i="14"/>
  <c r="L194" i="14"/>
  <c r="L293" i="14"/>
  <c r="L447" i="14"/>
  <c r="L484" i="14"/>
  <c r="L424" i="14"/>
  <c r="L825" i="14"/>
  <c r="L875" i="14"/>
  <c r="L639" i="14"/>
  <c r="L443" i="14"/>
  <c r="L967" i="14"/>
  <c r="L957" i="14"/>
  <c r="L430" i="14"/>
  <c r="L1243" i="14"/>
  <c r="L273" i="14"/>
  <c r="L654" i="14"/>
  <c r="L496" i="14"/>
  <c r="L712" i="14"/>
  <c r="L584" i="14"/>
  <c r="L376" i="14"/>
  <c r="L1105" i="14"/>
  <c r="L310" i="14"/>
  <c r="L694" i="14"/>
  <c r="L216" i="14"/>
  <c r="L1233" i="14"/>
  <c r="L640" i="14"/>
  <c r="L480" i="14"/>
  <c r="L492" i="14"/>
  <c r="L1095" i="14"/>
  <c r="L1126" i="14"/>
  <c r="L1150" i="14"/>
  <c r="L368" i="14"/>
  <c r="L972" i="14"/>
  <c r="L1037" i="14"/>
  <c r="L1101" i="14"/>
  <c r="L615" i="14"/>
  <c r="L590" i="14"/>
  <c r="L230" i="14"/>
  <c r="L333" i="14"/>
  <c r="L794" i="14"/>
  <c r="L828" i="14"/>
  <c r="L1171" i="14"/>
  <c r="L340" i="14"/>
  <c r="L997" i="14"/>
  <c r="L353" i="14"/>
  <c r="L330" i="14"/>
  <c r="L689" i="14"/>
  <c r="L1143" i="14"/>
  <c r="L855" i="14"/>
  <c r="L1239" i="14"/>
  <c r="L1099" i="14"/>
  <c r="L877" i="14"/>
  <c r="L683" i="14"/>
  <c r="L1189" i="14"/>
  <c r="L384" i="14"/>
  <c r="L527" i="14"/>
  <c r="L773" i="14"/>
  <c r="L937" i="14"/>
  <c r="L1238" i="14"/>
  <c r="L886" i="14"/>
  <c r="L434" i="14"/>
  <c r="L240" i="14"/>
  <c r="L277" i="14"/>
  <c r="L1098" i="14"/>
  <c r="L795" i="14"/>
  <c r="L791" i="14"/>
  <c r="L1028" i="14"/>
  <c r="L223" i="14"/>
  <c r="L253" i="14"/>
  <c r="L1278" i="14"/>
  <c r="L531" i="14"/>
  <c r="L1107" i="14"/>
  <c r="L1188" i="14"/>
  <c r="L385" i="14"/>
  <c r="L808" i="14"/>
  <c r="L560" i="14"/>
  <c r="L294" i="14"/>
  <c r="L742" i="14"/>
  <c r="L682" i="14"/>
  <c r="L1174" i="14"/>
  <c r="L1223" i="14"/>
  <c r="L540" i="14"/>
  <c r="L797" i="14"/>
  <c r="L968" i="14"/>
  <c r="L577" i="14"/>
  <c r="L602" i="14"/>
  <c r="L833" i="14"/>
  <c r="L787" i="14"/>
  <c r="L945" i="14"/>
  <c r="L188" i="14"/>
  <c r="L1084" i="14"/>
  <c r="L989" i="14"/>
  <c r="L482" i="14"/>
  <c r="L1204" i="14"/>
  <c r="L843" i="14"/>
  <c r="L665" i="14"/>
  <c r="L827" i="14"/>
  <c r="L274" i="14"/>
  <c r="L932" i="14"/>
  <c r="L300" i="14"/>
  <c r="L1154" i="14"/>
  <c r="L1022" i="14"/>
  <c r="L532" i="14"/>
  <c r="L600" i="14"/>
  <c r="L684" i="14"/>
  <c r="L446" i="14"/>
  <c r="L312" i="14"/>
  <c r="L661" i="14"/>
  <c r="L730" i="14"/>
  <c r="L764" i="14"/>
  <c r="L1222" i="14"/>
  <c r="L869" i="14"/>
  <c r="L497" i="14"/>
  <c r="L1263" i="14"/>
  <c r="L1268" i="14"/>
  <c r="L1061" i="14"/>
  <c r="L642" i="14"/>
  <c r="L1226" i="14"/>
  <c r="L1066" i="14"/>
  <c r="L1138" i="14"/>
  <c r="L1217" i="14"/>
  <c r="L765" i="14"/>
  <c r="L1103" i="14"/>
  <c r="L647" i="14"/>
  <c r="L770" i="14"/>
  <c r="L1000" i="14"/>
  <c r="L813" i="14"/>
  <c r="L254" i="14"/>
  <c r="L865" i="14"/>
  <c r="L519" i="14"/>
  <c r="L1080" i="14"/>
  <c r="L231" i="14"/>
  <c r="L674" i="14"/>
  <c r="L400" i="14"/>
  <c r="L994" i="14"/>
  <c r="L534" i="14"/>
  <c r="L1097" i="14"/>
  <c r="L862" i="14"/>
  <c r="L627" i="14"/>
  <c r="L841" i="14"/>
  <c r="L364" i="14"/>
  <c r="L692" i="14"/>
  <c r="L456" i="14"/>
  <c r="L714" i="14"/>
  <c r="L1147" i="14"/>
  <c r="L247" i="14"/>
  <c r="L604" i="14"/>
  <c r="L1093" i="14"/>
  <c r="L318" i="14"/>
  <c r="L535" i="14"/>
  <c r="L436" i="14"/>
  <c r="L802" i="14"/>
  <c r="L463" i="14"/>
  <c r="L427" i="14"/>
  <c r="L1045" i="14"/>
  <c r="L868" i="14"/>
  <c r="L338" i="14"/>
  <c r="L1246" i="14"/>
  <c r="L1178" i="14"/>
  <c r="L983" i="14"/>
  <c r="L591" i="14"/>
  <c r="L491" i="14"/>
  <c r="L699" i="14"/>
  <c r="L648" i="14"/>
  <c r="L772" i="14"/>
  <c r="L646" i="14"/>
  <c r="L1260" i="14"/>
  <c r="L375" i="14"/>
  <c r="L965" i="14"/>
  <c r="L380" i="14"/>
  <c r="L378" i="14"/>
  <c r="L673" i="14"/>
  <c r="L566" i="14"/>
  <c r="L996" i="14"/>
  <c r="L1016" i="14"/>
  <c r="L829" i="14"/>
  <c r="L239" i="14"/>
  <c r="L929" i="14"/>
  <c r="L1284" i="14"/>
  <c r="L510" i="14"/>
  <c r="L547" i="14"/>
  <c r="L1231" i="14"/>
  <c r="L579" i="14"/>
  <c r="L542" i="14"/>
  <c r="L890" i="14"/>
  <c r="L1262" i="14"/>
  <c r="L314" i="14"/>
  <c r="L938" i="14"/>
  <c r="L761" i="14"/>
  <c r="L803" i="14"/>
  <c r="L564" i="14"/>
  <c r="L882" i="14"/>
  <c r="L1048" i="14"/>
  <c r="L1206" i="14"/>
  <c r="L559" i="14"/>
  <c r="L1245" i="14"/>
  <c r="L1038" i="14"/>
  <c r="L475" i="14"/>
  <c r="L644" i="14"/>
  <c r="L815" i="14"/>
  <c r="L710" i="14"/>
  <c r="L1086" i="14"/>
  <c r="L653" i="14"/>
  <c r="L481" i="14"/>
  <c r="L377" i="14"/>
  <c r="L471" i="14"/>
  <c r="L1230" i="14"/>
  <c r="L1241" i="14"/>
  <c r="L1161" i="14"/>
  <c r="L504" i="14"/>
  <c r="L823" i="14"/>
  <c r="L775" i="14"/>
  <c r="L777" i="14"/>
  <c r="L1176" i="14"/>
  <c r="L1200" i="14"/>
  <c r="L927" i="14"/>
  <c r="L453" i="14"/>
  <c r="L1069" i="14"/>
  <c r="L524" i="14"/>
  <c r="L1225" i="14"/>
  <c r="L514" i="14"/>
  <c r="L1013" i="14"/>
  <c r="L889" i="14"/>
  <c r="L702" i="14"/>
  <c r="L1106" i="14"/>
  <c r="L899" i="14"/>
  <c r="L613" i="14"/>
  <c r="L1273" i="14"/>
  <c r="L1259" i="14"/>
  <c r="L738" i="14"/>
  <c r="L857" i="14"/>
  <c r="L428" i="14"/>
  <c r="L1072" i="14"/>
  <c r="L352" i="14"/>
  <c r="L883" i="14"/>
  <c r="L361" i="14"/>
  <c r="L1035" i="14"/>
  <c r="L512" i="14"/>
  <c r="L587" i="14"/>
  <c r="L724" i="14"/>
  <c r="L460" i="14"/>
  <c r="L885" i="14"/>
  <c r="L440" i="14"/>
  <c r="L285" i="14"/>
  <c r="L1216" i="14"/>
  <c r="L322" i="14"/>
  <c r="L716" i="14"/>
  <c r="L892" i="14"/>
  <c r="L1009" i="14"/>
  <c r="L561" i="14"/>
  <c r="L898" i="14"/>
  <c r="L529" i="14"/>
  <c r="L415" i="14"/>
  <c r="L696" i="14"/>
  <c r="L956" i="14"/>
  <c r="L1075" i="14"/>
  <c r="L618" i="14"/>
  <c r="L206" i="14"/>
  <c r="L165" i="14"/>
  <c r="L437" i="14"/>
  <c r="L576" i="14"/>
  <c r="L860" i="14"/>
  <c r="L718" i="14"/>
  <c r="L410" i="14"/>
  <c r="L1088" i="14"/>
  <c r="L485" i="14"/>
  <c r="L919" i="14"/>
  <c r="L900" i="14"/>
  <c r="L677" i="14"/>
  <c r="L572" i="14"/>
  <c r="L708" i="14"/>
  <c r="L228" i="14"/>
  <c r="L328" i="14"/>
  <c r="L1025" i="14"/>
  <c r="L870" i="14"/>
  <c r="L1258" i="14"/>
  <c r="L872" i="14"/>
  <c r="L1047" i="14"/>
  <c r="L381" i="14"/>
  <c r="L1267" i="14"/>
  <c r="L402" i="14"/>
  <c r="L379" i="14"/>
  <c r="L537" i="14"/>
  <c r="L262" i="14"/>
  <c r="L409" i="14"/>
  <c r="L281" i="14"/>
  <c r="L1119" i="14"/>
  <c r="L680" i="14"/>
  <c r="L1133" i="14"/>
  <c r="L831" i="14"/>
  <c r="L1049" i="14"/>
  <c r="L1252" i="14"/>
  <c r="L515" i="14"/>
  <c r="L1185" i="14"/>
  <c r="L1010" i="14"/>
  <c r="L362" i="14"/>
  <c r="L852" i="14"/>
  <c r="L752" i="14"/>
  <c r="L678" i="14"/>
  <c r="L545" i="14"/>
  <c r="L753" i="14"/>
  <c r="L950" i="14"/>
  <c r="L801" i="14"/>
  <c r="L981" i="14"/>
  <c r="L675" i="14"/>
  <c r="L168" i="14"/>
  <c r="L951" i="14"/>
  <c r="L681" i="14"/>
  <c r="L1213" i="14"/>
  <c r="L439" i="14"/>
  <c r="L636" i="14"/>
  <c r="L697" i="14"/>
  <c r="L1201" i="14"/>
  <c r="L257" i="14"/>
  <c r="L863" i="14"/>
  <c r="L1085" i="14"/>
  <c r="L630" i="14"/>
  <c r="L685" i="14"/>
  <c r="L462" i="14"/>
  <c r="L227" i="14"/>
  <c r="L298" i="14"/>
  <c r="L1100" i="14"/>
  <c r="L778" i="14"/>
  <c r="L238" i="14"/>
  <c r="L354" i="14"/>
  <c r="L598" i="14"/>
  <c r="L755" i="14"/>
  <c r="L776" i="14"/>
  <c r="L901" i="14"/>
  <c r="L641" i="14"/>
  <c r="L528" i="14"/>
  <c r="L729" i="14"/>
  <c r="L1224" i="14"/>
  <c r="L807" i="14"/>
  <c r="L501" i="14"/>
  <c r="L733" i="14"/>
  <c r="L538" i="14"/>
  <c r="L1240" i="14"/>
  <c r="L259" i="14"/>
  <c r="L599" i="14"/>
  <c r="L214" i="14"/>
  <c r="L1018" i="14"/>
  <c r="L822" i="14"/>
  <c r="L1057" i="14"/>
  <c r="L811" i="14"/>
  <c r="L520" i="14"/>
  <c r="L565" i="14"/>
  <c r="L1180" i="14"/>
  <c r="L581" i="14"/>
  <c r="L851" i="14"/>
  <c r="L278" i="14"/>
  <c r="L1280" i="14"/>
  <c r="L715" i="14"/>
  <c r="L1166" i="14"/>
  <c r="L571" i="14"/>
  <c r="L998" i="14"/>
  <c r="L1017" i="14"/>
  <c r="L839" i="14"/>
  <c r="L509" i="14"/>
  <c r="L1144" i="14"/>
  <c r="L896" i="14"/>
  <c r="L255" i="14"/>
  <c r="L1059" i="14"/>
  <c r="L1250" i="14"/>
  <c r="L960" i="14"/>
  <c r="L1151" i="14"/>
  <c r="L408" i="14"/>
  <c r="L1160" i="14"/>
  <c r="L906" i="14"/>
  <c r="L924" i="14"/>
  <c r="L272" i="14"/>
  <c r="L1203" i="14"/>
  <c r="L844" i="14"/>
  <c r="L522" i="14"/>
  <c r="L1056" i="14"/>
  <c r="L905" i="14"/>
  <c r="L756" i="14"/>
  <c r="L703" i="14"/>
  <c r="L1152" i="14"/>
  <c r="L476" i="14"/>
  <c r="L1156" i="14"/>
  <c r="L609" i="14"/>
  <c r="L1266" i="14"/>
  <c r="L345" i="14"/>
  <c r="L1272" i="14"/>
  <c r="L973" i="14"/>
  <c r="L466" i="14"/>
  <c r="L1104" i="14"/>
  <c r="L265" i="14"/>
  <c r="L622" i="14"/>
  <c r="L468" i="14"/>
  <c r="L834" i="14"/>
  <c r="L1277" i="14"/>
  <c r="L935" i="14"/>
  <c r="L1202" i="14"/>
  <c r="L720" i="14"/>
  <c r="L276" i="14"/>
  <c r="L332" i="14"/>
  <c r="L1120" i="14"/>
  <c r="L1003" i="14"/>
  <c r="L887" i="14"/>
  <c r="L1163" i="14"/>
  <c r="L1125" i="14"/>
  <c r="L940" i="14"/>
  <c r="L754" i="14"/>
  <c r="L670" i="14"/>
  <c r="L1063" i="14"/>
  <c r="L1001" i="14"/>
  <c r="L1073" i="14"/>
  <c r="L458" i="14"/>
  <c r="L735" i="14"/>
  <c r="L1042" i="14"/>
  <c r="L933" i="14"/>
  <c r="L580" i="14"/>
  <c r="L1124" i="14"/>
  <c r="L1111" i="14"/>
  <c r="L1090" i="14"/>
  <c r="L838" i="14"/>
  <c r="L926" i="14"/>
  <c r="L988" i="14"/>
  <c r="L1036" i="14"/>
  <c r="L1236" i="14"/>
  <c r="L394" i="14"/>
  <c r="L1102" i="14"/>
  <c r="L760" i="14"/>
  <c r="L1149" i="14"/>
  <c r="L666" i="14"/>
  <c r="L700" i="14"/>
  <c r="L180" i="14"/>
  <c r="L1269" i="14"/>
  <c r="L258" i="14"/>
  <c r="L1012" i="14"/>
  <c r="L1199" i="14"/>
  <c r="L847" i="14"/>
  <c r="L948" i="14"/>
  <c r="L721" i="14"/>
  <c r="L1193" i="14"/>
  <c r="L1002" i="14"/>
  <c r="L1020" i="14"/>
  <c r="L178" i="14"/>
  <c r="L1091" i="14"/>
  <c r="L1134" i="14"/>
  <c r="L302" i="14"/>
  <c r="L191" i="14"/>
  <c r="L419" i="14"/>
  <c r="L222" i="14"/>
  <c r="L767" i="14"/>
  <c r="L1131" i="14"/>
  <c r="L909" i="14"/>
  <c r="M12" i="14"/>
  <c r="L1082" i="14"/>
  <c r="L799" i="14"/>
  <c r="L558" i="14"/>
  <c r="L695" i="14"/>
  <c r="L1041" i="14"/>
  <c r="L1113" i="14"/>
  <c r="L726" i="14"/>
  <c r="L200" i="14"/>
  <c r="L1249" i="14"/>
  <c r="L656" i="14"/>
  <c r="L596" i="14"/>
  <c r="L192" i="14"/>
  <c r="L1264" i="14"/>
  <c r="L958" i="14"/>
  <c r="L395" i="14"/>
  <c r="L513" i="14"/>
  <c r="L470" i="14"/>
  <c r="L403" i="14"/>
  <c r="L551" i="14"/>
  <c r="L633" i="14"/>
  <c r="L1162" i="14"/>
  <c r="L321" i="14"/>
  <c r="L1029" i="14"/>
  <c r="L337" i="14"/>
  <c r="L282" i="14"/>
  <c r="L705" i="14"/>
  <c r="L583" i="14"/>
  <c r="L398" i="14"/>
  <c r="L288" i="14"/>
  <c r="L780" i="14"/>
  <c r="L326" i="14"/>
  <c r="L693" i="14"/>
  <c r="L941" i="14"/>
  <c r="L235" i="14"/>
  <c r="L1146" i="14"/>
  <c r="L635" i="14"/>
  <c r="L1211" i="14"/>
  <c r="L917" i="14"/>
  <c r="L1032" i="14"/>
  <c r="L645" i="14"/>
  <c r="L224" i="14"/>
  <c r="L910" i="14"/>
  <c r="L930" i="14"/>
  <c r="L734" i="14"/>
  <c r="L1116" i="14"/>
  <c r="L1275" i="14"/>
  <c r="L1127" i="14"/>
  <c r="L1220" i="14"/>
  <c r="L391" i="14"/>
  <c r="L563" i="14"/>
  <c r="L1043" i="14"/>
  <c r="L832" i="14"/>
  <c r="L861" i="14"/>
  <c r="L568" i="14"/>
  <c r="L292" i="14"/>
  <c r="L893" i="14"/>
  <c r="L548" i="14"/>
  <c r="L1135" i="14"/>
  <c r="L296" i="14"/>
  <c r="L606" i="14"/>
  <c r="L452" i="14"/>
  <c r="L1158" i="14"/>
  <c r="L840" i="14"/>
  <c r="L1153" i="14"/>
  <c r="L431" i="14"/>
  <c r="L1181" i="14"/>
  <c r="L974" i="14"/>
  <c r="L411" i="14"/>
  <c r="L607" i="14"/>
  <c r="L196" i="14"/>
  <c r="L915" i="14"/>
  <c r="L826" i="14"/>
  <c r="L959" i="14"/>
  <c r="L1255" i="14"/>
  <c r="L578" i="14"/>
  <c r="L751" i="14"/>
  <c r="L382" i="14"/>
  <c r="L1247" i="14"/>
  <c r="L507" i="14"/>
  <c r="L750" i="14"/>
  <c r="L236" i="14"/>
  <c r="L796" i="14"/>
  <c r="L836" i="14"/>
  <c r="L936" i="14"/>
  <c r="L749" i="14"/>
  <c r="L317" i="14"/>
  <c r="L944" i="14"/>
  <c r="L739" i="14"/>
  <c r="L1079" i="14"/>
  <c r="L164" i="14"/>
  <c r="L357" i="14"/>
  <c r="L1027" i="14"/>
  <c r="L341" i="14"/>
  <c r="L1094" i="14"/>
  <c r="L1164" i="14"/>
  <c r="L1078" i="14"/>
  <c r="L562" i="14"/>
  <c r="L445" i="14"/>
  <c r="L360" i="14"/>
  <c r="L975" i="14"/>
  <c r="L925" i="14"/>
  <c r="L393" i="14"/>
  <c r="L766" i="14"/>
  <c r="L985" i="14"/>
  <c r="L798" i="14"/>
  <c r="L671" i="14"/>
  <c r="L1076" i="14"/>
  <c r="L669" i="14"/>
  <c r="L1191" i="14"/>
  <c r="L308" i="14"/>
  <c r="L250" i="14"/>
  <c r="L864" i="14"/>
  <c r="L634" i="14"/>
  <c r="L1283" i="14"/>
  <c r="L448" i="14"/>
  <c r="L1214" i="14"/>
  <c r="L1087" i="14"/>
  <c r="L555" i="14"/>
  <c r="L1212" i="14"/>
  <c r="L662" i="14"/>
  <c r="L1011" i="14"/>
  <c r="L397" i="14"/>
  <c r="L595" i="14"/>
  <c r="L573" i="14"/>
  <c r="L1092" i="14"/>
  <c r="L1065" i="14"/>
  <c r="L422" i="14"/>
  <c r="L284" i="14"/>
  <c r="L336" i="14"/>
  <c r="L1190" i="14"/>
  <c r="L220" i="14"/>
  <c r="L992" i="14"/>
  <c r="L628" i="14"/>
  <c r="L955" i="14"/>
  <c r="L758" i="14"/>
  <c r="L469" i="14"/>
  <c r="L242" i="14"/>
  <c r="L358" i="14"/>
  <c r="L629" i="14"/>
  <c r="L867" i="14"/>
  <c r="L1221" i="14"/>
  <c r="L1210" i="14"/>
  <c r="L1173" i="14"/>
  <c r="L643" i="14"/>
  <c r="L1067" i="14"/>
  <c r="L1183" i="14"/>
  <c r="L701" i="14"/>
  <c r="L782" i="14"/>
  <c r="L723" i="14"/>
  <c r="L987" i="14"/>
  <c r="L616" i="14"/>
  <c r="L550" i="14"/>
  <c r="L202" i="14"/>
  <c r="L211" i="14"/>
  <c r="L474" i="14"/>
  <c r="L1261" i="14"/>
  <c r="L1265" i="14"/>
  <c r="L1186" i="14"/>
  <c r="L977" i="14"/>
  <c r="L979" i="14"/>
  <c r="L779" i="14"/>
  <c r="L483" i="14"/>
  <c r="L709" i="14"/>
  <c r="L1234" i="14"/>
  <c r="L207" i="14"/>
  <c r="L637" i="14"/>
  <c r="L947" i="14"/>
  <c r="L554" i="14"/>
  <c r="L1205" i="14"/>
  <c r="L771" i="14"/>
  <c r="L243" i="14"/>
  <c r="L660" i="14"/>
  <c r="L873" i="14"/>
  <c r="L978" i="14"/>
  <c r="L218" i="14"/>
  <c r="L511" i="14"/>
  <c r="L781" i="14"/>
  <c r="L713" i="14"/>
  <c r="L1007" i="14"/>
  <c r="L1168" i="14"/>
  <c r="L506" i="14"/>
  <c r="L620" i="14"/>
  <c r="L503" i="14"/>
  <c r="L805" i="14"/>
  <c r="L1052" i="14"/>
  <c r="L856" i="14"/>
  <c r="L818" i="14"/>
  <c r="L982" i="14"/>
  <c r="L817" i="14"/>
  <c r="L498" i="14"/>
  <c r="L614" i="14"/>
  <c r="L435" i="14"/>
  <c r="L1129" i="14"/>
  <c r="L586" i="14"/>
  <c r="L1026" i="14"/>
  <c r="L433" i="14"/>
  <c r="L444" i="14"/>
  <c r="L1195" i="14"/>
  <c r="L467" i="14"/>
  <c r="L536" i="14"/>
  <c r="L199" i="14"/>
  <c r="L348" i="14"/>
  <c r="L1024" i="14"/>
  <c r="L1177" i="14"/>
  <c r="L835" i="14"/>
  <c r="L625" i="14"/>
  <c r="L472" i="14"/>
  <c r="L859" i="14"/>
  <c r="L1169" i="14"/>
  <c r="L1055" i="14"/>
  <c r="L283" i="14"/>
  <c r="L303" i="14"/>
  <c r="L177" i="14"/>
  <c r="L323" i="14"/>
  <c r="L373" i="14"/>
  <c r="L401" i="14"/>
  <c r="L593" i="14"/>
  <c r="L334" i="14"/>
  <c r="L412" i="14"/>
  <c r="L327" i="14"/>
  <c r="L421" i="14"/>
  <c r="L429" i="14"/>
  <c r="E15" i="10"/>
  <c r="E9" i="10"/>
  <c r="E6" i="10"/>
  <c r="H9" i="13"/>
  <c r="I108" i="8"/>
  <c r="I98" i="8"/>
  <c r="I99" i="8"/>
  <c r="I100" i="8"/>
  <c r="I101" i="8"/>
  <c r="I102" i="8"/>
  <c r="I103" i="8"/>
  <c r="I104" i="8"/>
  <c r="I105" i="8"/>
  <c r="I106" i="8"/>
  <c r="I107" i="8"/>
  <c r="I109" i="8"/>
  <c r="I110" i="8"/>
  <c r="I111" i="8"/>
  <c r="N11" i="14" l="1"/>
  <c r="O11" i="14"/>
  <c r="N8" i="14"/>
  <c r="O8" i="14"/>
  <c r="N12" i="14"/>
  <c r="O12" i="14"/>
  <c r="N10" i="14"/>
  <c r="O10" i="14"/>
  <c r="N7" i="14"/>
  <c r="O7" i="14"/>
  <c r="N9" i="14"/>
  <c r="O9" i="14"/>
  <c r="Q9" i="14"/>
  <c r="Q127" i="14"/>
  <c r="Q131" i="14"/>
  <c r="Q147" i="14"/>
  <c r="P11" i="14"/>
  <c r="Q11" i="14"/>
  <c r="P8" i="14"/>
  <c r="Q8" i="14"/>
  <c r="P9" i="14"/>
  <c r="Q133" i="14"/>
  <c r="Q161" i="14"/>
  <c r="Q121" i="14"/>
  <c r="Q149" i="14"/>
  <c r="Q141" i="14"/>
  <c r="Q129" i="14"/>
  <c r="Q163" i="14"/>
  <c r="Q7" i="14"/>
  <c r="P7" i="14"/>
  <c r="Q148" i="14"/>
  <c r="P12" i="14"/>
  <c r="Q12" i="14"/>
  <c r="Q140" i="14"/>
  <c r="Q153" i="14"/>
  <c r="Q144" i="14"/>
  <c r="Q126" i="14"/>
  <c r="Q124" i="14"/>
  <c r="Q120" i="14"/>
  <c r="Q130" i="14"/>
  <c r="Q157" i="14"/>
  <c r="Q118" i="14"/>
  <c r="Q145" i="14"/>
  <c r="Q152" i="14"/>
  <c r="Q136" i="14"/>
  <c r="Q132" i="14"/>
  <c r="Q10" i="14"/>
  <c r="P10" i="14"/>
  <c r="Q159" i="14"/>
  <c r="Q146" i="14"/>
  <c r="Q125" i="14"/>
  <c r="Q160" i="14"/>
  <c r="Q138" i="14"/>
  <c r="Q154" i="14"/>
  <c r="Q134" i="14"/>
  <c r="Q137" i="14"/>
  <c r="Q150" i="14"/>
  <c r="Q142" i="14"/>
  <c r="Q135" i="14"/>
  <c r="Q155" i="14"/>
  <c r="Q119" i="14"/>
  <c r="Q139" i="14"/>
  <c r="Q156" i="14"/>
  <c r="Q162" i="14"/>
  <c r="Q128" i="14"/>
  <c r="Q122" i="14"/>
  <c r="Q158" i="14"/>
  <c r="Q123" i="14"/>
  <c r="Q143" i="14"/>
  <c r="H5" i="13"/>
  <c r="H6" i="13"/>
  <c r="H7" i="13"/>
  <c r="H8" i="13"/>
  <c r="I61" i="1"/>
  <c r="I62" i="1"/>
  <c r="I63" i="1"/>
  <c r="I64" i="1"/>
  <c r="I65" i="1"/>
  <c r="D16" i="10" l="1"/>
  <c r="D10" i="10"/>
  <c r="D7" i="10"/>
  <c r="G2" i="13"/>
  <c r="H16" i="10" s="1"/>
  <c r="H15" i="10"/>
  <c r="F15" i="10"/>
  <c r="G15" i="10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D4" i="10" l="1"/>
  <c r="E2" i="13"/>
  <c r="G16" i="10" s="1"/>
  <c r="C2" i="13"/>
  <c r="B16" i="10" l="1"/>
  <c r="C16" i="10"/>
  <c r="A16" i="10"/>
  <c r="D2" i="13"/>
  <c r="F16" i="10" s="1"/>
  <c r="E16" i="10"/>
  <c r="Q3" i="12"/>
  <c r="I59" i="1"/>
  <c r="I60" i="1"/>
  <c r="I74" i="8" l="1"/>
  <c r="I75" i="8"/>
  <c r="I76" i="8"/>
  <c r="I77" i="8"/>
  <c r="I78" i="8"/>
  <c r="A5" i="8" l="1"/>
  <c r="Q3" i="9"/>
  <c r="I62" i="8"/>
  <c r="I63" i="8"/>
  <c r="I64" i="8"/>
  <c r="I65" i="8"/>
  <c r="I66" i="8"/>
  <c r="I67" i="8"/>
  <c r="I68" i="8"/>
  <c r="I69" i="8"/>
  <c r="I70" i="8"/>
  <c r="I71" i="8"/>
  <c r="I72" i="8"/>
  <c r="I73" i="8"/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L5" i="8"/>
  <c r="O5" i="8" s="1"/>
  <c r="I50" i="8"/>
  <c r="I51" i="8"/>
  <c r="I52" i="8"/>
  <c r="I53" i="8"/>
  <c r="I54" i="8"/>
  <c r="I55" i="8"/>
  <c r="I56" i="8"/>
  <c r="I57" i="8"/>
  <c r="I58" i="8"/>
  <c r="I59" i="8"/>
  <c r="I60" i="8"/>
  <c r="I61" i="8"/>
  <c r="M5" i="8" l="1"/>
  <c r="N5" i="8"/>
  <c r="L118" i="8"/>
  <c r="O118" i="8" s="1"/>
  <c r="L112" i="8"/>
  <c r="O112" i="8" s="1"/>
  <c r="L114" i="8"/>
  <c r="O114" i="8" s="1"/>
  <c r="L115" i="8"/>
  <c r="O115" i="8" s="1"/>
  <c r="L116" i="8"/>
  <c r="O116" i="8" s="1"/>
  <c r="L6" i="8"/>
  <c r="O6" i="8" s="1"/>
  <c r="L117" i="8"/>
  <c r="O117" i="8" s="1"/>
  <c r="L111" i="8"/>
  <c r="O111" i="8" s="1"/>
  <c r="L113" i="8"/>
  <c r="O113" i="8" s="1"/>
  <c r="L110" i="8"/>
  <c r="O110" i="8" s="1"/>
  <c r="L109" i="8"/>
  <c r="O109" i="8" s="1"/>
  <c r="L108" i="8"/>
  <c r="O108" i="8" s="1"/>
  <c r="L9" i="8"/>
  <c r="O9" i="8" s="1"/>
  <c r="L7" i="8"/>
  <c r="O7" i="8" s="1"/>
  <c r="L12" i="8"/>
  <c r="O12" i="8" s="1"/>
  <c r="L11" i="8"/>
  <c r="O11" i="8" s="1"/>
  <c r="L10" i="8"/>
  <c r="O10" i="8" s="1"/>
  <c r="L8" i="8"/>
  <c r="O8" i="8" s="1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N11" i="8" l="1"/>
  <c r="N8" i="8"/>
  <c r="N7" i="8"/>
  <c r="N10" i="8"/>
  <c r="N9" i="8"/>
  <c r="N12" i="8"/>
  <c r="M113" i="8"/>
  <c r="N113" i="8"/>
  <c r="M116" i="8"/>
  <c r="N116" i="8"/>
  <c r="M118" i="8"/>
  <c r="N118" i="8"/>
  <c r="M110" i="8"/>
  <c r="N110" i="8"/>
  <c r="M6" i="8"/>
  <c r="N6" i="8"/>
  <c r="M108" i="8"/>
  <c r="N108" i="8"/>
  <c r="M111" i="8"/>
  <c r="N111" i="8"/>
  <c r="M115" i="8"/>
  <c r="N115" i="8"/>
  <c r="M112" i="8"/>
  <c r="N112" i="8"/>
  <c r="M109" i="8"/>
  <c r="N109" i="8"/>
  <c r="M117" i="8"/>
  <c r="N117" i="8"/>
  <c r="M114" i="8"/>
  <c r="N114" i="8"/>
  <c r="P11" i="8"/>
  <c r="M11" i="8"/>
  <c r="Q12" i="8"/>
  <c r="M12" i="8"/>
  <c r="M8" i="8"/>
  <c r="M7" i="8"/>
  <c r="M10" i="8"/>
  <c r="M9" i="8"/>
  <c r="Q10" i="8"/>
  <c r="P108" i="8"/>
  <c r="P109" i="8"/>
  <c r="P117" i="8"/>
  <c r="P114" i="8"/>
  <c r="P111" i="8"/>
  <c r="P115" i="8"/>
  <c r="P110" i="8"/>
  <c r="P112" i="8"/>
  <c r="P113" i="8"/>
  <c r="P116" i="8"/>
  <c r="P118" i="8"/>
  <c r="P10" i="8"/>
  <c r="P12" i="8"/>
  <c r="Q11" i="8"/>
  <c r="P9" i="8"/>
  <c r="Q9" i="8"/>
  <c r="C60" i="1"/>
  <c r="C59" i="1"/>
  <c r="W290" i="12"/>
  <c r="W289" i="12"/>
  <c r="W288" i="12"/>
  <c r="W287" i="12"/>
  <c r="W286" i="12"/>
  <c r="W285" i="12"/>
  <c r="W284" i="12"/>
  <c r="W283" i="12"/>
  <c r="W282" i="12"/>
  <c r="W281" i="12"/>
  <c r="W280" i="12"/>
  <c r="W279" i="12"/>
  <c r="W278" i="12"/>
  <c r="W277" i="12"/>
  <c r="W276" i="12"/>
  <c r="W275" i="12"/>
  <c r="W274" i="12"/>
  <c r="W273" i="12"/>
  <c r="W272" i="12"/>
  <c r="W271" i="12"/>
  <c r="W270" i="12"/>
  <c r="W269" i="12"/>
  <c r="W268" i="12"/>
  <c r="W267" i="12"/>
  <c r="W266" i="12"/>
  <c r="W265" i="12"/>
  <c r="W264" i="12"/>
  <c r="W263" i="12"/>
  <c r="W262" i="12"/>
  <c r="W261" i="12"/>
  <c r="W260" i="12"/>
  <c r="W259" i="12"/>
  <c r="W258" i="12"/>
  <c r="W257" i="12"/>
  <c r="W256" i="12"/>
  <c r="W255" i="12"/>
  <c r="W254" i="12"/>
  <c r="W253" i="12"/>
  <c r="W252" i="12"/>
  <c r="W251" i="12"/>
  <c r="W250" i="12"/>
  <c r="W249" i="12"/>
  <c r="W248" i="12"/>
  <c r="W247" i="12"/>
  <c r="W246" i="12"/>
  <c r="W245" i="12"/>
  <c r="W244" i="12"/>
  <c r="W243" i="12"/>
  <c r="W242" i="12"/>
  <c r="W241" i="12"/>
  <c r="W240" i="12"/>
  <c r="W239" i="12"/>
  <c r="W238" i="12"/>
  <c r="W237" i="12"/>
  <c r="W236" i="12"/>
  <c r="W235" i="12"/>
  <c r="W234" i="12"/>
  <c r="W233" i="12"/>
  <c r="W232" i="12"/>
  <c r="W231" i="12"/>
  <c r="W230" i="12"/>
  <c r="W229" i="12"/>
  <c r="W228" i="12"/>
  <c r="W227" i="12"/>
  <c r="W226" i="12"/>
  <c r="W225" i="12"/>
  <c r="W224" i="12"/>
  <c r="W223" i="12"/>
  <c r="W222" i="12"/>
  <c r="W221" i="12"/>
  <c r="W220" i="12"/>
  <c r="W219" i="12"/>
  <c r="W218" i="12"/>
  <c r="W217" i="12"/>
  <c r="W216" i="12"/>
  <c r="W215" i="12"/>
  <c r="W214" i="12"/>
  <c r="W213" i="12"/>
  <c r="W212" i="12"/>
  <c r="W211" i="12"/>
  <c r="W210" i="12"/>
  <c r="W209" i="12"/>
  <c r="W208" i="12"/>
  <c r="W207" i="12"/>
  <c r="W206" i="12"/>
  <c r="W205" i="12"/>
  <c r="W204" i="12"/>
  <c r="W203" i="12"/>
  <c r="W202" i="12"/>
  <c r="W201" i="12"/>
  <c r="W200" i="12"/>
  <c r="W199" i="12"/>
  <c r="W198" i="12"/>
  <c r="W197" i="12"/>
  <c r="W196" i="12"/>
  <c r="W195" i="12"/>
  <c r="W194" i="12"/>
  <c r="V194" i="12"/>
  <c r="U194" i="12"/>
  <c r="T194" i="12"/>
  <c r="W193" i="12"/>
  <c r="V193" i="12"/>
  <c r="U193" i="12"/>
  <c r="T193" i="12"/>
  <c r="W192" i="12"/>
  <c r="V192" i="12"/>
  <c r="U192" i="12"/>
  <c r="T192" i="12"/>
  <c r="W191" i="12"/>
  <c r="V191" i="12"/>
  <c r="U191" i="12"/>
  <c r="T191" i="12"/>
  <c r="W190" i="12"/>
  <c r="V190" i="12"/>
  <c r="U190" i="12"/>
  <c r="T190" i="12"/>
  <c r="W189" i="12"/>
  <c r="V189" i="12"/>
  <c r="U189" i="12"/>
  <c r="T189" i="12"/>
  <c r="W188" i="12"/>
  <c r="V188" i="12"/>
  <c r="U188" i="12"/>
  <c r="T188" i="12"/>
  <c r="W187" i="12"/>
  <c r="V187" i="12"/>
  <c r="U187" i="12"/>
  <c r="T187" i="12"/>
  <c r="W186" i="12"/>
  <c r="V186" i="12"/>
  <c r="U186" i="12"/>
  <c r="T186" i="12"/>
  <c r="W185" i="12"/>
  <c r="V185" i="12"/>
  <c r="U185" i="12"/>
  <c r="T185" i="12"/>
  <c r="W184" i="12"/>
  <c r="V184" i="12"/>
  <c r="U184" i="12"/>
  <c r="T184" i="12"/>
  <c r="W183" i="12"/>
  <c r="V183" i="12"/>
  <c r="U183" i="12"/>
  <c r="T183" i="12"/>
  <c r="W182" i="12"/>
  <c r="V182" i="12"/>
  <c r="U182" i="12"/>
  <c r="T182" i="12"/>
  <c r="W181" i="12"/>
  <c r="V181" i="12"/>
  <c r="U181" i="12"/>
  <c r="T181" i="12"/>
  <c r="W180" i="12"/>
  <c r="V180" i="12"/>
  <c r="U180" i="12"/>
  <c r="T180" i="12"/>
  <c r="W179" i="12"/>
  <c r="V179" i="12"/>
  <c r="U179" i="12"/>
  <c r="T179" i="12"/>
  <c r="W178" i="12"/>
  <c r="V178" i="12"/>
  <c r="U178" i="12"/>
  <c r="T178" i="12"/>
  <c r="W177" i="12"/>
  <c r="V177" i="12"/>
  <c r="U177" i="12"/>
  <c r="T177" i="12"/>
  <c r="W176" i="12"/>
  <c r="V176" i="12"/>
  <c r="U176" i="12"/>
  <c r="T176" i="12"/>
  <c r="W175" i="12"/>
  <c r="V175" i="12"/>
  <c r="U175" i="12"/>
  <c r="T175" i="12"/>
  <c r="W174" i="12"/>
  <c r="V174" i="12"/>
  <c r="U174" i="12"/>
  <c r="T174" i="12"/>
  <c r="W173" i="12"/>
  <c r="V173" i="12"/>
  <c r="U173" i="12"/>
  <c r="T173" i="12"/>
  <c r="W172" i="12"/>
  <c r="V172" i="12"/>
  <c r="U172" i="12"/>
  <c r="T172" i="12"/>
  <c r="W171" i="12"/>
  <c r="V171" i="12"/>
  <c r="U171" i="12"/>
  <c r="T171" i="12"/>
  <c r="W170" i="12"/>
  <c r="V170" i="12"/>
  <c r="U170" i="12"/>
  <c r="T170" i="12"/>
  <c r="W169" i="12"/>
  <c r="V169" i="12"/>
  <c r="U169" i="12"/>
  <c r="T169" i="12"/>
  <c r="W168" i="12"/>
  <c r="V168" i="12"/>
  <c r="U168" i="12"/>
  <c r="T168" i="12"/>
  <c r="W167" i="12"/>
  <c r="V167" i="12"/>
  <c r="U167" i="12"/>
  <c r="T167" i="12"/>
  <c r="W166" i="12"/>
  <c r="V166" i="12"/>
  <c r="U166" i="12"/>
  <c r="T166" i="12"/>
  <c r="W165" i="12"/>
  <c r="V165" i="12"/>
  <c r="U165" i="12"/>
  <c r="T165" i="12"/>
  <c r="W164" i="12"/>
  <c r="V164" i="12"/>
  <c r="U164" i="12"/>
  <c r="T164" i="12"/>
  <c r="W163" i="12"/>
  <c r="V163" i="12"/>
  <c r="U163" i="12"/>
  <c r="T163" i="12"/>
  <c r="W162" i="12"/>
  <c r="V162" i="12"/>
  <c r="U162" i="12"/>
  <c r="T162" i="12"/>
  <c r="W161" i="12"/>
  <c r="V161" i="12"/>
  <c r="U161" i="12"/>
  <c r="T161" i="12"/>
  <c r="W160" i="12"/>
  <c r="V160" i="12"/>
  <c r="U160" i="12"/>
  <c r="T160" i="12"/>
  <c r="W159" i="12"/>
  <c r="V159" i="12"/>
  <c r="U159" i="12"/>
  <c r="T159" i="12"/>
  <c r="W158" i="12"/>
  <c r="V158" i="12"/>
  <c r="U158" i="12"/>
  <c r="T158" i="12"/>
  <c r="W157" i="12"/>
  <c r="V157" i="12"/>
  <c r="U157" i="12"/>
  <c r="T157" i="12"/>
  <c r="W156" i="12"/>
  <c r="V156" i="12"/>
  <c r="U156" i="12"/>
  <c r="T156" i="12"/>
  <c r="W155" i="12"/>
  <c r="V155" i="12"/>
  <c r="U155" i="12"/>
  <c r="T155" i="12"/>
  <c r="W154" i="12"/>
  <c r="V154" i="12"/>
  <c r="U154" i="12"/>
  <c r="T154" i="12"/>
  <c r="W153" i="12"/>
  <c r="V153" i="12"/>
  <c r="U153" i="12"/>
  <c r="T153" i="12"/>
  <c r="W152" i="12"/>
  <c r="V152" i="12"/>
  <c r="U152" i="12"/>
  <c r="T152" i="12"/>
  <c r="W151" i="12"/>
  <c r="V151" i="12"/>
  <c r="U151" i="12"/>
  <c r="T151" i="12"/>
  <c r="W150" i="12"/>
  <c r="V150" i="12"/>
  <c r="U150" i="12"/>
  <c r="T150" i="12"/>
  <c r="W149" i="12"/>
  <c r="V149" i="12"/>
  <c r="U149" i="12"/>
  <c r="T149" i="12"/>
  <c r="W148" i="12"/>
  <c r="V148" i="12"/>
  <c r="U148" i="12"/>
  <c r="T148" i="12"/>
  <c r="W147" i="12"/>
  <c r="V147" i="12"/>
  <c r="U147" i="12"/>
  <c r="T147" i="12"/>
  <c r="W146" i="12"/>
  <c r="V146" i="12"/>
  <c r="U146" i="12"/>
  <c r="T146" i="12"/>
  <c r="W145" i="12"/>
  <c r="V145" i="12"/>
  <c r="U145" i="12"/>
  <c r="T145" i="12"/>
  <c r="W144" i="12"/>
  <c r="V144" i="12"/>
  <c r="U144" i="12"/>
  <c r="T144" i="12"/>
  <c r="W143" i="12"/>
  <c r="V143" i="12"/>
  <c r="U143" i="12"/>
  <c r="T143" i="12"/>
  <c r="W142" i="12"/>
  <c r="V142" i="12"/>
  <c r="U142" i="12"/>
  <c r="T142" i="12"/>
  <c r="W141" i="12"/>
  <c r="V141" i="12"/>
  <c r="U141" i="12"/>
  <c r="T141" i="12"/>
  <c r="W140" i="12"/>
  <c r="V140" i="12"/>
  <c r="U140" i="12"/>
  <c r="T140" i="12"/>
  <c r="W139" i="12"/>
  <c r="V139" i="12"/>
  <c r="U139" i="12"/>
  <c r="T139" i="12"/>
  <c r="W138" i="12"/>
  <c r="V138" i="12"/>
  <c r="U138" i="12"/>
  <c r="T138" i="12"/>
  <c r="W137" i="12"/>
  <c r="V137" i="12"/>
  <c r="U137" i="12"/>
  <c r="T137" i="12"/>
  <c r="W136" i="12"/>
  <c r="V136" i="12"/>
  <c r="U136" i="12"/>
  <c r="T136" i="12"/>
  <c r="W135" i="12"/>
  <c r="V135" i="12"/>
  <c r="U135" i="12"/>
  <c r="T135" i="12"/>
  <c r="W134" i="12"/>
  <c r="V134" i="12"/>
  <c r="U134" i="12"/>
  <c r="T134" i="12"/>
  <c r="W133" i="12"/>
  <c r="V133" i="12"/>
  <c r="U133" i="12"/>
  <c r="T133" i="12"/>
  <c r="W132" i="12"/>
  <c r="V132" i="12"/>
  <c r="U132" i="12"/>
  <c r="T132" i="12"/>
  <c r="W131" i="12"/>
  <c r="V131" i="12"/>
  <c r="U131" i="12"/>
  <c r="T131" i="12"/>
  <c r="W130" i="12"/>
  <c r="V130" i="12"/>
  <c r="U130" i="12"/>
  <c r="T130" i="12"/>
  <c r="W129" i="12"/>
  <c r="V129" i="12"/>
  <c r="U129" i="12"/>
  <c r="T129" i="12"/>
  <c r="W128" i="12"/>
  <c r="V128" i="12"/>
  <c r="U128" i="12"/>
  <c r="T128" i="12"/>
  <c r="W127" i="12"/>
  <c r="V127" i="12"/>
  <c r="U127" i="12"/>
  <c r="T127" i="12"/>
  <c r="W126" i="12"/>
  <c r="V126" i="12"/>
  <c r="U126" i="12"/>
  <c r="T126" i="12"/>
  <c r="W125" i="12"/>
  <c r="V125" i="12"/>
  <c r="U125" i="12"/>
  <c r="T125" i="12"/>
  <c r="W124" i="12"/>
  <c r="V124" i="12"/>
  <c r="U124" i="12"/>
  <c r="T124" i="12"/>
  <c r="W123" i="12"/>
  <c r="V123" i="12"/>
  <c r="U123" i="12"/>
  <c r="T123" i="12"/>
  <c r="W122" i="12"/>
  <c r="V122" i="12"/>
  <c r="U122" i="12"/>
  <c r="T122" i="12"/>
  <c r="W121" i="12"/>
  <c r="V121" i="12"/>
  <c r="U121" i="12"/>
  <c r="T121" i="12"/>
  <c r="W120" i="12"/>
  <c r="V120" i="12"/>
  <c r="U120" i="12"/>
  <c r="T120" i="12"/>
  <c r="W119" i="12"/>
  <c r="V119" i="12"/>
  <c r="U119" i="12"/>
  <c r="T119" i="12"/>
  <c r="W118" i="12"/>
  <c r="V118" i="12"/>
  <c r="U118" i="12"/>
  <c r="T118" i="12"/>
  <c r="W117" i="12"/>
  <c r="V117" i="12"/>
  <c r="U117" i="12"/>
  <c r="T117" i="12"/>
  <c r="W116" i="12"/>
  <c r="V116" i="12"/>
  <c r="U116" i="12"/>
  <c r="T116" i="12"/>
  <c r="W115" i="12"/>
  <c r="V115" i="12"/>
  <c r="U115" i="12"/>
  <c r="T115" i="12"/>
  <c r="W114" i="12"/>
  <c r="V114" i="12"/>
  <c r="U114" i="12"/>
  <c r="T114" i="12"/>
  <c r="W113" i="12"/>
  <c r="V113" i="12"/>
  <c r="U113" i="12"/>
  <c r="T113" i="12"/>
  <c r="W112" i="12"/>
  <c r="V112" i="12"/>
  <c r="U112" i="12"/>
  <c r="T112" i="12"/>
  <c r="W111" i="12"/>
  <c r="V111" i="12"/>
  <c r="U111" i="12"/>
  <c r="T111" i="12"/>
  <c r="W110" i="12"/>
  <c r="V110" i="12"/>
  <c r="U110" i="12"/>
  <c r="T110" i="12"/>
  <c r="W109" i="12"/>
  <c r="V109" i="12"/>
  <c r="U109" i="12"/>
  <c r="T109" i="12"/>
  <c r="W108" i="12"/>
  <c r="V108" i="12"/>
  <c r="U108" i="12"/>
  <c r="T108" i="12"/>
  <c r="W107" i="12"/>
  <c r="V107" i="12"/>
  <c r="U107" i="12"/>
  <c r="T107" i="12"/>
  <c r="W106" i="12"/>
  <c r="V106" i="12"/>
  <c r="U106" i="12"/>
  <c r="T106" i="12"/>
  <c r="W105" i="12"/>
  <c r="V105" i="12"/>
  <c r="U105" i="12"/>
  <c r="T105" i="12"/>
  <c r="W104" i="12"/>
  <c r="V104" i="12"/>
  <c r="U104" i="12"/>
  <c r="T104" i="12"/>
  <c r="W103" i="12"/>
  <c r="V103" i="12"/>
  <c r="U103" i="12"/>
  <c r="T103" i="12"/>
  <c r="W102" i="12"/>
  <c r="V102" i="12"/>
  <c r="U102" i="12"/>
  <c r="T102" i="12"/>
  <c r="W101" i="12"/>
  <c r="V101" i="12"/>
  <c r="U101" i="12"/>
  <c r="T101" i="12"/>
  <c r="W100" i="12"/>
  <c r="V100" i="12"/>
  <c r="U100" i="12"/>
  <c r="T100" i="12"/>
  <c r="W99" i="12"/>
  <c r="V99" i="12"/>
  <c r="U99" i="12"/>
  <c r="T99" i="12"/>
  <c r="W98" i="12"/>
  <c r="V98" i="12"/>
  <c r="U98" i="12"/>
  <c r="T98" i="12"/>
  <c r="R98" i="12"/>
  <c r="Q98" i="12"/>
  <c r="P98" i="12"/>
  <c r="W97" i="12"/>
  <c r="V97" i="12"/>
  <c r="U97" i="12"/>
  <c r="T97" i="12"/>
  <c r="R97" i="12"/>
  <c r="Q97" i="12"/>
  <c r="P97" i="12"/>
  <c r="W96" i="12"/>
  <c r="V96" i="12"/>
  <c r="U96" i="12"/>
  <c r="T96" i="12"/>
  <c r="R96" i="12"/>
  <c r="Q96" i="12"/>
  <c r="P96" i="12"/>
  <c r="W95" i="12"/>
  <c r="V95" i="12"/>
  <c r="U95" i="12"/>
  <c r="T95" i="12"/>
  <c r="R95" i="12"/>
  <c r="Q95" i="12"/>
  <c r="P95" i="12"/>
  <c r="W94" i="12"/>
  <c r="V94" i="12"/>
  <c r="U94" i="12"/>
  <c r="T94" i="12"/>
  <c r="R94" i="12"/>
  <c r="Q94" i="12"/>
  <c r="P94" i="12"/>
  <c r="W93" i="12"/>
  <c r="V93" i="12"/>
  <c r="U93" i="12"/>
  <c r="T93" i="12"/>
  <c r="R93" i="12"/>
  <c r="Q93" i="12"/>
  <c r="P93" i="12"/>
  <c r="W92" i="12"/>
  <c r="V92" i="12"/>
  <c r="U92" i="12"/>
  <c r="T92" i="12"/>
  <c r="R92" i="12"/>
  <c r="Q92" i="12"/>
  <c r="P92" i="12"/>
  <c r="W91" i="12"/>
  <c r="V91" i="12"/>
  <c r="U91" i="12"/>
  <c r="T91" i="12"/>
  <c r="R91" i="12"/>
  <c r="Q91" i="12"/>
  <c r="P91" i="12"/>
  <c r="W90" i="12"/>
  <c r="V90" i="12"/>
  <c r="U90" i="12"/>
  <c r="T90" i="12"/>
  <c r="R90" i="12"/>
  <c r="Q90" i="12"/>
  <c r="P90" i="12"/>
  <c r="W89" i="12"/>
  <c r="V89" i="12"/>
  <c r="U89" i="12"/>
  <c r="T89" i="12"/>
  <c r="R89" i="12"/>
  <c r="Q89" i="12"/>
  <c r="P89" i="12"/>
  <c r="W88" i="12"/>
  <c r="V88" i="12"/>
  <c r="U88" i="12"/>
  <c r="T88" i="12"/>
  <c r="R88" i="12"/>
  <c r="Q88" i="12"/>
  <c r="P88" i="12"/>
  <c r="W87" i="12"/>
  <c r="V87" i="12"/>
  <c r="U87" i="12"/>
  <c r="T87" i="12"/>
  <c r="R87" i="12"/>
  <c r="Q87" i="12"/>
  <c r="P87" i="12"/>
  <c r="W86" i="12"/>
  <c r="V86" i="12"/>
  <c r="U86" i="12"/>
  <c r="T86" i="12"/>
  <c r="R86" i="12"/>
  <c r="Q86" i="12"/>
  <c r="P86" i="12"/>
  <c r="W85" i="12"/>
  <c r="V85" i="12"/>
  <c r="U85" i="12"/>
  <c r="T85" i="12"/>
  <c r="R85" i="12"/>
  <c r="Q85" i="12"/>
  <c r="P85" i="12"/>
  <c r="W84" i="12"/>
  <c r="V84" i="12"/>
  <c r="U84" i="12"/>
  <c r="T84" i="12"/>
  <c r="R84" i="12"/>
  <c r="Q84" i="12"/>
  <c r="P84" i="12"/>
  <c r="W83" i="12"/>
  <c r="V83" i="12"/>
  <c r="U83" i="12"/>
  <c r="T83" i="12"/>
  <c r="R83" i="12"/>
  <c r="Q83" i="12"/>
  <c r="P83" i="12"/>
  <c r="W82" i="12"/>
  <c r="V82" i="12"/>
  <c r="U82" i="12"/>
  <c r="T82" i="12"/>
  <c r="R82" i="12"/>
  <c r="Q82" i="12"/>
  <c r="P82" i="12"/>
  <c r="W81" i="12"/>
  <c r="V81" i="12"/>
  <c r="U81" i="12"/>
  <c r="T81" i="12"/>
  <c r="R81" i="12"/>
  <c r="Q81" i="12"/>
  <c r="P81" i="12"/>
  <c r="W80" i="12"/>
  <c r="V80" i="12"/>
  <c r="U80" i="12"/>
  <c r="T80" i="12"/>
  <c r="R80" i="12"/>
  <c r="Q80" i="12"/>
  <c r="P80" i="12"/>
  <c r="W79" i="12"/>
  <c r="V79" i="12"/>
  <c r="U79" i="12"/>
  <c r="T79" i="12"/>
  <c r="R79" i="12"/>
  <c r="Q79" i="12"/>
  <c r="P79" i="12"/>
  <c r="W78" i="12"/>
  <c r="V78" i="12"/>
  <c r="U78" i="12"/>
  <c r="T78" i="12"/>
  <c r="R78" i="12"/>
  <c r="Q78" i="12"/>
  <c r="P78" i="12"/>
  <c r="W77" i="12"/>
  <c r="V77" i="12"/>
  <c r="U77" i="12"/>
  <c r="T77" i="12"/>
  <c r="R77" i="12"/>
  <c r="Q77" i="12"/>
  <c r="P77" i="12"/>
  <c r="W76" i="12"/>
  <c r="V76" i="12"/>
  <c r="U76" i="12"/>
  <c r="T76" i="12"/>
  <c r="R76" i="12"/>
  <c r="Q76" i="12"/>
  <c r="P76" i="12"/>
  <c r="W75" i="12"/>
  <c r="V75" i="12"/>
  <c r="U75" i="12"/>
  <c r="T75" i="12"/>
  <c r="R75" i="12"/>
  <c r="Q75" i="12"/>
  <c r="P75" i="12"/>
  <c r="W74" i="12"/>
  <c r="V74" i="12"/>
  <c r="U74" i="12"/>
  <c r="T74" i="12"/>
  <c r="R74" i="12"/>
  <c r="Q74" i="12"/>
  <c r="P74" i="12"/>
  <c r="W73" i="12"/>
  <c r="V73" i="12"/>
  <c r="U73" i="12"/>
  <c r="T73" i="12"/>
  <c r="R73" i="12"/>
  <c r="Q73" i="12"/>
  <c r="P73" i="12"/>
  <c r="W72" i="12"/>
  <c r="V72" i="12"/>
  <c r="U72" i="12"/>
  <c r="T72" i="12"/>
  <c r="R72" i="12"/>
  <c r="Q72" i="12"/>
  <c r="P72" i="12"/>
  <c r="W71" i="12"/>
  <c r="V71" i="12"/>
  <c r="U71" i="12"/>
  <c r="T71" i="12"/>
  <c r="R71" i="12"/>
  <c r="Q71" i="12"/>
  <c r="P71" i="12"/>
  <c r="W70" i="12"/>
  <c r="V70" i="12"/>
  <c r="U70" i="12"/>
  <c r="T70" i="12"/>
  <c r="R70" i="12"/>
  <c r="Q70" i="12"/>
  <c r="P70" i="12"/>
  <c r="W69" i="12"/>
  <c r="V69" i="12"/>
  <c r="U69" i="12"/>
  <c r="T69" i="12"/>
  <c r="R69" i="12"/>
  <c r="Q69" i="12"/>
  <c r="P69" i="12"/>
  <c r="W68" i="12"/>
  <c r="V68" i="12"/>
  <c r="U68" i="12"/>
  <c r="T68" i="12"/>
  <c r="R68" i="12"/>
  <c r="Q68" i="12"/>
  <c r="P68" i="12"/>
  <c r="W67" i="12"/>
  <c r="V67" i="12"/>
  <c r="U67" i="12"/>
  <c r="T67" i="12"/>
  <c r="R67" i="12"/>
  <c r="Q67" i="12"/>
  <c r="P67" i="12"/>
  <c r="W66" i="12"/>
  <c r="V66" i="12"/>
  <c r="U66" i="12"/>
  <c r="T66" i="12"/>
  <c r="R66" i="12"/>
  <c r="Q66" i="12"/>
  <c r="P66" i="12"/>
  <c r="W65" i="12"/>
  <c r="V65" i="12"/>
  <c r="U65" i="12"/>
  <c r="T65" i="12"/>
  <c r="R65" i="12"/>
  <c r="Q65" i="12"/>
  <c r="P65" i="12"/>
  <c r="W64" i="12"/>
  <c r="V64" i="12"/>
  <c r="U64" i="12"/>
  <c r="T64" i="12"/>
  <c r="R64" i="12"/>
  <c r="Q64" i="12"/>
  <c r="P64" i="12"/>
  <c r="W63" i="12"/>
  <c r="V63" i="12"/>
  <c r="U63" i="12"/>
  <c r="T63" i="12"/>
  <c r="R63" i="12"/>
  <c r="Q63" i="12"/>
  <c r="P63" i="12"/>
  <c r="W62" i="12"/>
  <c r="V62" i="12"/>
  <c r="U62" i="12"/>
  <c r="T62" i="12"/>
  <c r="R62" i="12"/>
  <c r="Q62" i="12"/>
  <c r="P62" i="12"/>
  <c r="W61" i="12"/>
  <c r="V61" i="12"/>
  <c r="U61" i="12"/>
  <c r="T61" i="12"/>
  <c r="R61" i="12"/>
  <c r="Q61" i="12"/>
  <c r="P61" i="12"/>
  <c r="W60" i="12"/>
  <c r="V60" i="12"/>
  <c r="U60" i="12"/>
  <c r="T60" i="12"/>
  <c r="R60" i="12"/>
  <c r="Q60" i="12"/>
  <c r="P60" i="12"/>
  <c r="W59" i="12"/>
  <c r="V59" i="12"/>
  <c r="U59" i="12"/>
  <c r="T59" i="12"/>
  <c r="R59" i="12"/>
  <c r="Q59" i="12"/>
  <c r="P59" i="12"/>
  <c r="W58" i="12"/>
  <c r="V58" i="12"/>
  <c r="U58" i="12"/>
  <c r="T58" i="12"/>
  <c r="R58" i="12"/>
  <c r="Q58" i="12"/>
  <c r="P58" i="12"/>
  <c r="W57" i="12"/>
  <c r="V57" i="12"/>
  <c r="U57" i="12"/>
  <c r="T57" i="12"/>
  <c r="R57" i="12"/>
  <c r="Q57" i="12"/>
  <c r="P57" i="12"/>
  <c r="W56" i="12"/>
  <c r="V56" i="12"/>
  <c r="U56" i="12"/>
  <c r="T56" i="12"/>
  <c r="R56" i="12"/>
  <c r="Q56" i="12"/>
  <c r="P56" i="12"/>
  <c r="W55" i="12"/>
  <c r="V55" i="12"/>
  <c r="U55" i="12"/>
  <c r="T55" i="12"/>
  <c r="R55" i="12"/>
  <c r="Q55" i="12"/>
  <c r="P55" i="12"/>
  <c r="W54" i="12"/>
  <c r="V54" i="12"/>
  <c r="U54" i="12"/>
  <c r="T54" i="12"/>
  <c r="R54" i="12"/>
  <c r="Q54" i="12"/>
  <c r="P54" i="12"/>
  <c r="W53" i="12"/>
  <c r="V53" i="12"/>
  <c r="U53" i="12"/>
  <c r="T53" i="12"/>
  <c r="R53" i="12"/>
  <c r="Q53" i="12"/>
  <c r="P53" i="12"/>
  <c r="W52" i="12"/>
  <c r="V52" i="12"/>
  <c r="U52" i="12"/>
  <c r="T52" i="12"/>
  <c r="R52" i="12"/>
  <c r="Q52" i="12"/>
  <c r="P52" i="12"/>
  <c r="W51" i="12"/>
  <c r="V51" i="12"/>
  <c r="U51" i="12"/>
  <c r="T51" i="12"/>
  <c r="R51" i="12"/>
  <c r="Q51" i="12"/>
  <c r="P51" i="12"/>
  <c r="W50" i="12"/>
  <c r="Y434" i="12" s="1"/>
  <c r="V50" i="12"/>
  <c r="Y433" i="12" s="1"/>
  <c r="U50" i="12"/>
  <c r="Y432" i="12" s="1"/>
  <c r="T50" i="12"/>
  <c r="Y431" i="12" s="1"/>
  <c r="S50" i="12"/>
  <c r="Y430" i="12" s="1"/>
  <c r="R50" i="12"/>
  <c r="Y429" i="12" s="1"/>
  <c r="Q50" i="12"/>
  <c r="Y428" i="12" s="1"/>
  <c r="P50" i="12"/>
  <c r="Y427" i="12" s="1"/>
  <c r="O50" i="12"/>
  <c r="Y426" i="12" s="1"/>
  <c r="W49" i="12"/>
  <c r="Y425" i="12" s="1"/>
  <c r="V49" i="12"/>
  <c r="Y424" i="12" s="1"/>
  <c r="U49" i="12"/>
  <c r="Y423" i="12" s="1"/>
  <c r="T49" i="12"/>
  <c r="Y422" i="12" s="1"/>
  <c r="S49" i="12"/>
  <c r="Y421" i="12" s="1"/>
  <c r="R49" i="12"/>
  <c r="Y420" i="12" s="1"/>
  <c r="Q49" i="12"/>
  <c r="Y419" i="12" s="1"/>
  <c r="P49" i="12"/>
  <c r="Y418" i="12" s="1"/>
  <c r="O49" i="12"/>
  <c r="Y417" i="12" s="1"/>
  <c r="W48" i="12"/>
  <c r="Y416" i="12" s="1"/>
  <c r="V48" i="12"/>
  <c r="Y415" i="12" s="1"/>
  <c r="U48" i="12"/>
  <c r="Y414" i="12" s="1"/>
  <c r="T48" i="12"/>
  <c r="Y413" i="12" s="1"/>
  <c r="S48" i="12"/>
  <c r="Y412" i="12" s="1"/>
  <c r="R48" i="12"/>
  <c r="Y411" i="12" s="1"/>
  <c r="Q48" i="12"/>
  <c r="Y410" i="12" s="1"/>
  <c r="P48" i="12"/>
  <c r="Y409" i="12" s="1"/>
  <c r="O48" i="12"/>
  <c r="Y408" i="12" s="1"/>
  <c r="W47" i="12"/>
  <c r="Y407" i="12" s="1"/>
  <c r="V47" i="12"/>
  <c r="Y406" i="12" s="1"/>
  <c r="U47" i="12"/>
  <c r="Y405" i="12" s="1"/>
  <c r="T47" i="12"/>
  <c r="Y404" i="12" s="1"/>
  <c r="S47" i="12"/>
  <c r="Y403" i="12" s="1"/>
  <c r="R47" i="12"/>
  <c r="Y402" i="12" s="1"/>
  <c r="Q47" i="12"/>
  <c r="Y401" i="12" s="1"/>
  <c r="P47" i="12"/>
  <c r="Y400" i="12" s="1"/>
  <c r="O47" i="12"/>
  <c r="Y399" i="12" s="1"/>
  <c r="W46" i="12"/>
  <c r="Y398" i="12" s="1"/>
  <c r="V46" i="12"/>
  <c r="Y397" i="12" s="1"/>
  <c r="U46" i="12"/>
  <c r="Y396" i="12" s="1"/>
  <c r="T46" i="12"/>
  <c r="Y395" i="12" s="1"/>
  <c r="S46" i="12"/>
  <c r="Y394" i="12" s="1"/>
  <c r="R46" i="12"/>
  <c r="Y393" i="12" s="1"/>
  <c r="Q46" i="12"/>
  <c r="Y392" i="12" s="1"/>
  <c r="P46" i="12"/>
  <c r="Y391" i="12" s="1"/>
  <c r="O46" i="12"/>
  <c r="Y390" i="12" s="1"/>
  <c r="W45" i="12"/>
  <c r="Y389" i="12" s="1"/>
  <c r="V45" i="12"/>
  <c r="Y388" i="12" s="1"/>
  <c r="U45" i="12"/>
  <c r="Y387" i="12" s="1"/>
  <c r="T45" i="12"/>
  <c r="Y386" i="12" s="1"/>
  <c r="S45" i="12"/>
  <c r="Y385" i="12" s="1"/>
  <c r="R45" i="12"/>
  <c r="Y384" i="12" s="1"/>
  <c r="Q45" i="12"/>
  <c r="Y383" i="12" s="1"/>
  <c r="P45" i="12"/>
  <c r="Y382" i="12" s="1"/>
  <c r="O45" i="12"/>
  <c r="Y381" i="12" s="1"/>
  <c r="W44" i="12"/>
  <c r="Y380" i="12" s="1"/>
  <c r="V44" i="12"/>
  <c r="Y379" i="12" s="1"/>
  <c r="U44" i="12"/>
  <c r="Y378" i="12" s="1"/>
  <c r="T44" i="12"/>
  <c r="Y377" i="12" s="1"/>
  <c r="S44" i="12"/>
  <c r="Y376" i="12" s="1"/>
  <c r="R44" i="12"/>
  <c r="Y375" i="12" s="1"/>
  <c r="Q44" i="12"/>
  <c r="Y374" i="12" s="1"/>
  <c r="P44" i="12"/>
  <c r="Y373" i="12" s="1"/>
  <c r="O44" i="12"/>
  <c r="Y372" i="12" s="1"/>
  <c r="W43" i="12"/>
  <c r="Y371" i="12" s="1"/>
  <c r="V43" i="12"/>
  <c r="Y370" i="12" s="1"/>
  <c r="U43" i="12"/>
  <c r="Y369" i="12" s="1"/>
  <c r="T43" i="12"/>
  <c r="Y368" i="12" s="1"/>
  <c r="S43" i="12"/>
  <c r="Y367" i="12" s="1"/>
  <c r="R43" i="12"/>
  <c r="Y366" i="12" s="1"/>
  <c r="Q43" i="12"/>
  <c r="Y365" i="12" s="1"/>
  <c r="P43" i="12"/>
  <c r="Y364" i="12" s="1"/>
  <c r="O43" i="12"/>
  <c r="Y363" i="12" s="1"/>
  <c r="W42" i="12"/>
  <c r="Y362" i="12" s="1"/>
  <c r="V42" i="12"/>
  <c r="Y361" i="12" s="1"/>
  <c r="U42" i="12"/>
  <c r="Y360" i="12" s="1"/>
  <c r="T42" i="12"/>
  <c r="Y359" i="12" s="1"/>
  <c r="S42" i="12"/>
  <c r="Y358" i="12" s="1"/>
  <c r="R42" i="12"/>
  <c r="Y357" i="12" s="1"/>
  <c r="Q42" i="12"/>
  <c r="Y356" i="12" s="1"/>
  <c r="P42" i="12"/>
  <c r="Y355" i="12" s="1"/>
  <c r="O42" i="12"/>
  <c r="Y354" i="12" s="1"/>
  <c r="W41" i="12"/>
  <c r="Y353" i="12" s="1"/>
  <c r="V41" i="12"/>
  <c r="Y352" i="12" s="1"/>
  <c r="U41" i="12"/>
  <c r="Y351" i="12" s="1"/>
  <c r="T41" i="12"/>
  <c r="Y350" i="12" s="1"/>
  <c r="S41" i="12"/>
  <c r="Y349" i="12" s="1"/>
  <c r="R41" i="12"/>
  <c r="Y348" i="12" s="1"/>
  <c r="Q41" i="12"/>
  <c r="Y347" i="12" s="1"/>
  <c r="P41" i="12"/>
  <c r="Y346" i="12" s="1"/>
  <c r="O41" i="12"/>
  <c r="Y345" i="12" s="1"/>
  <c r="W40" i="12"/>
  <c r="Y344" i="12" s="1"/>
  <c r="V40" i="12"/>
  <c r="Y343" i="12" s="1"/>
  <c r="U40" i="12"/>
  <c r="Y342" i="12" s="1"/>
  <c r="T40" i="12"/>
  <c r="Y341" i="12" s="1"/>
  <c r="S40" i="12"/>
  <c r="Y340" i="12" s="1"/>
  <c r="R40" i="12"/>
  <c r="Y339" i="12" s="1"/>
  <c r="Q40" i="12"/>
  <c r="Y338" i="12" s="1"/>
  <c r="P40" i="12"/>
  <c r="Y337" i="12" s="1"/>
  <c r="O40" i="12"/>
  <c r="Y336" i="12" s="1"/>
  <c r="W39" i="12"/>
  <c r="Y335" i="12" s="1"/>
  <c r="V39" i="12"/>
  <c r="Y334" i="12" s="1"/>
  <c r="U39" i="12"/>
  <c r="Y333" i="12" s="1"/>
  <c r="T39" i="12"/>
  <c r="Y332" i="12" s="1"/>
  <c r="S39" i="12"/>
  <c r="Y331" i="12" s="1"/>
  <c r="R39" i="12"/>
  <c r="Y330" i="12" s="1"/>
  <c r="Q39" i="12"/>
  <c r="Y329" i="12" s="1"/>
  <c r="P39" i="12"/>
  <c r="Y328" i="12" s="1"/>
  <c r="O39" i="12"/>
  <c r="Y327" i="12" s="1"/>
  <c r="W38" i="12"/>
  <c r="Y326" i="12" s="1"/>
  <c r="V38" i="12"/>
  <c r="Y325" i="12" s="1"/>
  <c r="U38" i="12"/>
  <c r="Y324" i="12" s="1"/>
  <c r="T38" i="12"/>
  <c r="Y323" i="12" s="1"/>
  <c r="S38" i="12"/>
  <c r="Y322" i="12" s="1"/>
  <c r="R38" i="12"/>
  <c r="Y321" i="12" s="1"/>
  <c r="Q38" i="12"/>
  <c r="Y320" i="12" s="1"/>
  <c r="P38" i="12"/>
  <c r="Y319" i="12" s="1"/>
  <c r="O38" i="12"/>
  <c r="Y318" i="12" s="1"/>
  <c r="W37" i="12"/>
  <c r="Y317" i="12" s="1"/>
  <c r="V37" i="12"/>
  <c r="Y316" i="12" s="1"/>
  <c r="U37" i="12"/>
  <c r="Y315" i="12" s="1"/>
  <c r="T37" i="12"/>
  <c r="Y314" i="12" s="1"/>
  <c r="S37" i="12"/>
  <c r="Y313" i="12" s="1"/>
  <c r="R37" i="12"/>
  <c r="Y312" i="12" s="1"/>
  <c r="Q37" i="12"/>
  <c r="Y311" i="12" s="1"/>
  <c r="P37" i="12"/>
  <c r="Y310" i="12" s="1"/>
  <c r="O37" i="12"/>
  <c r="Y309" i="12" s="1"/>
  <c r="W36" i="12"/>
  <c r="Y308" i="12" s="1"/>
  <c r="V36" i="12"/>
  <c r="Y307" i="12" s="1"/>
  <c r="U36" i="12"/>
  <c r="Y306" i="12" s="1"/>
  <c r="T36" i="12"/>
  <c r="Y305" i="12" s="1"/>
  <c r="S36" i="12"/>
  <c r="Y304" i="12" s="1"/>
  <c r="R36" i="12"/>
  <c r="Y303" i="12" s="1"/>
  <c r="Q36" i="12"/>
  <c r="Y302" i="12" s="1"/>
  <c r="P36" i="12"/>
  <c r="Y301" i="12" s="1"/>
  <c r="O36" i="12"/>
  <c r="Y300" i="12" s="1"/>
  <c r="W35" i="12"/>
  <c r="Y299" i="12" s="1"/>
  <c r="V35" i="12"/>
  <c r="Y298" i="12" s="1"/>
  <c r="U35" i="12"/>
  <c r="Y297" i="12" s="1"/>
  <c r="T35" i="12"/>
  <c r="Y296" i="12" s="1"/>
  <c r="S35" i="12"/>
  <c r="Y295" i="12" s="1"/>
  <c r="R35" i="12"/>
  <c r="Y294" i="12" s="1"/>
  <c r="Q35" i="12"/>
  <c r="Y293" i="12" s="1"/>
  <c r="P35" i="12"/>
  <c r="Y292" i="12" s="1"/>
  <c r="O35" i="12"/>
  <c r="Y291" i="12" s="1"/>
  <c r="W34" i="12"/>
  <c r="Y290" i="12" s="1"/>
  <c r="V34" i="12"/>
  <c r="Y289" i="12" s="1"/>
  <c r="U34" i="12"/>
  <c r="Y288" i="12" s="1"/>
  <c r="T34" i="12"/>
  <c r="Y287" i="12" s="1"/>
  <c r="S34" i="12"/>
  <c r="Y286" i="12" s="1"/>
  <c r="R34" i="12"/>
  <c r="Y285" i="12" s="1"/>
  <c r="Z285" i="12" s="1"/>
  <c r="Q34" i="12"/>
  <c r="Y284" i="12" s="1"/>
  <c r="P34" i="12"/>
  <c r="Y283" i="12" s="1"/>
  <c r="O34" i="12"/>
  <c r="Y282" i="12" s="1"/>
  <c r="W33" i="12"/>
  <c r="Y281" i="12" s="1"/>
  <c r="V33" i="12"/>
  <c r="Y280" i="12" s="1"/>
  <c r="U33" i="12"/>
  <c r="Y279" i="12" s="1"/>
  <c r="T33" i="12"/>
  <c r="Y278" i="12" s="1"/>
  <c r="S33" i="12"/>
  <c r="Y277" i="12" s="1"/>
  <c r="R33" i="12"/>
  <c r="Y276" i="12" s="1"/>
  <c r="Q33" i="12"/>
  <c r="Y275" i="12" s="1"/>
  <c r="P33" i="12"/>
  <c r="Y274" i="12" s="1"/>
  <c r="O33" i="12"/>
  <c r="Y273" i="12" s="1"/>
  <c r="W32" i="12"/>
  <c r="Y272" i="12" s="1"/>
  <c r="V32" i="12"/>
  <c r="Y271" i="12" s="1"/>
  <c r="U32" i="12"/>
  <c r="Y270" i="12" s="1"/>
  <c r="T32" i="12"/>
  <c r="Y269" i="12" s="1"/>
  <c r="S32" i="12"/>
  <c r="Y268" i="12" s="1"/>
  <c r="R32" i="12"/>
  <c r="Y267" i="12" s="1"/>
  <c r="Q32" i="12"/>
  <c r="Y266" i="12" s="1"/>
  <c r="P32" i="12"/>
  <c r="Y265" i="12" s="1"/>
  <c r="O32" i="12"/>
  <c r="Y264" i="12" s="1"/>
  <c r="W31" i="12"/>
  <c r="Y263" i="12" s="1"/>
  <c r="V31" i="12"/>
  <c r="Y262" i="12" s="1"/>
  <c r="U31" i="12"/>
  <c r="Y261" i="12" s="1"/>
  <c r="T31" i="12"/>
  <c r="Y260" i="12" s="1"/>
  <c r="S31" i="12"/>
  <c r="Y259" i="12" s="1"/>
  <c r="R31" i="12"/>
  <c r="Y258" i="12" s="1"/>
  <c r="Q31" i="12"/>
  <c r="Y257" i="12" s="1"/>
  <c r="P31" i="12"/>
  <c r="Y256" i="12" s="1"/>
  <c r="O31" i="12"/>
  <c r="Y255" i="12" s="1"/>
  <c r="W30" i="12"/>
  <c r="Y254" i="12" s="1"/>
  <c r="V30" i="12"/>
  <c r="Y253" i="12" s="1"/>
  <c r="U30" i="12"/>
  <c r="Y252" i="12" s="1"/>
  <c r="T30" i="12"/>
  <c r="Y251" i="12" s="1"/>
  <c r="S30" i="12"/>
  <c r="Y250" i="12" s="1"/>
  <c r="R30" i="12"/>
  <c r="Y249" i="12" s="1"/>
  <c r="Q30" i="12"/>
  <c r="Y248" i="12" s="1"/>
  <c r="P30" i="12"/>
  <c r="Y247" i="12" s="1"/>
  <c r="O30" i="12"/>
  <c r="Y246" i="12" s="1"/>
  <c r="W29" i="12"/>
  <c r="Y245" i="12" s="1"/>
  <c r="V29" i="12"/>
  <c r="Y244" i="12" s="1"/>
  <c r="U29" i="12"/>
  <c r="Y243" i="12" s="1"/>
  <c r="T29" i="12"/>
  <c r="Y242" i="12" s="1"/>
  <c r="S29" i="12"/>
  <c r="Y241" i="12" s="1"/>
  <c r="R29" i="12"/>
  <c r="Y240" i="12" s="1"/>
  <c r="Q29" i="12"/>
  <c r="Y239" i="12" s="1"/>
  <c r="P29" i="12"/>
  <c r="Y238" i="12" s="1"/>
  <c r="O29" i="12"/>
  <c r="Y237" i="12" s="1"/>
  <c r="W28" i="12"/>
  <c r="Y236" i="12" s="1"/>
  <c r="V28" i="12"/>
  <c r="Y235" i="12" s="1"/>
  <c r="U28" i="12"/>
  <c r="Y234" i="12" s="1"/>
  <c r="T28" i="12"/>
  <c r="Y233" i="12" s="1"/>
  <c r="S28" i="12"/>
  <c r="Y232" i="12" s="1"/>
  <c r="R28" i="12"/>
  <c r="Y231" i="12" s="1"/>
  <c r="Q28" i="12"/>
  <c r="Y230" i="12" s="1"/>
  <c r="P28" i="12"/>
  <c r="Y229" i="12" s="1"/>
  <c r="O28" i="12"/>
  <c r="Y228" i="12" s="1"/>
  <c r="W27" i="12"/>
  <c r="Y227" i="12" s="1"/>
  <c r="V27" i="12"/>
  <c r="Y226" i="12" s="1"/>
  <c r="U27" i="12"/>
  <c r="Y225" i="12" s="1"/>
  <c r="T27" i="12"/>
  <c r="Y224" i="12" s="1"/>
  <c r="S27" i="12"/>
  <c r="Y223" i="12" s="1"/>
  <c r="R27" i="12"/>
  <c r="Y222" i="12" s="1"/>
  <c r="Q27" i="12"/>
  <c r="Y221" i="12" s="1"/>
  <c r="P27" i="12"/>
  <c r="Y220" i="12" s="1"/>
  <c r="O27" i="12"/>
  <c r="Y219" i="12" s="1"/>
  <c r="W26" i="12"/>
  <c r="Y218" i="12" s="1"/>
  <c r="V26" i="12"/>
  <c r="Y217" i="12" s="1"/>
  <c r="U26" i="12"/>
  <c r="Y216" i="12" s="1"/>
  <c r="T26" i="12"/>
  <c r="Y215" i="12" s="1"/>
  <c r="S26" i="12"/>
  <c r="Y214" i="12" s="1"/>
  <c r="R26" i="12"/>
  <c r="Y213" i="12" s="1"/>
  <c r="Q26" i="12"/>
  <c r="Y212" i="12" s="1"/>
  <c r="P26" i="12"/>
  <c r="Y211" i="12" s="1"/>
  <c r="O26" i="12"/>
  <c r="Y210" i="12" s="1"/>
  <c r="W25" i="12"/>
  <c r="Y209" i="12" s="1"/>
  <c r="V25" i="12"/>
  <c r="Y208" i="12" s="1"/>
  <c r="U25" i="12"/>
  <c r="Y207" i="12" s="1"/>
  <c r="T25" i="12"/>
  <c r="Y206" i="12" s="1"/>
  <c r="S25" i="12"/>
  <c r="Y205" i="12" s="1"/>
  <c r="R25" i="12"/>
  <c r="Y204" i="12" s="1"/>
  <c r="Q25" i="12"/>
  <c r="Y203" i="12" s="1"/>
  <c r="P25" i="12"/>
  <c r="Y202" i="12" s="1"/>
  <c r="O25" i="12"/>
  <c r="Y201" i="12" s="1"/>
  <c r="W24" i="12"/>
  <c r="Y200" i="12" s="1"/>
  <c r="V24" i="12"/>
  <c r="Y199" i="12" s="1"/>
  <c r="U24" i="12"/>
  <c r="Y198" i="12" s="1"/>
  <c r="T24" i="12"/>
  <c r="Y197" i="12" s="1"/>
  <c r="S24" i="12"/>
  <c r="Y196" i="12" s="1"/>
  <c r="R24" i="12"/>
  <c r="Y195" i="12" s="1"/>
  <c r="Q24" i="12"/>
  <c r="Y194" i="12" s="1"/>
  <c r="P24" i="12"/>
  <c r="Y193" i="12" s="1"/>
  <c r="O24" i="12"/>
  <c r="Y192" i="12" s="1"/>
  <c r="W23" i="12"/>
  <c r="Y191" i="12" s="1"/>
  <c r="V23" i="12"/>
  <c r="Y190" i="12" s="1"/>
  <c r="U23" i="12"/>
  <c r="Y189" i="12" s="1"/>
  <c r="T23" i="12"/>
  <c r="Y188" i="12" s="1"/>
  <c r="S23" i="12"/>
  <c r="Y187" i="12" s="1"/>
  <c r="R23" i="12"/>
  <c r="Y186" i="12" s="1"/>
  <c r="Q23" i="12"/>
  <c r="Y185" i="12" s="1"/>
  <c r="P23" i="12"/>
  <c r="Y184" i="12" s="1"/>
  <c r="O23" i="12"/>
  <c r="Y183" i="12" s="1"/>
  <c r="W22" i="12"/>
  <c r="Y182" i="12" s="1"/>
  <c r="V22" i="12"/>
  <c r="Y181" i="12" s="1"/>
  <c r="U22" i="12"/>
  <c r="Y180" i="12" s="1"/>
  <c r="T22" i="12"/>
  <c r="Y179" i="12" s="1"/>
  <c r="S22" i="12"/>
  <c r="Y178" i="12" s="1"/>
  <c r="R22" i="12"/>
  <c r="Y177" i="12" s="1"/>
  <c r="Q22" i="12"/>
  <c r="Y176" i="12" s="1"/>
  <c r="P22" i="12"/>
  <c r="Y175" i="12" s="1"/>
  <c r="O22" i="12"/>
  <c r="Y174" i="12" s="1"/>
  <c r="W21" i="12"/>
  <c r="Y173" i="12" s="1"/>
  <c r="V21" i="12"/>
  <c r="Y172" i="12" s="1"/>
  <c r="U21" i="12"/>
  <c r="Y171" i="12" s="1"/>
  <c r="T21" i="12"/>
  <c r="Y170" i="12" s="1"/>
  <c r="S21" i="12"/>
  <c r="Y169" i="12" s="1"/>
  <c r="R21" i="12"/>
  <c r="Y168" i="12" s="1"/>
  <c r="Q21" i="12"/>
  <c r="Y167" i="12" s="1"/>
  <c r="P21" i="12"/>
  <c r="Y166" i="12" s="1"/>
  <c r="O21" i="12"/>
  <c r="Y165" i="12" s="1"/>
  <c r="W20" i="12"/>
  <c r="Y164" i="12" s="1"/>
  <c r="V20" i="12"/>
  <c r="Y163" i="12" s="1"/>
  <c r="U20" i="12"/>
  <c r="Y162" i="12" s="1"/>
  <c r="T20" i="12"/>
  <c r="Y161" i="12" s="1"/>
  <c r="S20" i="12"/>
  <c r="Y160" i="12" s="1"/>
  <c r="R20" i="12"/>
  <c r="Y159" i="12" s="1"/>
  <c r="Q20" i="12"/>
  <c r="Y158" i="12" s="1"/>
  <c r="P20" i="12"/>
  <c r="Y157" i="12" s="1"/>
  <c r="O20" i="12"/>
  <c r="Y156" i="12" s="1"/>
  <c r="W19" i="12"/>
  <c r="Y155" i="12" s="1"/>
  <c r="V19" i="12"/>
  <c r="Y154" i="12" s="1"/>
  <c r="U19" i="12"/>
  <c r="Y153" i="12" s="1"/>
  <c r="T19" i="12"/>
  <c r="Y152" i="12" s="1"/>
  <c r="S19" i="12"/>
  <c r="Y151" i="12" s="1"/>
  <c r="R19" i="12"/>
  <c r="Y150" i="12" s="1"/>
  <c r="AB150" i="12" s="1"/>
  <c r="Q19" i="12"/>
  <c r="Y149" i="12" s="1"/>
  <c r="P19" i="12"/>
  <c r="Y148" i="12" s="1"/>
  <c r="O19" i="12"/>
  <c r="Y147" i="12" s="1"/>
  <c r="W18" i="12"/>
  <c r="Y146" i="12" s="1"/>
  <c r="V18" i="12"/>
  <c r="Y145" i="12" s="1"/>
  <c r="U18" i="12"/>
  <c r="Y144" i="12" s="1"/>
  <c r="T18" i="12"/>
  <c r="Y143" i="12" s="1"/>
  <c r="S18" i="12"/>
  <c r="Y142" i="12" s="1"/>
  <c r="R18" i="12"/>
  <c r="Y141" i="12" s="1"/>
  <c r="Q18" i="12"/>
  <c r="Y140" i="12" s="1"/>
  <c r="P18" i="12"/>
  <c r="Y139" i="12" s="1"/>
  <c r="O18" i="12"/>
  <c r="Y138" i="12" s="1"/>
  <c r="W17" i="12"/>
  <c r="Y137" i="12" s="1"/>
  <c r="V17" i="12"/>
  <c r="Y136" i="12" s="1"/>
  <c r="U17" i="12"/>
  <c r="Y135" i="12" s="1"/>
  <c r="T17" i="12"/>
  <c r="Y134" i="12" s="1"/>
  <c r="S17" i="12"/>
  <c r="Y133" i="12" s="1"/>
  <c r="R17" i="12"/>
  <c r="Y132" i="12" s="1"/>
  <c r="Q17" i="12"/>
  <c r="Y131" i="12" s="1"/>
  <c r="P17" i="12"/>
  <c r="Y130" i="12" s="1"/>
  <c r="O17" i="12"/>
  <c r="Y129" i="12" s="1"/>
  <c r="W16" i="12"/>
  <c r="Y128" i="12" s="1"/>
  <c r="V16" i="12"/>
  <c r="Y127" i="12" s="1"/>
  <c r="U16" i="12"/>
  <c r="Y126" i="12" s="1"/>
  <c r="T16" i="12"/>
  <c r="Y125" i="12" s="1"/>
  <c r="S16" i="12"/>
  <c r="Y124" i="12" s="1"/>
  <c r="R16" i="12"/>
  <c r="Y123" i="12" s="1"/>
  <c r="AB123" i="12" s="1"/>
  <c r="Q16" i="12"/>
  <c r="Y122" i="12" s="1"/>
  <c r="P16" i="12"/>
  <c r="Y121" i="12" s="1"/>
  <c r="O16" i="12"/>
  <c r="Y120" i="12" s="1"/>
  <c r="W15" i="12"/>
  <c r="Y119" i="12" s="1"/>
  <c r="V15" i="12"/>
  <c r="Y118" i="12" s="1"/>
  <c r="U15" i="12"/>
  <c r="Y117" i="12" s="1"/>
  <c r="Z117" i="12" s="1"/>
  <c r="T15" i="12"/>
  <c r="Y116" i="12" s="1"/>
  <c r="S15" i="12"/>
  <c r="Y115" i="12" s="1"/>
  <c r="R15" i="12"/>
  <c r="Y114" i="12" s="1"/>
  <c r="Q15" i="12"/>
  <c r="Y113" i="12" s="1"/>
  <c r="P15" i="12"/>
  <c r="Y112" i="12" s="1"/>
  <c r="O15" i="12"/>
  <c r="Y111" i="12" s="1"/>
  <c r="W14" i="12"/>
  <c r="Y110" i="12" s="1"/>
  <c r="V14" i="12"/>
  <c r="Y109" i="12" s="1"/>
  <c r="U14" i="12"/>
  <c r="Y108" i="12" s="1"/>
  <c r="T14" i="12"/>
  <c r="Y107" i="12" s="1"/>
  <c r="S14" i="12"/>
  <c r="Y106" i="12" s="1"/>
  <c r="R14" i="12"/>
  <c r="Y105" i="12" s="1"/>
  <c r="Q14" i="12"/>
  <c r="Y104" i="12" s="1"/>
  <c r="P14" i="12"/>
  <c r="Y103" i="12" s="1"/>
  <c r="O14" i="12"/>
  <c r="Y102" i="12" s="1"/>
  <c r="W13" i="12"/>
  <c r="Y101" i="12" s="1"/>
  <c r="V13" i="12"/>
  <c r="Y100" i="12" s="1"/>
  <c r="U13" i="12"/>
  <c r="Y99" i="12" s="1"/>
  <c r="AB99" i="12" s="1"/>
  <c r="T13" i="12"/>
  <c r="Y98" i="12" s="1"/>
  <c r="S13" i="12"/>
  <c r="Y97" i="12" s="1"/>
  <c r="R13" i="12"/>
  <c r="Y96" i="12" s="1"/>
  <c r="Q13" i="12"/>
  <c r="Y95" i="12" s="1"/>
  <c r="P13" i="12"/>
  <c r="Y94" i="12" s="1"/>
  <c r="O13" i="12"/>
  <c r="Y93" i="12" s="1"/>
  <c r="W12" i="12"/>
  <c r="Y92" i="12" s="1"/>
  <c r="V12" i="12"/>
  <c r="Y91" i="12" s="1"/>
  <c r="U12" i="12"/>
  <c r="Y90" i="12" s="1"/>
  <c r="T12" i="12"/>
  <c r="Y89" i="12" s="1"/>
  <c r="S12" i="12"/>
  <c r="Y88" i="12" s="1"/>
  <c r="R12" i="12"/>
  <c r="Y87" i="12" s="1"/>
  <c r="Q12" i="12"/>
  <c r="Y86" i="12" s="1"/>
  <c r="P12" i="12"/>
  <c r="Y85" i="12" s="1"/>
  <c r="O12" i="12"/>
  <c r="Y84" i="12" s="1"/>
  <c r="W11" i="12"/>
  <c r="Y83" i="12" s="1"/>
  <c r="V11" i="12"/>
  <c r="Y82" i="12" s="1"/>
  <c r="U11" i="12"/>
  <c r="Y81" i="12" s="1"/>
  <c r="T11" i="12"/>
  <c r="Y80" i="12" s="1"/>
  <c r="S11" i="12"/>
  <c r="Y79" i="12" s="1"/>
  <c r="R11" i="12"/>
  <c r="Y78" i="12" s="1"/>
  <c r="Q11" i="12"/>
  <c r="Y77" i="12" s="1"/>
  <c r="P11" i="12"/>
  <c r="Y76" i="12" s="1"/>
  <c r="O11" i="12"/>
  <c r="Y75" i="12" s="1"/>
  <c r="W10" i="12"/>
  <c r="Y74" i="12" s="1"/>
  <c r="V10" i="12"/>
  <c r="Y73" i="12" s="1"/>
  <c r="U10" i="12"/>
  <c r="Y72" i="12" s="1"/>
  <c r="T10" i="12"/>
  <c r="Y71" i="12" s="1"/>
  <c r="S10" i="12"/>
  <c r="Y70" i="12" s="1"/>
  <c r="R10" i="12"/>
  <c r="Y69" i="12" s="1"/>
  <c r="Q10" i="12"/>
  <c r="Y68" i="12" s="1"/>
  <c r="Z68" i="12" s="1"/>
  <c r="P10" i="12"/>
  <c r="Y67" i="12" s="1"/>
  <c r="O10" i="12"/>
  <c r="Y66" i="12" s="1"/>
  <c r="W9" i="12"/>
  <c r="Y65" i="12" s="1"/>
  <c r="V9" i="12"/>
  <c r="Y64" i="12" s="1"/>
  <c r="U9" i="12"/>
  <c r="Y63" i="12" s="1"/>
  <c r="AA63" i="12" s="1"/>
  <c r="T9" i="12"/>
  <c r="Y62" i="12" s="1"/>
  <c r="AA62" i="12" s="1"/>
  <c r="S9" i="12"/>
  <c r="Y61" i="12" s="1"/>
  <c r="R9" i="12"/>
  <c r="Y60" i="12" s="1"/>
  <c r="AA60" i="12" s="1"/>
  <c r="Q9" i="12"/>
  <c r="Y59" i="12" s="1"/>
  <c r="AA59" i="12" s="1"/>
  <c r="P9" i="12"/>
  <c r="Y58" i="12" s="1"/>
  <c r="AA58" i="12" s="1"/>
  <c r="O9" i="12"/>
  <c r="Y57" i="12" s="1"/>
  <c r="W8" i="12"/>
  <c r="Y56" i="12" s="1"/>
  <c r="AA56" i="12" s="1"/>
  <c r="V8" i="12"/>
  <c r="Y55" i="12" s="1"/>
  <c r="AA55" i="12" s="1"/>
  <c r="U8" i="12"/>
  <c r="Y54" i="12" s="1"/>
  <c r="AA54" i="12" s="1"/>
  <c r="T8" i="12"/>
  <c r="Y53" i="12" s="1"/>
  <c r="S8" i="12"/>
  <c r="Y52" i="12" s="1"/>
  <c r="AA52" i="12" s="1"/>
  <c r="R8" i="12"/>
  <c r="Y51" i="12" s="1"/>
  <c r="AA51" i="12" s="1"/>
  <c r="Q8" i="12"/>
  <c r="Y50" i="12" s="1"/>
  <c r="AA50" i="12" s="1"/>
  <c r="P8" i="12"/>
  <c r="Y49" i="12" s="1"/>
  <c r="O8" i="12"/>
  <c r="Y48" i="12" s="1"/>
  <c r="AA48" i="12" s="1"/>
  <c r="W7" i="12"/>
  <c r="Y47" i="12" s="1"/>
  <c r="V7" i="12"/>
  <c r="Y46" i="12" s="1"/>
  <c r="AA46" i="12" s="1"/>
  <c r="U7" i="12"/>
  <c r="Y45" i="12" s="1"/>
  <c r="T7" i="12"/>
  <c r="Y44" i="12" s="1"/>
  <c r="S7" i="12"/>
  <c r="Y43" i="12" s="1"/>
  <c r="R7" i="12"/>
  <c r="Y42" i="12" s="1"/>
  <c r="AA42" i="12" s="1"/>
  <c r="Q7" i="12"/>
  <c r="Y41" i="12" s="1"/>
  <c r="P7" i="12"/>
  <c r="Y40" i="12" s="1"/>
  <c r="O7" i="12"/>
  <c r="Y39" i="12" s="1"/>
  <c r="W6" i="12"/>
  <c r="Y38" i="12" s="1"/>
  <c r="AA38" i="12" s="1"/>
  <c r="V6" i="12"/>
  <c r="Y37" i="12" s="1"/>
  <c r="U6" i="12"/>
  <c r="Y36" i="12" s="1"/>
  <c r="T6" i="12"/>
  <c r="Y35" i="12" s="1"/>
  <c r="S6" i="12"/>
  <c r="Y34" i="12" s="1"/>
  <c r="AA34" i="12" s="1"/>
  <c r="R6" i="12"/>
  <c r="Y33" i="12" s="1"/>
  <c r="Q6" i="12"/>
  <c r="Y32" i="12" s="1"/>
  <c r="AA32" i="12" s="1"/>
  <c r="P6" i="12"/>
  <c r="Y31" i="12" s="1"/>
  <c r="O6" i="12"/>
  <c r="Y30" i="12" s="1"/>
  <c r="W5" i="12"/>
  <c r="Y29" i="12" s="1"/>
  <c r="V5" i="12"/>
  <c r="Y28" i="12" s="1"/>
  <c r="U5" i="12"/>
  <c r="Y27" i="12" s="1"/>
  <c r="T5" i="12"/>
  <c r="Y26" i="12" s="1"/>
  <c r="S5" i="12"/>
  <c r="Y25" i="12" s="1"/>
  <c r="R5" i="12"/>
  <c r="Y24" i="12" s="1"/>
  <c r="Q5" i="12"/>
  <c r="Y23" i="12" s="1"/>
  <c r="P5" i="12"/>
  <c r="Y22" i="12" s="1"/>
  <c r="O5" i="12"/>
  <c r="Y21" i="12" s="1"/>
  <c r="W4" i="12"/>
  <c r="Y20" i="12" s="1"/>
  <c r="V4" i="12"/>
  <c r="Y19" i="12" s="1"/>
  <c r="U4" i="12"/>
  <c r="Y18" i="12" s="1"/>
  <c r="T4" i="12"/>
  <c r="Y17" i="12" s="1"/>
  <c r="S4" i="12"/>
  <c r="Y16" i="12" s="1"/>
  <c r="R4" i="12"/>
  <c r="Y15" i="12" s="1"/>
  <c r="Q4" i="12"/>
  <c r="Y14" i="12" s="1"/>
  <c r="P4" i="12"/>
  <c r="Y13" i="12" s="1"/>
  <c r="O4" i="12"/>
  <c r="Y12" i="12" s="1"/>
  <c r="W3" i="12"/>
  <c r="Y11" i="12" s="1"/>
  <c r="V3" i="12"/>
  <c r="Y10" i="12" s="1"/>
  <c r="U3" i="12"/>
  <c r="Y9" i="12" s="1"/>
  <c r="T3" i="12"/>
  <c r="Y8" i="12" s="1"/>
  <c r="S3" i="12"/>
  <c r="Y7" i="12" s="1"/>
  <c r="R3" i="12"/>
  <c r="Y6" i="12" s="1"/>
  <c r="Y5" i="12"/>
  <c r="P3" i="12"/>
  <c r="Y4" i="12" s="1"/>
  <c r="O3" i="12"/>
  <c r="Y3" i="12" s="1"/>
  <c r="AB3" i="12" s="1"/>
  <c r="AA2" i="12"/>
  <c r="B1" i="12"/>
  <c r="Z8" i="12" l="1"/>
  <c r="AB8" i="12"/>
  <c r="AA8" i="12"/>
  <c r="AB7" i="12"/>
  <c r="Z7" i="12"/>
  <c r="Z4" i="12"/>
  <c r="AA4" i="12"/>
  <c r="AB4" i="12"/>
  <c r="Z3" i="12"/>
  <c r="X3" i="12" s="1"/>
  <c r="AA6" i="12"/>
  <c r="Z6" i="12"/>
  <c r="AB6" i="12"/>
  <c r="AA16" i="12"/>
  <c r="AB16" i="12"/>
  <c r="Z16" i="12"/>
  <c r="AB25" i="12"/>
  <c r="Z25" i="12"/>
  <c r="AA25" i="12"/>
  <c r="AB37" i="12"/>
  <c r="AA37" i="12"/>
  <c r="Z37" i="12"/>
  <c r="AB17" i="12"/>
  <c r="AA17" i="12"/>
  <c r="Z17" i="12"/>
  <c r="Z22" i="12"/>
  <c r="AB22" i="12"/>
  <c r="AA22" i="12"/>
  <c r="Z26" i="12"/>
  <c r="AB26" i="12"/>
  <c r="AA26" i="12"/>
  <c r="Z30" i="12"/>
  <c r="AB30" i="12"/>
  <c r="AA30" i="12"/>
  <c r="AB69" i="12"/>
  <c r="AA69" i="12"/>
  <c r="Z69" i="12"/>
  <c r="AB85" i="12"/>
  <c r="AA85" i="12"/>
  <c r="Z85" i="12"/>
  <c r="AB89" i="12"/>
  <c r="AA89" i="12"/>
  <c r="Z89" i="12"/>
  <c r="AB93" i="12"/>
  <c r="AA93" i="12"/>
  <c r="Z93" i="12"/>
  <c r="AA10" i="12"/>
  <c r="AB10" i="12"/>
  <c r="Z10" i="12"/>
  <c r="AA20" i="12"/>
  <c r="Z20" i="12"/>
  <c r="AB20" i="12"/>
  <c r="AB29" i="12"/>
  <c r="Z29" i="12"/>
  <c r="AA29" i="12"/>
  <c r="AB41" i="12"/>
  <c r="AA41" i="12"/>
  <c r="Z41" i="12"/>
  <c r="AB11" i="12"/>
  <c r="AA11" i="12"/>
  <c r="Z11" i="12"/>
  <c r="AA18" i="12"/>
  <c r="Z18" i="12"/>
  <c r="AB18" i="12"/>
  <c r="AB31" i="12"/>
  <c r="Z31" i="12"/>
  <c r="AA31" i="12"/>
  <c r="AB35" i="12"/>
  <c r="AA35" i="12"/>
  <c r="Z35" i="12"/>
  <c r="AB39" i="12"/>
  <c r="AA39" i="12"/>
  <c r="Z39" i="12"/>
  <c r="AB43" i="12"/>
  <c r="AA43" i="12"/>
  <c r="Z43" i="12"/>
  <c r="AB47" i="12"/>
  <c r="AA47" i="12"/>
  <c r="Z47" i="12"/>
  <c r="AB49" i="12"/>
  <c r="AA49" i="12"/>
  <c r="Z49" i="12"/>
  <c r="AB114" i="12"/>
  <c r="AA114" i="12"/>
  <c r="Z114" i="12"/>
  <c r="AB130" i="12"/>
  <c r="AA130" i="12"/>
  <c r="Z130" i="12"/>
  <c r="AA12" i="12"/>
  <c r="Z12" i="12"/>
  <c r="AB12" i="12"/>
  <c r="Z21" i="12"/>
  <c r="AA21" i="12"/>
  <c r="AB21" i="12"/>
  <c r="AB33" i="12"/>
  <c r="AA33" i="12"/>
  <c r="Z33" i="12"/>
  <c r="AB45" i="12"/>
  <c r="AA45" i="12"/>
  <c r="Z45" i="12"/>
  <c r="Z13" i="12"/>
  <c r="AB13" i="12"/>
  <c r="AA13" i="12"/>
  <c r="AA14" i="12"/>
  <c r="AB14" i="12"/>
  <c r="Z14" i="12"/>
  <c r="AB23" i="12"/>
  <c r="Z23" i="12"/>
  <c r="AA23" i="12"/>
  <c r="AB27" i="12"/>
  <c r="Z27" i="12"/>
  <c r="AA27" i="12"/>
  <c r="AB5" i="12"/>
  <c r="AA5" i="12"/>
  <c r="Z5" i="12"/>
  <c r="AB9" i="12"/>
  <c r="Z9" i="12"/>
  <c r="AA9" i="12"/>
  <c r="AB15" i="12"/>
  <c r="AA15" i="12"/>
  <c r="Z15" i="12"/>
  <c r="AB19" i="12"/>
  <c r="AA19" i="12"/>
  <c r="Z19" i="12"/>
  <c r="Z24" i="12"/>
  <c r="AB24" i="12"/>
  <c r="AA24" i="12"/>
  <c r="Z28" i="12"/>
  <c r="AB28" i="12"/>
  <c r="AA28" i="12"/>
  <c r="AB71" i="12"/>
  <c r="Z71" i="12"/>
  <c r="AA71" i="12"/>
  <c r="AB75" i="12"/>
  <c r="Z75" i="12"/>
  <c r="AA75" i="12"/>
  <c r="Z53" i="12"/>
  <c r="AB53" i="12"/>
  <c r="AB67" i="12"/>
  <c r="Z67" i="12"/>
  <c r="AB82" i="12"/>
  <c r="AA82" i="12"/>
  <c r="Z82" i="12"/>
  <c r="Z100" i="12"/>
  <c r="AB100" i="12"/>
  <c r="AA100" i="12"/>
  <c r="AB118" i="12"/>
  <c r="AA118" i="12"/>
  <c r="Z118" i="12"/>
  <c r="AB125" i="12"/>
  <c r="AA125" i="12"/>
  <c r="Z125" i="12"/>
  <c r="AB136" i="12"/>
  <c r="AA136" i="12"/>
  <c r="Z136" i="12"/>
  <c r="Z143" i="12"/>
  <c r="AB143" i="12"/>
  <c r="AA143" i="12"/>
  <c r="AA154" i="12"/>
  <c r="Z154" i="12"/>
  <c r="AB154" i="12"/>
  <c r="AB161" i="12"/>
  <c r="AA161" i="12"/>
  <c r="Z161" i="12"/>
  <c r="AB177" i="12"/>
  <c r="AA177" i="12"/>
  <c r="Z177" i="12"/>
  <c r="AB185" i="12"/>
  <c r="AA185" i="12"/>
  <c r="Z185" i="12"/>
  <c r="AB201" i="12"/>
  <c r="Z201" i="12"/>
  <c r="AA201" i="12"/>
  <c r="AB209" i="12"/>
  <c r="Z209" i="12"/>
  <c r="AA209" i="12"/>
  <c r="AB225" i="12"/>
  <c r="Z225" i="12"/>
  <c r="AA225" i="12"/>
  <c r="AB241" i="12"/>
  <c r="Z241" i="12"/>
  <c r="AA241" i="12"/>
  <c r="AB257" i="12"/>
  <c r="AA257" i="12"/>
  <c r="Z257" i="12"/>
  <c r="AB273" i="12"/>
  <c r="AA273" i="12"/>
  <c r="Z273" i="12"/>
  <c r="AA67" i="12"/>
  <c r="AB81" i="12"/>
  <c r="AA81" i="12"/>
  <c r="Z81" i="12"/>
  <c r="AB97" i="12"/>
  <c r="AA97" i="12"/>
  <c r="Z97" i="12"/>
  <c r="AB141" i="12"/>
  <c r="AA141" i="12"/>
  <c r="Z141" i="12"/>
  <c r="AA3" i="12"/>
  <c r="Z50" i="12"/>
  <c r="AB50" i="12"/>
  <c r="Z57" i="12"/>
  <c r="AB57" i="12"/>
  <c r="Z61" i="12"/>
  <c r="AB61" i="12"/>
  <c r="Z65" i="12"/>
  <c r="AB65" i="12"/>
  <c r="AB68" i="12"/>
  <c r="AA68" i="12"/>
  <c r="AB72" i="12"/>
  <c r="Z72" i="12"/>
  <c r="AB79" i="12"/>
  <c r="AA79" i="12"/>
  <c r="Z79" i="12"/>
  <c r="AB83" i="12"/>
  <c r="AA83" i="12"/>
  <c r="Z83" i="12"/>
  <c r="AB86" i="12"/>
  <c r="AA86" i="12"/>
  <c r="Z86" i="12"/>
  <c r="AB90" i="12"/>
  <c r="AA90" i="12"/>
  <c r="Z90" i="12"/>
  <c r="AB101" i="12"/>
  <c r="AA101" i="12"/>
  <c r="Z104" i="12"/>
  <c r="AB104" i="12"/>
  <c r="Z108" i="12"/>
  <c r="AB108" i="12"/>
  <c r="AA108" i="12"/>
  <c r="AA111" i="12"/>
  <c r="Z111" i="12"/>
  <c r="AB111" i="12"/>
  <c r="AA115" i="12"/>
  <c r="Z115" i="12"/>
  <c r="AB115" i="12"/>
  <c r="AA119" i="12"/>
  <c r="Z119" i="12"/>
  <c r="AB119" i="12"/>
  <c r="AB122" i="12"/>
  <c r="AA122" i="12"/>
  <c r="Z122" i="12"/>
  <c r="AB126" i="12"/>
  <c r="AA126" i="12"/>
  <c r="Z126" i="12"/>
  <c r="AB129" i="12"/>
  <c r="AA129" i="12"/>
  <c r="Z129" i="12"/>
  <c r="AB133" i="12"/>
  <c r="AA133" i="12"/>
  <c r="Z133" i="12"/>
  <c r="AB137" i="12"/>
  <c r="AA137" i="12"/>
  <c r="Z137" i="12"/>
  <c r="AB140" i="12"/>
  <c r="AA140" i="12"/>
  <c r="Z140" i="12"/>
  <c r="AB144" i="12"/>
  <c r="AA144" i="12"/>
  <c r="Z144" i="12"/>
  <c r="Z147" i="12"/>
  <c r="AB147" i="12"/>
  <c r="AA147" i="12"/>
  <c r="Z151" i="12"/>
  <c r="AB151" i="12"/>
  <c r="AA151" i="12"/>
  <c r="Z155" i="12"/>
  <c r="AB155" i="12"/>
  <c r="AA155" i="12"/>
  <c r="AA158" i="12"/>
  <c r="Z158" i="12"/>
  <c r="AB158" i="12"/>
  <c r="AA162" i="12"/>
  <c r="Z162" i="12"/>
  <c r="AB162" i="12"/>
  <c r="AB165" i="12"/>
  <c r="AA165" i="12"/>
  <c r="Z165" i="12"/>
  <c r="AB169" i="12"/>
  <c r="AA169" i="12"/>
  <c r="Z169" i="12"/>
  <c r="AB173" i="12"/>
  <c r="AA173" i="12"/>
  <c r="Z173" i="12"/>
  <c r="AA174" i="12"/>
  <c r="Z174" i="12"/>
  <c r="AB174" i="12"/>
  <c r="AA178" i="12"/>
  <c r="Z178" i="12"/>
  <c r="AB178" i="12"/>
  <c r="AA182" i="12"/>
  <c r="Z182" i="12"/>
  <c r="AB182" i="12"/>
  <c r="AA194" i="12"/>
  <c r="Z194" i="12"/>
  <c r="AB194" i="12"/>
  <c r="Z198" i="12"/>
  <c r="AB198" i="12"/>
  <c r="AA198" i="12"/>
  <c r="Z210" i="12"/>
  <c r="AB210" i="12"/>
  <c r="AA210" i="12"/>
  <c r="Z214" i="12"/>
  <c r="AB214" i="12"/>
  <c r="AA214" i="12"/>
  <c r="Z218" i="12"/>
  <c r="AB218" i="12"/>
  <c r="AA218" i="12"/>
  <c r="Z230" i="12"/>
  <c r="AB230" i="12"/>
  <c r="AA230" i="12"/>
  <c r="Z234" i="12"/>
  <c r="AB234" i="12"/>
  <c r="AA234" i="12"/>
  <c r="Z246" i="12"/>
  <c r="AB246" i="12"/>
  <c r="AA246" i="12"/>
  <c r="Z250" i="12"/>
  <c r="AB250" i="12"/>
  <c r="AA250" i="12"/>
  <c r="Z254" i="12"/>
  <c r="AB254" i="12"/>
  <c r="AA254" i="12"/>
  <c r="AA266" i="12"/>
  <c r="Z266" i="12"/>
  <c r="AB266" i="12"/>
  <c r="AA270" i="12"/>
  <c r="Z270" i="12"/>
  <c r="AB270" i="12"/>
  <c r="Z101" i="12"/>
  <c r="Z42" i="12"/>
  <c r="AB42" i="12"/>
  <c r="Z64" i="12"/>
  <c r="AB64" i="12"/>
  <c r="AB78" i="12"/>
  <c r="AA78" i="12"/>
  <c r="Z78" i="12"/>
  <c r="AA103" i="12"/>
  <c r="Z103" i="12"/>
  <c r="AB103" i="12"/>
  <c r="AB132" i="12"/>
  <c r="AA132" i="12"/>
  <c r="Z132" i="12"/>
  <c r="Z36" i="12"/>
  <c r="AB36" i="12"/>
  <c r="AA7" i="12"/>
  <c r="Z54" i="12"/>
  <c r="AB54" i="12"/>
  <c r="Z40" i="12"/>
  <c r="AB40" i="12"/>
  <c r="Z44" i="12"/>
  <c r="AB44" i="12"/>
  <c r="Z51" i="12"/>
  <c r="AB51" i="12"/>
  <c r="Z55" i="12"/>
  <c r="AB55" i="12"/>
  <c r="Z58" i="12"/>
  <c r="AB58" i="12"/>
  <c r="Z62" i="12"/>
  <c r="AB62" i="12"/>
  <c r="AB73" i="12"/>
  <c r="Z73" i="12"/>
  <c r="AA73" i="12"/>
  <c r="AB76" i="12"/>
  <c r="Z76" i="12"/>
  <c r="AB80" i="12"/>
  <c r="AA80" i="12"/>
  <c r="Z80" i="12"/>
  <c r="AB87" i="12"/>
  <c r="AA87" i="12"/>
  <c r="Z87" i="12"/>
  <c r="AB91" i="12"/>
  <c r="AA91" i="12"/>
  <c r="Z91" i="12"/>
  <c r="AB94" i="12"/>
  <c r="AA94" i="12"/>
  <c r="Z94" i="12"/>
  <c r="AB98" i="12"/>
  <c r="AA98" i="12"/>
  <c r="Z98" i="12"/>
  <c r="AB105" i="12"/>
  <c r="AA105" i="12"/>
  <c r="Z105" i="12"/>
  <c r="AB109" i="12"/>
  <c r="AA109" i="12"/>
  <c r="Z109" i="12"/>
  <c r="Z112" i="12"/>
  <c r="AB112" i="12"/>
  <c r="AA112" i="12"/>
  <c r="Z116" i="12"/>
  <c r="AB116" i="12"/>
  <c r="AA116" i="12"/>
  <c r="AA123" i="12"/>
  <c r="Z123" i="12"/>
  <c r="AA127" i="12"/>
  <c r="Z127" i="12"/>
  <c r="AB127" i="12"/>
  <c r="AA134" i="12"/>
  <c r="Z134" i="12"/>
  <c r="AB145" i="12"/>
  <c r="AA145" i="12"/>
  <c r="Z145" i="12"/>
  <c r="AB148" i="12"/>
  <c r="AA148" i="12"/>
  <c r="Z148" i="12"/>
  <c r="AB152" i="12"/>
  <c r="AA152" i="12"/>
  <c r="Z152" i="12"/>
  <c r="Z159" i="12"/>
  <c r="AB159" i="12"/>
  <c r="AA159" i="12"/>
  <c r="Z163" i="12"/>
  <c r="AB163" i="12"/>
  <c r="AA166" i="12"/>
  <c r="Z166" i="12"/>
  <c r="AB166" i="12"/>
  <c r="AA170" i="12"/>
  <c r="Z170" i="12"/>
  <c r="AB170" i="12"/>
  <c r="AB183" i="12"/>
  <c r="AA183" i="12"/>
  <c r="Z183" i="12"/>
  <c r="Z187" i="12"/>
  <c r="AB187" i="12"/>
  <c r="AA187" i="12"/>
  <c r="Z191" i="12"/>
  <c r="AB191" i="12"/>
  <c r="AA191" i="12"/>
  <c r="AB203" i="12"/>
  <c r="AA203" i="12"/>
  <c r="Z203" i="12"/>
  <c r="AB207" i="12"/>
  <c r="AA207" i="12"/>
  <c r="Z207" i="12"/>
  <c r="AB219" i="12"/>
  <c r="AA219" i="12"/>
  <c r="Z219" i="12"/>
  <c r="AB223" i="12"/>
  <c r="AA223" i="12"/>
  <c r="Z223" i="12"/>
  <c r="AB227" i="12"/>
  <c r="AA227" i="12"/>
  <c r="Z227" i="12"/>
  <c r="AB239" i="12"/>
  <c r="AA239" i="12"/>
  <c r="Z239" i="12"/>
  <c r="AB243" i="12"/>
  <c r="AA243" i="12"/>
  <c r="Z243" i="12"/>
  <c r="AB255" i="12"/>
  <c r="AA255" i="12"/>
  <c r="Z255" i="12"/>
  <c r="AB259" i="12"/>
  <c r="AA259" i="12"/>
  <c r="Z259" i="12"/>
  <c r="AB263" i="12"/>
  <c r="AA263" i="12"/>
  <c r="Z263" i="12"/>
  <c r="AB275" i="12"/>
  <c r="AA275" i="12"/>
  <c r="Z275" i="12"/>
  <c r="AA279" i="12"/>
  <c r="Z279" i="12"/>
  <c r="AB279" i="12"/>
  <c r="AA36" i="12"/>
  <c r="AA40" i="12"/>
  <c r="AA44" i="12"/>
  <c r="AA64" i="12"/>
  <c r="AA72" i="12"/>
  <c r="AA76" i="12"/>
  <c r="AA104" i="12"/>
  <c r="AA163" i="12"/>
  <c r="Z46" i="12"/>
  <c r="AB46" i="12"/>
  <c r="Z60" i="12"/>
  <c r="AB60" i="12"/>
  <c r="AB96" i="12"/>
  <c r="AA96" i="12"/>
  <c r="Z96" i="12"/>
  <c r="AA107" i="12"/>
  <c r="Z107" i="12"/>
  <c r="AB121" i="12"/>
  <c r="AA121" i="12"/>
  <c r="Z121" i="12"/>
  <c r="Z139" i="12"/>
  <c r="AB139" i="12"/>
  <c r="AA139" i="12"/>
  <c r="AA150" i="12"/>
  <c r="Z150" i="12"/>
  <c r="AB157" i="12"/>
  <c r="AA157" i="12"/>
  <c r="Z157" i="12"/>
  <c r="AB168" i="12"/>
  <c r="AA168" i="12"/>
  <c r="Z168" i="12"/>
  <c r="AB189" i="12"/>
  <c r="AA189" i="12"/>
  <c r="Z189" i="12"/>
  <c r="AB205" i="12"/>
  <c r="AA205" i="12"/>
  <c r="Z205" i="12"/>
  <c r="AB221" i="12"/>
  <c r="AA221" i="12"/>
  <c r="Z221" i="12"/>
  <c r="AB237" i="12"/>
  <c r="AA237" i="12"/>
  <c r="Z237" i="12"/>
  <c r="AB245" i="12"/>
  <c r="AA245" i="12"/>
  <c r="Z245" i="12"/>
  <c r="AB261" i="12"/>
  <c r="AA261" i="12"/>
  <c r="Z261" i="12"/>
  <c r="Z32" i="12"/>
  <c r="AB32" i="12"/>
  <c r="Z34" i="12"/>
  <c r="AB34" i="12"/>
  <c r="Z38" i="12"/>
  <c r="AB38" i="12"/>
  <c r="Z48" i="12"/>
  <c r="AB48" i="12"/>
  <c r="Z52" i="12"/>
  <c r="AB52" i="12"/>
  <c r="Z56" i="12"/>
  <c r="AB56" i="12"/>
  <c r="Z59" i="12"/>
  <c r="AB59" i="12"/>
  <c r="Z63" i="12"/>
  <c r="AB63" i="12"/>
  <c r="AB66" i="12"/>
  <c r="AA66" i="12"/>
  <c r="Z66" i="12"/>
  <c r="AB70" i="12"/>
  <c r="Z70" i="12"/>
  <c r="AA70" i="12"/>
  <c r="AB74" i="12"/>
  <c r="Z74" i="12"/>
  <c r="AA74" i="12"/>
  <c r="AB77" i="12"/>
  <c r="Z77" i="12"/>
  <c r="AA77" i="12"/>
  <c r="AB84" i="12"/>
  <c r="AA84" i="12"/>
  <c r="Z84" i="12"/>
  <c r="AB88" i="12"/>
  <c r="AA88" i="12"/>
  <c r="Z88" i="12"/>
  <c r="AB92" i="12"/>
  <c r="AA92" i="12"/>
  <c r="Z92" i="12"/>
  <c r="AB95" i="12"/>
  <c r="AA95" i="12"/>
  <c r="Z95" i="12"/>
  <c r="AA99" i="12"/>
  <c r="Z99" i="12"/>
  <c r="AB102" i="12"/>
  <c r="AA102" i="12"/>
  <c r="Z102" i="12"/>
  <c r="AB106" i="12"/>
  <c r="AA106" i="12"/>
  <c r="Z106" i="12"/>
  <c r="AB110" i="12"/>
  <c r="AA110" i="12"/>
  <c r="Z110" i="12"/>
  <c r="AB113" i="12"/>
  <c r="AA113" i="12"/>
  <c r="Z113" i="12"/>
  <c r="AB117" i="12"/>
  <c r="AA117" i="12"/>
  <c r="Z120" i="12"/>
  <c r="AB120" i="12"/>
  <c r="Z124" i="12"/>
  <c r="AB124" i="12"/>
  <c r="AA124" i="12"/>
  <c r="Z128" i="12"/>
  <c r="AB128" i="12"/>
  <c r="AA128" i="12"/>
  <c r="AA131" i="12"/>
  <c r="Z131" i="12"/>
  <c r="AB131" i="12"/>
  <c r="Z135" i="12"/>
  <c r="AB135" i="12"/>
  <c r="AA135" i="12"/>
  <c r="AA138" i="12"/>
  <c r="Z138" i="12"/>
  <c r="AB138" i="12"/>
  <c r="AA142" i="12"/>
  <c r="Z142" i="12"/>
  <c r="AB142" i="12"/>
  <c r="AA146" i="12"/>
  <c r="Z146" i="12"/>
  <c r="AB146" i="12"/>
  <c r="AB149" i="12"/>
  <c r="AA149" i="12"/>
  <c r="Z149" i="12"/>
  <c r="AB153" i="12"/>
  <c r="AA153" i="12"/>
  <c r="Z153" i="12"/>
  <c r="AB156" i="12"/>
  <c r="AA156" i="12"/>
  <c r="Z156" i="12"/>
  <c r="AB160" i="12"/>
  <c r="AA160" i="12"/>
  <c r="Z160" i="12"/>
  <c r="AB164" i="12"/>
  <c r="AA164" i="12"/>
  <c r="Z164" i="12"/>
  <c r="Z167" i="12"/>
  <c r="AB167" i="12"/>
  <c r="AA167" i="12"/>
  <c r="Z171" i="12"/>
  <c r="AB171" i="12"/>
  <c r="AA171" i="12"/>
  <c r="AB176" i="12"/>
  <c r="AA176" i="12"/>
  <c r="AB180" i="12"/>
  <c r="AA180" i="12"/>
  <c r="Z180" i="12"/>
  <c r="AB192" i="12"/>
  <c r="AA192" i="12"/>
  <c r="Z192" i="12"/>
  <c r="Z196" i="12"/>
  <c r="AB196" i="12"/>
  <c r="AA196" i="12"/>
  <c r="Z200" i="12"/>
  <c r="AA200" i="12"/>
  <c r="AB200" i="12"/>
  <c r="Z212" i="12"/>
  <c r="AB212" i="12"/>
  <c r="AA212" i="12"/>
  <c r="Z216" i="12"/>
  <c r="AA216" i="12"/>
  <c r="AB216" i="12"/>
  <c r="Z220" i="12"/>
  <c r="AB220" i="12"/>
  <c r="AA220" i="12"/>
  <c r="Z228" i="12"/>
  <c r="AB228" i="12"/>
  <c r="AA228" i="12"/>
  <c r="Z232" i="12"/>
  <c r="AA232" i="12"/>
  <c r="AB232" i="12"/>
  <c r="Z236" i="12"/>
  <c r="AB236" i="12"/>
  <c r="AA236" i="12"/>
  <c r="Z248" i="12"/>
  <c r="AA248" i="12"/>
  <c r="AB248" i="12"/>
  <c r="Z252" i="12"/>
  <c r="AB252" i="12"/>
  <c r="AA252" i="12"/>
  <c r="AA264" i="12"/>
  <c r="Z264" i="12"/>
  <c r="AB264" i="12"/>
  <c r="AA268" i="12"/>
  <c r="Z268" i="12"/>
  <c r="AB268" i="12"/>
  <c r="AA272" i="12"/>
  <c r="Z272" i="12"/>
  <c r="AB272" i="12"/>
  <c r="AA282" i="12"/>
  <c r="AB282" i="12"/>
  <c r="Z282" i="12"/>
  <c r="AA286" i="12"/>
  <c r="AB286" i="12"/>
  <c r="Z286" i="12"/>
  <c r="AA290" i="12"/>
  <c r="AB290" i="12"/>
  <c r="Z290" i="12"/>
  <c r="AA53" i="12"/>
  <c r="AA57" i="12"/>
  <c r="AA61" i="12"/>
  <c r="AA65" i="12"/>
  <c r="AB107" i="12"/>
  <c r="AA120" i="12"/>
  <c r="AB134" i="12"/>
  <c r="Z176" i="12"/>
  <c r="AB172" i="12"/>
  <c r="AA172" i="12"/>
  <c r="Z172" i="12"/>
  <c r="Z175" i="12"/>
  <c r="AB175" i="12"/>
  <c r="AA175" i="12"/>
  <c r="Z179" i="12"/>
  <c r="AB179" i="12"/>
  <c r="AA186" i="12"/>
  <c r="Z186" i="12"/>
  <c r="AB186" i="12"/>
  <c r="AA190" i="12"/>
  <c r="Z190" i="12"/>
  <c r="AB190" i="12"/>
  <c r="AB193" i="12"/>
  <c r="AA193" i="12"/>
  <c r="Z193" i="12"/>
  <c r="AB197" i="12"/>
  <c r="AA197" i="12"/>
  <c r="Z197" i="12"/>
  <c r="Z204" i="12"/>
  <c r="AB204" i="12"/>
  <c r="AA204" i="12"/>
  <c r="Z208" i="12"/>
  <c r="AA208" i="12"/>
  <c r="AB208" i="12"/>
  <c r="AB211" i="12"/>
  <c r="AA211" i="12"/>
  <c r="Z211" i="12"/>
  <c r="AB215" i="12"/>
  <c r="AA215" i="12"/>
  <c r="Z215" i="12"/>
  <c r="Z222" i="12"/>
  <c r="AB222" i="12"/>
  <c r="AA222" i="12"/>
  <c r="Z226" i="12"/>
  <c r="AB226" i="12"/>
  <c r="AA226" i="12"/>
  <c r="AB229" i="12"/>
  <c r="AA229" i="12"/>
  <c r="Z229" i="12"/>
  <c r="AB233" i="12"/>
  <c r="Z233" i="12"/>
  <c r="AA233" i="12"/>
  <c r="Z240" i="12"/>
  <c r="AA240" i="12"/>
  <c r="AB240" i="12"/>
  <c r="Z244" i="12"/>
  <c r="AB244" i="12"/>
  <c r="AA244" i="12"/>
  <c r="AB247" i="12"/>
  <c r="AA247" i="12"/>
  <c r="Z247" i="12"/>
  <c r="AB251" i="12"/>
  <c r="AA251" i="12"/>
  <c r="Z251" i="12"/>
  <c r="AA258" i="12"/>
  <c r="Z258" i="12"/>
  <c r="AB258" i="12"/>
  <c r="AA262" i="12"/>
  <c r="Z262" i="12"/>
  <c r="AB262" i="12"/>
  <c r="AB265" i="12"/>
  <c r="AA265" i="12"/>
  <c r="Z265" i="12"/>
  <c r="AB269" i="12"/>
  <c r="AA269" i="12"/>
  <c r="Z269" i="12"/>
  <c r="AA276" i="12"/>
  <c r="Z276" i="12"/>
  <c r="AB276" i="12"/>
  <c r="AA280" i="12"/>
  <c r="AB280" i="12"/>
  <c r="Z280" i="12"/>
  <c r="AA283" i="12"/>
  <c r="Z283" i="12"/>
  <c r="AB283" i="12"/>
  <c r="AA287" i="12"/>
  <c r="Z287" i="12"/>
  <c r="AB287" i="12"/>
  <c r="AA179" i="12"/>
  <c r="AB277" i="12"/>
  <c r="AA277" i="12"/>
  <c r="Z277" i="12"/>
  <c r="AB281" i="12"/>
  <c r="AA281" i="12"/>
  <c r="Z281" i="12"/>
  <c r="AA284" i="12"/>
  <c r="AB284" i="12"/>
  <c r="Z284" i="12"/>
  <c r="AA288" i="12"/>
  <c r="AB288" i="12"/>
  <c r="Z288" i="12"/>
  <c r="AB181" i="12"/>
  <c r="AA181" i="12"/>
  <c r="Z181" i="12"/>
  <c r="AA184" i="12"/>
  <c r="AB184" i="12"/>
  <c r="Z184" i="12"/>
  <c r="AB188" i="12"/>
  <c r="AA188" i="12"/>
  <c r="Z188" i="12"/>
  <c r="AB195" i="12"/>
  <c r="AA195" i="12"/>
  <c r="Z195" i="12"/>
  <c r="AB199" i="12"/>
  <c r="AA199" i="12"/>
  <c r="Z199" i="12"/>
  <c r="Z202" i="12"/>
  <c r="AB202" i="12"/>
  <c r="AA202" i="12"/>
  <c r="Z206" i="12"/>
  <c r="AB206" i="12"/>
  <c r="AA206" i="12"/>
  <c r="AB213" i="12"/>
  <c r="AA213" i="12"/>
  <c r="Z213" i="12"/>
  <c r="AB217" i="12"/>
  <c r="Z217" i="12"/>
  <c r="AA217" i="12"/>
  <c r="Z224" i="12"/>
  <c r="AA224" i="12"/>
  <c r="AB224" i="12"/>
  <c r="AB231" i="12"/>
  <c r="AA231" i="12"/>
  <c r="Z231" i="12"/>
  <c r="AB235" i="12"/>
  <c r="AA235" i="12"/>
  <c r="Z235" i="12"/>
  <c r="Z238" i="12"/>
  <c r="AB238" i="12"/>
  <c r="AA238" i="12"/>
  <c r="Z242" i="12"/>
  <c r="AB242" i="12"/>
  <c r="AA242" i="12"/>
  <c r="AB249" i="12"/>
  <c r="Z249" i="12"/>
  <c r="AA249" i="12"/>
  <c r="AB253" i="12"/>
  <c r="AA253" i="12"/>
  <c r="Z253" i="12"/>
  <c r="AA256" i="12"/>
  <c r="Z256" i="12"/>
  <c r="AB256" i="12"/>
  <c r="AA260" i="12"/>
  <c r="Z260" i="12"/>
  <c r="AB260" i="12"/>
  <c r="AB267" i="12"/>
  <c r="AA267" i="12"/>
  <c r="Z267" i="12"/>
  <c r="AB271" i="12"/>
  <c r="AA271" i="12"/>
  <c r="Z271" i="12"/>
  <c r="AA274" i="12"/>
  <c r="Z274" i="12"/>
  <c r="AB274" i="12"/>
  <c r="AA278" i="12"/>
  <c r="AB278" i="12"/>
  <c r="Z278" i="12"/>
  <c r="AB285" i="12"/>
  <c r="AA285" i="12"/>
  <c r="AB289" i="12"/>
  <c r="AA289" i="12"/>
  <c r="Z289" i="12"/>
  <c r="I31" i="8"/>
  <c r="I32" i="8"/>
  <c r="L13" i="8" l="1"/>
  <c r="O13" i="8" s="1"/>
  <c r="P8" i="8"/>
  <c r="Q8" i="8"/>
  <c r="X4" i="12"/>
  <c r="X5" i="12" s="1"/>
  <c r="X6" i="12" s="1"/>
  <c r="I30" i="8"/>
  <c r="I20" i="8"/>
  <c r="I21" i="8"/>
  <c r="I22" i="8"/>
  <c r="I23" i="8"/>
  <c r="I24" i="8"/>
  <c r="I25" i="8"/>
  <c r="I26" i="8"/>
  <c r="I27" i="8"/>
  <c r="I28" i="8"/>
  <c r="I29" i="8"/>
  <c r="F9" i="10"/>
  <c r="G9" i="10"/>
  <c r="H9" i="10"/>
  <c r="F6" i="10"/>
  <c r="G6" i="10"/>
  <c r="H6" i="10"/>
  <c r="M13" i="8" l="1"/>
  <c r="N13" i="8"/>
  <c r="P13" i="8"/>
  <c r="Q13" i="8"/>
  <c r="P7" i="8"/>
  <c r="Q7" i="8"/>
  <c r="X7" i="12"/>
  <c r="E2" i="1"/>
  <c r="G7" i="10" s="1"/>
  <c r="E2" i="8"/>
  <c r="G10" i="10" s="1"/>
  <c r="H7" i="10"/>
  <c r="N5" i="1"/>
  <c r="O5" i="1"/>
  <c r="M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" i="1"/>
  <c r="I15" i="8"/>
  <c r="I16" i="8"/>
  <c r="I17" i="8"/>
  <c r="I18" i="8"/>
  <c r="I19" i="8"/>
  <c r="S7" i="1" l="1"/>
  <c r="T6" i="1"/>
  <c r="S6" i="1"/>
  <c r="T7" i="1"/>
  <c r="C7" i="10"/>
  <c r="B7" i="10"/>
  <c r="C10" i="10"/>
  <c r="B10" i="10"/>
  <c r="A7" i="10"/>
  <c r="A10" i="10"/>
  <c r="R6" i="1"/>
  <c r="R7" i="1"/>
  <c r="Q7" i="1"/>
  <c r="Q6" i="1"/>
  <c r="P6" i="8"/>
  <c r="Q6" i="8"/>
  <c r="N7" i="1"/>
  <c r="O7" i="1"/>
  <c r="O6" i="1"/>
  <c r="M7" i="1"/>
  <c r="X8" i="12"/>
  <c r="M6" i="1"/>
  <c r="N6" i="1"/>
  <c r="A4" i="10" l="1"/>
  <c r="B4" i="10"/>
  <c r="C4" i="10"/>
  <c r="X9" i="1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8" i="1"/>
  <c r="I56" i="1"/>
  <c r="I57" i="1"/>
  <c r="I55" i="1"/>
  <c r="I5" i="8"/>
  <c r="I6" i="8"/>
  <c r="I7" i="8"/>
  <c r="I8" i="8"/>
  <c r="I9" i="8"/>
  <c r="I10" i="8"/>
  <c r="I11" i="8"/>
  <c r="I12" i="8"/>
  <c r="I13" i="8"/>
  <c r="I14" i="8"/>
  <c r="Y334" i="9"/>
  <c r="Y344" i="9"/>
  <c r="Y360" i="9"/>
  <c r="Y370" i="9"/>
  <c r="Y380" i="9"/>
  <c r="Y396" i="9"/>
  <c r="Y406" i="9"/>
  <c r="Y416" i="9"/>
  <c r="Y432" i="9"/>
  <c r="Y20" i="9"/>
  <c r="Y29" i="9"/>
  <c r="Y38" i="9"/>
  <c r="Y47" i="9"/>
  <c r="Y56" i="9"/>
  <c r="Y65" i="9"/>
  <c r="Y74" i="9"/>
  <c r="Y83" i="9"/>
  <c r="Y92" i="9"/>
  <c r="Y101" i="9"/>
  <c r="Y110" i="9"/>
  <c r="Y119" i="9"/>
  <c r="Y128" i="9"/>
  <c r="Y137" i="9"/>
  <c r="Y146" i="9"/>
  <c r="Y155" i="9"/>
  <c r="Y164" i="9"/>
  <c r="Y173" i="9"/>
  <c r="Y182" i="9"/>
  <c r="Y191" i="9"/>
  <c r="Y200" i="9"/>
  <c r="Y209" i="9"/>
  <c r="Y218" i="9"/>
  <c r="Y227" i="9"/>
  <c r="Y236" i="9"/>
  <c r="Y245" i="9"/>
  <c r="Y254" i="9"/>
  <c r="Y263" i="9"/>
  <c r="Y272" i="9"/>
  <c r="Y281" i="9"/>
  <c r="Y290" i="9"/>
  <c r="Y299" i="9"/>
  <c r="Y308" i="9"/>
  <c r="Y317" i="9"/>
  <c r="Y326" i="9"/>
  <c r="Y335" i="9"/>
  <c r="Y353" i="9"/>
  <c r="Y362" i="9"/>
  <c r="Y371" i="9"/>
  <c r="Y389" i="9"/>
  <c r="Y398" i="9"/>
  <c r="Y407" i="9"/>
  <c r="Y425" i="9"/>
  <c r="Y434" i="9"/>
  <c r="Y11" i="9"/>
  <c r="Y18" i="9"/>
  <c r="Y27" i="9"/>
  <c r="Y36" i="9"/>
  <c r="Y45" i="9"/>
  <c r="Y54" i="9"/>
  <c r="Y63" i="9"/>
  <c r="Y72" i="9"/>
  <c r="Y81" i="9"/>
  <c r="Y90" i="9"/>
  <c r="Y99" i="9"/>
  <c r="Y108" i="9"/>
  <c r="Y117" i="9"/>
  <c r="Y126" i="9"/>
  <c r="Y135" i="9"/>
  <c r="Y144" i="9"/>
  <c r="Y153" i="9"/>
  <c r="Y162" i="9"/>
  <c r="Y171" i="9"/>
  <c r="Y180" i="9"/>
  <c r="Y189" i="9"/>
  <c r="Y198" i="9"/>
  <c r="Y207" i="9"/>
  <c r="Y216" i="9"/>
  <c r="Y225" i="9"/>
  <c r="Y234" i="9"/>
  <c r="Y243" i="9"/>
  <c r="Y252" i="9"/>
  <c r="Y261" i="9"/>
  <c r="Y270" i="9"/>
  <c r="Y279" i="9"/>
  <c r="Y288" i="9"/>
  <c r="Y297" i="9"/>
  <c r="Y306" i="9"/>
  <c r="Y315" i="9"/>
  <c r="Y324" i="9"/>
  <c r="Y333" i="9"/>
  <c r="Y342" i="9"/>
  <c r="Y351" i="9"/>
  <c r="Y369" i="9"/>
  <c r="Y378" i="9"/>
  <c r="Y387" i="9"/>
  <c r="Y405" i="9"/>
  <c r="Y414" i="9"/>
  <c r="Y423" i="9"/>
  <c r="Y9" i="9"/>
  <c r="Y19" i="9"/>
  <c r="Y28" i="9"/>
  <c r="Y37" i="9"/>
  <c r="Y46" i="9"/>
  <c r="Y55" i="9"/>
  <c r="Y64" i="9"/>
  <c r="Y73" i="9"/>
  <c r="Y82" i="9"/>
  <c r="Y91" i="9"/>
  <c r="Y100" i="9"/>
  <c r="Y109" i="9"/>
  <c r="Y118" i="9"/>
  <c r="Y127" i="9"/>
  <c r="Y136" i="9"/>
  <c r="Y145" i="9"/>
  <c r="Y154" i="9"/>
  <c r="Y163" i="9"/>
  <c r="Y172" i="9"/>
  <c r="Y181" i="9"/>
  <c r="Y190" i="9"/>
  <c r="Y199" i="9"/>
  <c r="Y208" i="9"/>
  <c r="Y217" i="9"/>
  <c r="Y226" i="9"/>
  <c r="Y235" i="9"/>
  <c r="Y244" i="9"/>
  <c r="Y253" i="9"/>
  <c r="Y262" i="9"/>
  <c r="Y271" i="9"/>
  <c r="Y280" i="9"/>
  <c r="Y289" i="9"/>
  <c r="Y298" i="9"/>
  <c r="Y307" i="9"/>
  <c r="Y316" i="9"/>
  <c r="Y325" i="9"/>
  <c r="Y343" i="9"/>
  <c r="Y352" i="9"/>
  <c r="Y361" i="9"/>
  <c r="Y379" i="9"/>
  <c r="Y388" i="9"/>
  <c r="Y397" i="9"/>
  <c r="Y415" i="9"/>
  <c r="Y424" i="9"/>
  <c r="Y433" i="9"/>
  <c r="Y10" i="9"/>
  <c r="V9" i="8" l="1"/>
  <c r="W9" i="8"/>
  <c r="W6" i="8"/>
  <c r="V6" i="8"/>
  <c r="V10" i="8"/>
  <c r="W10" i="8"/>
  <c r="W7" i="8"/>
  <c r="V7" i="8"/>
  <c r="V8" i="8"/>
  <c r="W8" i="8"/>
  <c r="W5" i="8"/>
  <c r="V5" i="8"/>
  <c r="H4" i="10"/>
  <c r="G4" i="10"/>
  <c r="Q5" i="8"/>
  <c r="P5" i="8"/>
  <c r="X10" i="12"/>
  <c r="AB145" i="9"/>
  <c r="Z145" i="9"/>
  <c r="AA145" i="9"/>
  <c r="AA144" i="9"/>
  <c r="AB144" i="9"/>
  <c r="Z144" i="9"/>
  <c r="Z110" i="9"/>
  <c r="AA110" i="9"/>
  <c r="AB110" i="9"/>
  <c r="Z199" i="9"/>
  <c r="AA199" i="9"/>
  <c r="AB199" i="9"/>
  <c r="Z163" i="9"/>
  <c r="AA163" i="9"/>
  <c r="AB163" i="9"/>
  <c r="Z127" i="9"/>
  <c r="AA127" i="9"/>
  <c r="AB127" i="9"/>
  <c r="Z198" i="9"/>
  <c r="AA198" i="9"/>
  <c r="AB198" i="9"/>
  <c r="Z162" i="9"/>
  <c r="AA162" i="9"/>
  <c r="AB162" i="9"/>
  <c r="Z126" i="9"/>
  <c r="AA126" i="9"/>
  <c r="AB126" i="9"/>
  <c r="AA200" i="9"/>
  <c r="AB200" i="9"/>
  <c r="Z200" i="9"/>
  <c r="AA164" i="9"/>
  <c r="AB164" i="9"/>
  <c r="Z164" i="9"/>
  <c r="AA128" i="9"/>
  <c r="AB128" i="9"/>
  <c r="Z128" i="9"/>
  <c r="Z217" i="9"/>
  <c r="AA217" i="9"/>
  <c r="AB217" i="9"/>
  <c r="Z190" i="9"/>
  <c r="AA190" i="9"/>
  <c r="AB190" i="9"/>
  <c r="Z154" i="9"/>
  <c r="AA154" i="9"/>
  <c r="AB154" i="9"/>
  <c r="Z118" i="9"/>
  <c r="AA118" i="9"/>
  <c r="AB118" i="9"/>
  <c r="AB189" i="9"/>
  <c r="Z189" i="9"/>
  <c r="AA189" i="9"/>
  <c r="AB153" i="9"/>
  <c r="Z153" i="9"/>
  <c r="AA153" i="9"/>
  <c r="Z191" i="9"/>
  <c r="AA191" i="9"/>
  <c r="AB191" i="9"/>
  <c r="Z155" i="9"/>
  <c r="AA155" i="9"/>
  <c r="AB155" i="9"/>
  <c r="Z119" i="9"/>
  <c r="AA119" i="9"/>
  <c r="AB119" i="9"/>
  <c r="Z146" i="9"/>
  <c r="AA146" i="9"/>
  <c r="AB146" i="9"/>
  <c r="AB181" i="9"/>
  <c r="Z181" i="9"/>
  <c r="AA181" i="9"/>
  <c r="Z216" i="9"/>
  <c r="AA216" i="9"/>
  <c r="AB216" i="9"/>
  <c r="AA180" i="9"/>
  <c r="AB180" i="9"/>
  <c r="Z180" i="9"/>
  <c r="Z182" i="9"/>
  <c r="AA182" i="9"/>
  <c r="AB182" i="9"/>
  <c r="AA208" i="9"/>
  <c r="AB208" i="9"/>
  <c r="Z208" i="9"/>
  <c r="AA172" i="9"/>
  <c r="AB172" i="9"/>
  <c r="Z172" i="9"/>
  <c r="AA136" i="9"/>
  <c r="AB136" i="9"/>
  <c r="Z136" i="9"/>
  <c r="Z207" i="9"/>
  <c r="AA207" i="9"/>
  <c r="AB207" i="9"/>
  <c r="Z171" i="9"/>
  <c r="AA171" i="9"/>
  <c r="AB171" i="9"/>
  <c r="Z135" i="9"/>
  <c r="AA135" i="9"/>
  <c r="AB135" i="9"/>
  <c r="AB209" i="9"/>
  <c r="Z209" i="9"/>
  <c r="AA209" i="9"/>
  <c r="AB173" i="9"/>
  <c r="Z173" i="9"/>
  <c r="AA173" i="9"/>
  <c r="AB137" i="9"/>
  <c r="Z137" i="9"/>
  <c r="AA137" i="9"/>
  <c r="AB109" i="9"/>
  <c r="Z109" i="9"/>
  <c r="AA109" i="9"/>
  <c r="AA108" i="9"/>
  <c r="AB108" i="9"/>
  <c r="Z108" i="9"/>
  <c r="AA290" i="9"/>
  <c r="AB290" i="9"/>
  <c r="Z290" i="9"/>
  <c r="AA270" i="9"/>
  <c r="AB270" i="9"/>
  <c r="Z270" i="9"/>
  <c r="AA262" i="9"/>
  <c r="AB262" i="9"/>
  <c r="Z262" i="9"/>
  <c r="AA254" i="9"/>
  <c r="AB254" i="9"/>
  <c r="Z254" i="9"/>
  <c r="AA234" i="9"/>
  <c r="AB234" i="9"/>
  <c r="Z234" i="9"/>
  <c r="AA226" i="9"/>
  <c r="AB226" i="9"/>
  <c r="Z226" i="9"/>
  <c r="AA218" i="9"/>
  <c r="AB218" i="9"/>
  <c r="Z218" i="9"/>
  <c r="Z289" i="9"/>
  <c r="AA289" i="9"/>
  <c r="AB289" i="9"/>
  <c r="Z281" i="9"/>
  <c r="AA281" i="9"/>
  <c r="AB281" i="9"/>
  <c r="Z261" i="9"/>
  <c r="AA261" i="9"/>
  <c r="AB261" i="9"/>
  <c r="Z253" i="9"/>
  <c r="AA253" i="9"/>
  <c r="AB253" i="9"/>
  <c r="Z245" i="9"/>
  <c r="AA245" i="9"/>
  <c r="AB245" i="9"/>
  <c r="Z225" i="9"/>
  <c r="AA225" i="9"/>
  <c r="AB225" i="9"/>
  <c r="Z288" i="9"/>
  <c r="AA288" i="9"/>
  <c r="AB288" i="9"/>
  <c r="Z280" i="9"/>
  <c r="AA280" i="9"/>
  <c r="AB280" i="9"/>
  <c r="Z272" i="9"/>
  <c r="AA272" i="9"/>
  <c r="AB272" i="9"/>
  <c r="Z252" i="9"/>
  <c r="AA252" i="9"/>
  <c r="AB252" i="9"/>
  <c r="Z244" i="9"/>
  <c r="AA244" i="9"/>
  <c r="AB244" i="9"/>
  <c r="Z236" i="9"/>
  <c r="AA236" i="9"/>
  <c r="AB236" i="9"/>
  <c r="AB117" i="9"/>
  <c r="Z117" i="9"/>
  <c r="AA117" i="9"/>
  <c r="AB279" i="9"/>
  <c r="Z279" i="9"/>
  <c r="AA279" i="9"/>
  <c r="AB271" i="9"/>
  <c r="Z271" i="9"/>
  <c r="AA271" i="9"/>
  <c r="AB263" i="9"/>
  <c r="Z263" i="9"/>
  <c r="AA263" i="9"/>
  <c r="AB243" i="9"/>
  <c r="Z243" i="9"/>
  <c r="AA243" i="9"/>
  <c r="AB235" i="9"/>
  <c r="Z235" i="9"/>
  <c r="AA235" i="9"/>
  <c r="AB227" i="9"/>
  <c r="Z227" i="9"/>
  <c r="AA227" i="9"/>
  <c r="AB90" i="9"/>
  <c r="Z90" i="9"/>
  <c r="AA90" i="9"/>
  <c r="AB82" i="9"/>
  <c r="Z82" i="9"/>
  <c r="AA82" i="9"/>
  <c r="AB74" i="9"/>
  <c r="Z74" i="9"/>
  <c r="AA74" i="9"/>
  <c r="AB54" i="9"/>
  <c r="Z54" i="9"/>
  <c r="AA54" i="9"/>
  <c r="AB46" i="9"/>
  <c r="Z46" i="9"/>
  <c r="AA46" i="9"/>
  <c r="AB38" i="9"/>
  <c r="Z38" i="9"/>
  <c r="AA38" i="9"/>
  <c r="AB18" i="9"/>
  <c r="Z18" i="9"/>
  <c r="AA18" i="9"/>
  <c r="AB10" i="9"/>
  <c r="Z10" i="9"/>
  <c r="AA10" i="9"/>
  <c r="AA101" i="9"/>
  <c r="AB101" i="9"/>
  <c r="Z101" i="9"/>
  <c r="AA81" i="9"/>
  <c r="AB81" i="9"/>
  <c r="Z81" i="9"/>
  <c r="AA73" i="9"/>
  <c r="AB73" i="9"/>
  <c r="Z73" i="9"/>
  <c r="AA65" i="9"/>
  <c r="AB65" i="9"/>
  <c r="Z65" i="9"/>
  <c r="AA45" i="9"/>
  <c r="AB45" i="9"/>
  <c r="Z45" i="9"/>
  <c r="AA37" i="9"/>
  <c r="AB37" i="9"/>
  <c r="Z37" i="9"/>
  <c r="AA29" i="9"/>
  <c r="AB29" i="9"/>
  <c r="Z29" i="9"/>
  <c r="AA9" i="9"/>
  <c r="AB9" i="9"/>
  <c r="Z9" i="9"/>
  <c r="Z100" i="9"/>
  <c r="AA100" i="9"/>
  <c r="AB100" i="9"/>
  <c r="Z92" i="9"/>
  <c r="AA92" i="9"/>
  <c r="AB92" i="9"/>
  <c r="Z72" i="9"/>
  <c r="AA72" i="9"/>
  <c r="AB72" i="9"/>
  <c r="Z64" i="9"/>
  <c r="AA64" i="9"/>
  <c r="AB64" i="9"/>
  <c r="Z56" i="9"/>
  <c r="AA56" i="9"/>
  <c r="AB56" i="9"/>
  <c r="Z36" i="9"/>
  <c r="AA36" i="9"/>
  <c r="AB36" i="9"/>
  <c r="Z28" i="9"/>
  <c r="AA28" i="9"/>
  <c r="AB28" i="9"/>
  <c r="Z20" i="9"/>
  <c r="AA20" i="9"/>
  <c r="AB20" i="9"/>
  <c r="Z99" i="9"/>
  <c r="AA99" i="9"/>
  <c r="AB99" i="9"/>
  <c r="Z91" i="9"/>
  <c r="AA91" i="9"/>
  <c r="AB91" i="9"/>
  <c r="Z83" i="9"/>
  <c r="AA83" i="9"/>
  <c r="AB83" i="9"/>
  <c r="Z63" i="9"/>
  <c r="AA63" i="9"/>
  <c r="AB63" i="9"/>
  <c r="Z55" i="9"/>
  <c r="AA55" i="9"/>
  <c r="AB55" i="9"/>
  <c r="Z47" i="9"/>
  <c r="AA47" i="9"/>
  <c r="AB47" i="9"/>
  <c r="Z27" i="9"/>
  <c r="AA27" i="9"/>
  <c r="AB27" i="9"/>
  <c r="Z19" i="9"/>
  <c r="AA19" i="9"/>
  <c r="AB19" i="9"/>
  <c r="Z11" i="9"/>
  <c r="AA11" i="9"/>
  <c r="AB11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R98" i="9"/>
  <c r="Q98" i="9"/>
  <c r="P98" i="9"/>
  <c r="T97" i="9"/>
  <c r="R97" i="9"/>
  <c r="Q97" i="9"/>
  <c r="P97" i="9"/>
  <c r="T96" i="9"/>
  <c r="R96" i="9"/>
  <c r="Q96" i="9"/>
  <c r="P96" i="9"/>
  <c r="T95" i="9"/>
  <c r="R95" i="9"/>
  <c r="Q95" i="9"/>
  <c r="P95" i="9"/>
  <c r="T94" i="9"/>
  <c r="R94" i="9"/>
  <c r="Q94" i="9"/>
  <c r="P94" i="9"/>
  <c r="T93" i="9"/>
  <c r="R93" i="9"/>
  <c r="Q93" i="9"/>
  <c r="P93" i="9"/>
  <c r="T92" i="9"/>
  <c r="R92" i="9"/>
  <c r="Q92" i="9"/>
  <c r="P92" i="9"/>
  <c r="T91" i="9"/>
  <c r="R91" i="9"/>
  <c r="Q91" i="9"/>
  <c r="P91" i="9"/>
  <c r="T90" i="9"/>
  <c r="R90" i="9"/>
  <c r="Q90" i="9"/>
  <c r="P90" i="9"/>
  <c r="T89" i="9"/>
  <c r="R89" i="9"/>
  <c r="Q89" i="9"/>
  <c r="P89" i="9"/>
  <c r="T88" i="9"/>
  <c r="R88" i="9"/>
  <c r="Q88" i="9"/>
  <c r="P88" i="9"/>
  <c r="T87" i="9"/>
  <c r="R87" i="9"/>
  <c r="Q87" i="9"/>
  <c r="P87" i="9"/>
  <c r="T86" i="9"/>
  <c r="R86" i="9"/>
  <c r="Q86" i="9"/>
  <c r="P86" i="9"/>
  <c r="T85" i="9"/>
  <c r="R85" i="9"/>
  <c r="Q85" i="9"/>
  <c r="P85" i="9"/>
  <c r="T84" i="9"/>
  <c r="R84" i="9"/>
  <c r="Q84" i="9"/>
  <c r="P84" i="9"/>
  <c r="T83" i="9"/>
  <c r="R83" i="9"/>
  <c r="Q83" i="9"/>
  <c r="P83" i="9"/>
  <c r="T82" i="9"/>
  <c r="R82" i="9"/>
  <c r="Q82" i="9"/>
  <c r="P82" i="9"/>
  <c r="T81" i="9"/>
  <c r="R81" i="9"/>
  <c r="Q81" i="9"/>
  <c r="P81" i="9"/>
  <c r="T80" i="9"/>
  <c r="R80" i="9"/>
  <c r="Q80" i="9"/>
  <c r="P80" i="9"/>
  <c r="T79" i="9"/>
  <c r="R79" i="9"/>
  <c r="Q79" i="9"/>
  <c r="P79" i="9"/>
  <c r="T78" i="9"/>
  <c r="R78" i="9"/>
  <c r="Q78" i="9"/>
  <c r="P78" i="9"/>
  <c r="T77" i="9"/>
  <c r="R77" i="9"/>
  <c r="Q77" i="9"/>
  <c r="P77" i="9"/>
  <c r="T76" i="9"/>
  <c r="R76" i="9"/>
  <c r="Q76" i="9"/>
  <c r="P76" i="9"/>
  <c r="T75" i="9"/>
  <c r="R75" i="9"/>
  <c r="Q75" i="9"/>
  <c r="P75" i="9"/>
  <c r="T74" i="9"/>
  <c r="R74" i="9"/>
  <c r="Q74" i="9"/>
  <c r="P74" i="9"/>
  <c r="T73" i="9"/>
  <c r="R73" i="9"/>
  <c r="Q73" i="9"/>
  <c r="P73" i="9"/>
  <c r="T72" i="9"/>
  <c r="R72" i="9"/>
  <c r="Q72" i="9"/>
  <c r="P72" i="9"/>
  <c r="T71" i="9"/>
  <c r="R71" i="9"/>
  <c r="Q71" i="9"/>
  <c r="P71" i="9"/>
  <c r="T70" i="9"/>
  <c r="R70" i="9"/>
  <c r="Q70" i="9"/>
  <c r="P70" i="9"/>
  <c r="T69" i="9"/>
  <c r="R69" i="9"/>
  <c r="Q69" i="9"/>
  <c r="P69" i="9"/>
  <c r="T68" i="9"/>
  <c r="R68" i="9"/>
  <c r="Q68" i="9"/>
  <c r="P68" i="9"/>
  <c r="T67" i="9"/>
  <c r="R67" i="9"/>
  <c r="Q67" i="9"/>
  <c r="P67" i="9"/>
  <c r="T66" i="9"/>
  <c r="R66" i="9"/>
  <c r="Q66" i="9"/>
  <c r="P66" i="9"/>
  <c r="T65" i="9"/>
  <c r="R65" i="9"/>
  <c r="Q65" i="9"/>
  <c r="P65" i="9"/>
  <c r="T64" i="9"/>
  <c r="R64" i="9"/>
  <c r="Q64" i="9"/>
  <c r="P64" i="9"/>
  <c r="T63" i="9"/>
  <c r="R63" i="9"/>
  <c r="Q63" i="9"/>
  <c r="P63" i="9"/>
  <c r="T62" i="9"/>
  <c r="R62" i="9"/>
  <c r="Q62" i="9"/>
  <c r="P62" i="9"/>
  <c r="T61" i="9"/>
  <c r="R61" i="9"/>
  <c r="Q61" i="9"/>
  <c r="P61" i="9"/>
  <c r="T60" i="9"/>
  <c r="R60" i="9"/>
  <c r="Q60" i="9"/>
  <c r="P60" i="9"/>
  <c r="T59" i="9"/>
  <c r="R59" i="9"/>
  <c r="Q59" i="9"/>
  <c r="P59" i="9"/>
  <c r="T58" i="9"/>
  <c r="R58" i="9"/>
  <c r="Q58" i="9"/>
  <c r="P58" i="9"/>
  <c r="T57" i="9"/>
  <c r="R57" i="9"/>
  <c r="Q57" i="9"/>
  <c r="P57" i="9"/>
  <c r="T56" i="9"/>
  <c r="R56" i="9"/>
  <c r="Q56" i="9"/>
  <c r="P56" i="9"/>
  <c r="T55" i="9"/>
  <c r="R55" i="9"/>
  <c r="Q55" i="9"/>
  <c r="P55" i="9"/>
  <c r="T54" i="9"/>
  <c r="R54" i="9"/>
  <c r="Q54" i="9"/>
  <c r="P54" i="9"/>
  <c r="T53" i="9"/>
  <c r="R53" i="9"/>
  <c r="Q53" i="9"/>
  <c r="P53" i="9"/>
  <c r="T52" i="9"/>
  <c r="R52" i="9"/>
  <c r="Q52" i="9"/>
  <c r="P52" i="9"/>
  <c r="T51" i="9"/>
  <c r="R51" i="9"/>
  <c r="Q51" i="9"/>
  <c r="P51" i="9"/>
  <c r="T50" i="9"/>
  <c r="Y431" i="9" s="1"/>
  <c r="S50" i="9"/>
  <c r="Y430" i="9" s="1"/>
  <c r="R50" i="9"/>
  <c r="Y429" i="9" s="1"/>
  <c r="Q50" i="9"/>
  <c r="Y428" i="9" s="1"/>
  <c r="P50" i="9"/>
  <c r="Y427" i="9" s="1"/>
  <c r="O50" i="9"/>
  <c r="Y426" i="9" s="1"/>
  <c r="T49" i="9"/>
  <c r="Y422" i="9" s="1"/>
  <c r="S49" i="9"/>
  <c r="Y421" i="9" s="1"/>
  <c r="R49" i="9"/>
  <c r="Y420" i="9" s="1"/>
  <c r="Q49" i="9"/>
  <c r="Y419" i="9" s="1"/>
  <c r="P49" i="9"/>
  <c r="Y418" i="9" s="1"/>
  <c r="O49" i="9"/>
  <c r="Y417" i="9" s="1"/>
  <c r="T48" i="9"/>
  <c r="Y413" i="9" s="1"/>
  <c r="S48" i="9"/>
  <c r="Y412" i="9" s="1"/>
  <c r="R48" i="9"/>
  <c r="Y411" i="9" s="1"/>
  <c r="Q48" i="9"/>
  <c r="Y410" i="9" s="1"/>
  <c r="P48" i="9"/>
  <c r="Y409" i="9" s="1"/>
  <c r="O48" i="9"/>
  <c r="Y408" i="9" s="1"/>
  <c r="T47" i="9"/>
  <c r="Y404" i="9" s="1"/>
  <c r="S47" i="9"/>
  <c r="Y403" i="9" s="1"/>
  <c r="R47" i="9"/>
  <c r="Y402" i="9" s="1"/>
  <c r="Q47" i="9"/>
  <c r="Y401" i="9" s="1"/>
  <c r="P47" i="9"/>
  <c r="Y400" i="9" s="1"/>
  <c r="O47" i="9"/>
  <c r="Y399" i="9" s="1"/>
  <c r="T46" i="9"/>
  <c r="Y395" i="9" s="1"/>
  <c r="S46" i="9"/>
  <c r="Y394" i="9" s="1"/>
  <c r="R46" i="9"/>
  <c r="Y393" i="9" s="1"/>
  <c r="Q46" i="9"/>
  <c r="Y392" i="9" s="1"/>
  <c r="P46" i="9"/>
  <c r="Y391" i="9" s="1"/>
  <c r="O46" i="9"/>
  <c r="Y390" i="9" s="1"/>
  <c r="T45" i="9"/>
  <c r="Y386" i="9" s="1"/>
  <c r="S45" i="9"/>
  <c r="Y385" i="9" s="1"/>
  <c r="R45" i="9"/>
  <c r="Y384" i="9" s="1"/>
  <c r="Q45" i="9"/>
  <c r="Y383" i="9" s="1"/>
  <c r="P45" i="9"/>
  <c r="Y382" i="9" s="1"/>
  <c r="O45" i="9"/>
  <c r="Y381" i="9" s="1"/>
  <c r="T44" i="9"/>
  <c r="Y377" i="9" s="1"/>
  <c r="S44" i="9"/>
  <c r="Y376" i="9" s="1"/>
  <c r="R44" i="9"/>
  <c r="Y375" i="9" s="1"/>
  <c r="Q44" i="9"/>
  <c r="Y374" i="9" s="1"/>
  <c r="P44" i="9"/>
  <c r="Y373" i="9" s="1"/>
  <c r="O44" i="9"/>
  <c r="Y372" i="9" s="1"/>
  <c r="T43" i="9"/>
  <c r="Y368" i="9" s="1"/>
  <c r="S43" i="9"/>
  <c r="Y367" i="9" s="1"/>
  <c r="R43" i="9"/>
  <c r="Y366" i="9" s="1"/>
  <c r="Q43" i="9"/>
  <c r="Y365" i="9" s="1"/>
  <c r="P43" i="9"/>
  <c r="Y364" i="9" s="1"/>
  <c r="O43" i="9"/>
  <c r="Y363" i="9" s="1"/>
  <c r="T42" i="9"/>
  <c r="Y359" i="9" s="1"/>
  <c r="S42" i="9"/>
  <c r="Y358" i="9" s="1"/>
  <c r="R42" i="9"/>
  <c r="Y357" i="9" s="1"/>
  <c r="Q42" i="9"/>
  <c r="Y356" i="9" s="1"/>
  <c r="P42" i="9"/>
  <c r="Y355" i="9" s="1"/>
  <c r="O42" i="9"/>
  <c r="Y354" i="9" s="1"/>
  <c r="T41" i="9"/>
  <c r="Y350" i="9" s="1"/>
  <c r="S41" i="9"/>
  <c r="Y349" i="9" s="1"/>
  <c r="R41" i="9"/>
  <c r="Y348" i="9" s="1"/>
  <c r="Q41" i="9"/>
  <c r="Y347" i="9" s="1"/>
  <c r="P41" i="9"/>
  <c r="Y346" i="9" s="1"/>
  <c r="O41" i="9"/>
  <c r="Y345" i="9" s="1"/>
  <c r="T40" i="9"/>
  <c r="Y341" i="9" s="1"/>
  <c r="S40" i="9"/>
  <c r="Y340" i="9" s="1"/>
  <c r="R40" i="9"/>
  <c r="Y339" i="9" s="1"/>
  <c r="Q40" i="9"/>
  <c r="Y338" i="9" s="1"/>
  <c r="P40" i="9"/>
  <c r="Y337" i="9" s="1"/>
  <c r="O40" i="9"/>
  <c r="Y336" i="9" s="1"/>
  <c r="T39" i="9"/>
  <c r="Y332" i="9" s="1"/>
  <c r="S39" i="9"/>
  <c r="Y331" i="9" s="1"/>
  <c r="R39" i="9"/>
  <c r="Y330" i="9" s="1"/>
  <c r="Q39" i="9"/>
  <c r="Y329" i="9" s="1"/>
  <c r="P39" i="9"/>
  <c r="Y328" i="9" s="1"/>
  <c r="O39" i="9"/>
  <c r="Y327" i="9" s="1"/>
  <c r="T38" i="9"/>
  <c r="Y323" i="9" s="1"/>
  <c r="S38" i="9"/>
  <c r="Y322" i="9" s="1"/>
  <c r="R38" i="9"/>
  <c r="Y321" i="9" s="1"/>
  <c r="Q38" i="9"/>
  <c r="Y320" i="9" s="1"/>
  <c r="P38" i="9"/>
  <c r="Y319" i="9" s="1"/>
  <c r="O38" i="9"/>
  <c r="Y318" i="9" s="1"/>
  <c r="T37" i="9"/>
  <c r="Y314" i="9" s="1"/>
  <c r="S37" i="9"/>
  <c r="Y313" i="9" s="1"/>
  <c r="R37" i="9"/>
  <c r="Y312" i="9" s="1"/>
  <c r="Q37" i="9"/>
  <c r="Y311" i="9" s="1"/>
  <c r="P37" i="9"/>
  <c r="Y310" i="9" s="1"/>
  <c r="O37" i="9"/>
  <c r="Y309" i="9" s="1"/>
  <c r="T36" i="9"/>
  <c r="Y305" i="9" s="1"/>
  <c r="S36" i="9"/>
  <c r="Y304" i="9" s="1"/>
  <c r="R36" i="9"/>
  <c r="Y303" i="9" s="1"/>
  <c r="Q36" i="9"/>
  <c r="Y302" i="9" s="1"/>
  <c r="P36" i="9"/>
  <c r="Y301" i="9" s="1"/>
  <c r="O36" i="9"/>
  <c r="Y300" i="9" s="1"/>
  <c r="T35" i="9"/>
  <c r="Y296" i="9" s="1"/>
  <c r="S35" i="9"/>
  <c r="Y295" i="9" s="1"/>
  <c r="R35" i="9"/>
  <c r="Y294" i="9" s="1"/>
  <c r="Q35" i="9"/>
  <c r="Y293" i="9" s="1"/>
  <c r="P35" i="9"/>
  <c r="Y292" i="9" s="1"/>
  <c r="O35" i="9"/>
  <c r="Y291" i="9" s="1"/>
  <c r="T34" i="9"/>
  <c r="Y287" i="9" s="1"/>
  <c r="AA287" i="9" s="1"/>
  <c r="S34" i="9"/>
  <c r="Y286" i="9" s="1"/>
  <c r="Z286" i="9" s="1"/>
  <c r="R34" i="9"/>
  <c r="Y285" i="9" s="1"/>
  <c r="AB285" i="9" s="1"/>
  <c r="Q34" i="9"/>
  <c r="Y284" i="9" s="1"/>
  <c r="Z284" i="9" s="1"/>
  <c r="P34" i="9"/>
  <c r="Y283" i="9" s="1"/>
  <c r="AB283" i="9" s="1"/>
  <c r="O34" i="9"/>
  <c r="Y282" i="9" s="1"/>
  <c r="AA282" i="9" s="1"/>
  <c r="T33" i="9"/>
  <c r="Y278" i="9" s="1"/>
  <c r="AA278" i="9" s="1"/>
  <c r="S33" i="9"/>
  <c r="Y277" i="9" s="1"/>
  <c r="Z277" i="9" s="1"/>
  <c r="R33" i="9"/>
  <c r="Y276" i="9" s="1"/>
  <c r="AB276" i="9" s="1"/>
  <c r="Q33" i="9"/>
  <c r="Y275" i="9" s="1"/>
  <c r="Z275" i="9" s="1"/>
  <c r="P33" i="9"/>
  <c r="Y274" i="9" s="1"/>
  <c r="AB274" i="9" s="1"/>
  <c r="O33" i="9"/>
  <c r="Y273" i="9" s="1"/>
  <c r="T32" i="9"/>
  <c r="Y269" i="9" s="1"/>
  <c r="AB269" i="9" s="1"/>
  <c r="S32" i="9"/>
  <c r="Y268" i="9" s="1"/>
  <c r="Z268" i="9" s="1"/>
  <c r="R32" i="9"/>
  <c r="Y267" i="9" s="1"/>
  <c r="AB267" i="9" s="1"/>
  <c r="Q32" i="9"/>
  <c r="Y266" i="9" s="1"/>
  <c r="AA266" i="9" s="1"/>
  <c r="P32" i="9"/>
  <c r="Y265" i="9" s="1"/>
  <c r="Z265" i="9" s="1"/>
  <c r="O32" i="9"/>
  <c r="Y264" i="9" s="1"/>
  <c r="AA264" i="9" s="1"/>
  <c r="T31" i="9"/>
  <c r="Y260" i="9" s="1"/>
  <c r="AB260" i="9" s="1"/>
  <c r="S31" i="9"/>
  <c r="Y259" i="9" s="1"/>
  <c r="Z259" i="9" s="1"/>
  <c r="R31" i="9"/>
  <c r="Y258" i="9" s="1"/>
  <c r="AB258" i="9" s="1"/>
  <c r="Q31" i="9"/>
  <c r="Y257" i="9" s="1"/>
  <c r="AA257" i="9" s="1"/>
  <c r="P31" i="9"/>
  <c r="Y256" i="9" s="1"/>
  <c r="Z256" i="9" s="1"/>
  <c r="O31" i="9"/>
  <c r="Y255" i="9" s="1"/>
  <c r="AA255" i="9" s="1"/>
  <c r="T30" i="9"/>
  <c r="Y251" i="9" s="1"/>
  <c r="AB251" i="9" s="1"/>
  <c r="S30" i="9"/>
  <c r="Y250" i="9" s="1"/>
  <c r="AA250" i="9" s="1"/>
  <c r="R30" i="9"/>
  <c r="Y249" i="9" s="1"/>
  <c r="Z249" i="9" s="1"/>
  <c r="Q30" i="9"/>
  <c r="Y248" i="9" s="1"/>
  <c r="AA248" i="9" s="1"/>
  <c r="P30" i="9"/>
  <c r="Y247" i="9" s="1"/>
  <c r="AB247" i="9" s="1"/>
  <c r="O30" i="9"/>
  <c r="Y246" i="9" s="1"/>
  <c r="T29" i="9"/>
  <c r="Y242" i="9" s="1"/>
  <c r="AB242" i="9" s="1"/>
  <c r="S29" i="9"/>
  <c r="Y241" i="9" s="1"/>
  <c r="AA241" i="9" s="1"/>
  <c r="R29" i="9"/>
  <c r="Y240" i="9" s="1"/>
  <c r="Z240" i="9" s="1"/>
  <c r="Q29" i="9"/>
  <c r="Y239" i="9" s="1"/>
  <c r="AA239" i="9" s="1"/>
  <c r="P29" i="9"/>
  <c r="Y238" i="9" s="1"/>
  <c r="Z238" i="9" s="1"/>
  <c r="O29" i="9"/>
  <c r="Y237" i="9" s="1"/>
  <c r="AB237" i="9" s="1"/>
  <c r="T28" i="9"/>
  <c r="Y233" i="9" s="1"/>
  <c r="Z233" i="9" s="1"/>
  <c r="S28" i="9"/>
  <c r="Y232" i="9" s="1"/>
  <c r="AA232" i="9" s="1"/>
  <c r="R28" i="9"/>
  <c r="Y231" i="9" s="1"/>
  <c r="AB231" i="9" s="1"/>
  <c r="Q28" i="9"/>
  <c r="Y230" i="9" s="1"/>
  <c r="AA230" i="9" s="1"/>
  <c r="P28" i="9"/>
  <c r="Y229" i="9" s="1"/>
  <c r="Z229" i="9" s="1"/>
  <c r="O28" i="9"/>
  <c r="Y228" i="9" s="1"/>
  <c r="T27" i="9"/>
  <c r="Y224" i="9" s="1"/>
  <c r="Z224" i="9" s="1"/>
  <c r="S27" i="9"/>
  <c r="Y223" i="9" s="1"/>
  <c r="AA223" i="9" s="1"/>
  <c r="R27" i="9"/>
  <c r="Y222" i="9" s="1"/>
  <c r="Z222" i="9" s="1"/>
  <c r="Q27" i="9"/>
  <c r="Y221" i="9" s="1"/>
  <c r="AB221" i="9" s="1"/>
  <c r="P27" i="9"/>
  <c r="Y220" i="9" s="1"/>
  <c r="Z220" i="9" s="1"/>
  <c r="O27" i="9"/>
  <c r="Y219" i="9" s="1"/>
  <c r="T26" i="9"/>
  <c r="Y215" i="9" s="1"/>
  <c r="Z215" i="9" s="1"/>
  <c r="S26" i="9"/>
  <c r="Y214" i="9" s="1"/>
  <c r="R26" i="9"/>
  <c r="Y213" i="9" s="1"/>
  <c r="Q26" i="9"/>
  <c r="Y212" i="9" s="1"/>
  <c r="P26" i="9"/>
  <c r="Y211" i="9" s="1"/>
  <c r="O26" i="9"/>
  <c r="Y210" i="9" s="1"/>
  <c r="T25" i="9"/>
  <c r="Y206" i="9" s="1"/>
  <c r="Z206" i="9" s="1"/>
  <c r="S25" i="9"/>
  <c r="Y205" i="9" s="1"/>
  <c r="R25" i="9"/>
  <c r="Y204" i="9" s="1"/>
  <c r="Q25" i="9"/>
  <c r="Y203" i="9" s="1"/>
  <c r="P25" i="9"/>
  <c r="Y202" i="9" s="1"/>
  <c r="O25" i="9"/>
  <c r="Y201" i="9" s="1"/>
  <c r="T24" i="9"/>
  <c r="Y197" i="9" s="1"/>
  <c r="S24" i="9"/>
  <c r="Y196" i="9" s="1"/>
  <c r="R24" i="9"/>
  <c r="Y195" i="9" s="1"/>
  <c r="Q24" i="9"/>
  <c r="Y194" i="9" s="1"/>
  <c r="P24" i="9"/>
  <c r="Y193" i="9" s="1"/>
  <c r="O24" i="9"/>
  <c r="Y192" i="9" s="1"/>
  <c r="T23" i="9"/>
  <c r="Y188" i="9" s="1"/>
  <c r="S23" i="9"/>
  <c r="Y187" i="9" s="1"/>
  <c r="R23" i="9"/>
  <c r="Y186" i="9" s="1"/>
  <c r="Q23" i="9"/>
  <c r="Y185" i="9" s="1"/>
  <c r="P23" i="9"/>
  <c r="Y184" i="9" s="1"/>
  <c r="O23" i="9"/>
  <c r="Y183" i="9" s="1"/>
  <c r="T22" i="9"/>
  <c r="Y179" i="9" s="1"/>
  <c r="S22" i="9"/>
  <c r="Y178" i="9" s="1"/>
  <c r="R22" i="9"/>
  <c r="Y177" i="9" s="1"/>
  <c r="Q22" i="9"/>
  <c r="Y176" i="9" s="1"/>
  <c r="P22" i="9"/>
  <c r="Y175" i="9" s="1"/>
  <c r="O22" i="9"/>
  <c r="Y174" i="9" s="1"/>
  <c r="T21" i="9"/>
  <c r="Y170" i="9" s="1"/>
  <c r="S21" i="9"/>
  <c r="Y169" i="9" s="1"/>
  <c r="R21" i="9"/>
  <c r="Y168" i="9" s="1"/>
  <c r="Q21" i="9"/>
  <c r="Y167" i="9" s="1"/>
  <c r="P21" i="9"/>
  <c r="Y166" i="9" s="1"/>
  <c r="O21" i="9"/>
  <c r="Y165" i="9" s="1"/>
  <c r="T20" i="9"/>
  <c r="Y161" i="9" s="1"/>
  <c r="S20" i="9"/>
  <c r="Y160" i="9" s="1"/>
  <c r="R20" i="9"/>
  <c r="Y159" i="9" s="1"/>
  <c r="Q20" i="9"/>
  <c r="Y158" i="9" s="1"/>
  <c r="P20" i="9"/>
  <c r="Y157" i="9" s="1"/>
  <c r="O20" i="9"/>
  <c r="Y156" i="9" s="1"/>
  <c r="T19" i="9"/>
  <c r="Y152" i="9" s="1"/>
  <c r="S19" i="9"/>
  <c r="Y151" i="9" s="1"/>
  <c r="R19" i="9"/>
  <c r="Y150" i="9" s="1"/>
  <c r="Q19" i="9"/>
  <c r="Y149" i="9" s="1"/>
  <c r="P19" i="9"/>
  <c r="Y148" i="9" s="1"/>
  <c r="O19" i="9"/>
  <c r="Y147" i="9" s="1"/>
  <c r="T18" i="9"/>
  <c r="Y143" i="9" s="1"/>
  <c r="S18" i="9"/>
  <c r="Y142" i="9" s="1"/>
  <c r="R18" i="9"/>
  <c r="Y141" i="9" s="1"/>
  <c r="Q18" i="9"/>
  <c r="Y140" i="9" s="1"/>
  <c r="P18" i="9"/>
  <c r="Y139" i="9" s="1"/>
  <c r="O18" i="9"/>
  <c r="Y138" i="9" s="1"/>
  <c r="T17" i="9"/>
  <c r="Y134" i="9" s="1"/>
  <c r="S17" i="9"/>
  <c r="Y133" i="9" s="1"/>
  <c r="R17" i="9"/>
  <c r="Y132" i="9" s="1"/>
  <c r="Q17" i="9"/>
  <c r="Y131" i="9" s="1"/>
  <c r="P17" i="9"/>
  <c r="Y130" i="9" s="1"/>
  <c r="O17" i="9"/>
  <c r="Y129" i="9" s="1"/>
  <c r="T16" i="9"/>
  <c r="Y125" i="9" s="1"/>
  <c r="S16" i="9"/>
  <c r="Y124" i="9" s="1"/>
  <c r="R16" i="9"/>
  <c r="Y123" i="9" s="1"/>
  <c r="Q16" i="9"/>
  <c r="Y122" i="9" s="1"/>
  <c r="P16" i="9"/>
  <c r="Y121" i="9" s="1"/>
  <c r="O16" i="9"/>
  <c r="Y120" i="9" s="1"/>
  <c r="T15" i="9"/>
  <c r="Y116" i="9" s="1"/>
  <c r="S15" i="9"/>
  <c r="Y115" i="9" s="1"/>
  <c r="R15" i="9"/>
  <c r="Y114" i="9" s="1"/>
  <c r="Q15" i="9"/>
  <c r="Y113" i="9" s="1"/>
  <c r="P15" i="9"/>
  <c r="Y112" i="9" s="1"/>
  <c r="O15" i="9"/>
  <c r="Y111" i="9" s="1"/>
  <c r="T14" i="9"/>
  <c r="Y107" i="9" s="1"/>
  <c r="S14" i="9"/>
  <c r="Y106" i="9" s="1"/>
  <c r="R14" i="9"/>
  <c r="Y105" i="9" s="1"/>
  <c r="Q14" i="9"/>
  <c r="Y104" i="9" s="1"/>
  <c r="P14" i="9"/>
  <c r="Y103" i="9" s="1"/>
  <c r="Z103" i="9" s="1"/>
  <c r="O14" i="9"/>
  <c r="Y102" i="9" s="1"/>
  <c r="Z102" i="9" s="1"/>
  <c r="T13" i="9"/>
  <c r="Y98" i="9" s="1"/>
  <c r="AA98" i="9" s="1"/>
  <c r="S13" i="9"/>
  <c r="Y97" i="9" s="1"/>
  <c r="AA97" i="9" s="1"/>
  <c r="R13" i="9"/>
  <c r="Y96" i="9" s="1"/>
  <c r="Z96" i="9" s="1"/>
  <c r="Q13" i="9"/>
  <c r="Y95" i="9" s="1"/>
  <c r="AA95" i="9" s="1"/>
  <c r="P13" i="9"/>
  <c r="Y94" i="9" s="1"/>
  <c r="AB94" i="9" s="1"/>
  <c r="O13" i="9"/>
  <c r="Y93" i="9" s="1"/>
  <c r="AA93" i="9" s="1"/>
  <c r="T12" i="9"/>
  <c r="Y89" i="9" s="1"/>
  <c r="AB89" i="9" s="1"/>
  <c r="S12" i="9"/>
  <c r="Y88" i="9" s="1"/>
  <c r="AB88" i="9" s="1"/>
  <c r="R12" i="9"/>
  <c r="Y87" i="9" s="1"/>
  <c r="Z87" i="9" s="1"/>
  <c r="Q12" i="9"/>
  <c r="Y86" i="9" s="1"/>
  <c r="Z86" i="9" s="1"/>
  <c r="P12" i="9"/>
  <c r="Y85" i="9" s="1"/>
  <c r="Z85" i="9" s="1"/>
  <c r="O12" i="9"/>
  <c r="Y84" i="9" s="1"/>
  <c r="Z84" i="9" s="1"/>
  <c r="T11" i="9"/>
  <c r="Y80" i="9" s="1"/>
  <c r="Z80" i="9" s="1"/>
  <c r="S11" i="9"/>
  <c r="Y79" i="9" s="1"/>
  <c r="AA79" i="9" s="1"/>
  <c r="R11" i="9"/>
  <c r="Y78" i="9" s="1"/>
  <c r="AB78" i="9" s="1"/>
  <c r="Q11" i="9"/>
  <c r="Y77" i="9" s="1"/>
  <c r="AA77" i="9" s="1"/>
  <c r="P11" i="9"/>
  <c r="Y76" i="9" s="1"/>
  <c r="AA76" i="9" s="1"/>
  <c r="O11" i="9"/>
  <c r="Y75" i="9" s="1"/>
  <c r="AB75" i="9" s="1"/>
  <c r="T10" i="9"/>
  <c r="Y71" i="9" s="1"/>
  <c r="Z71" i="9" s="1"/>
  <c r="S10" i="9"/>
  <c r="Y70" i="9" s="1"/>
  <c r="Z70" i="9" s="1"/>
  <c r="R10" i="9"/>
  <c r="Y69" i="9" s="1"/>
  <c r="Z69" i="9" s="1"/>
  <c r="Q10" i="9"/>
  <c r="Y68" i="9" s="1"/>
  <c r="AB68" i="9" s="1"/>
  <c r="P10" i="9"/>
  <c r="Y67" i="9" s="1"/>
  <c r="Z67" i="9" s="1"/>
  <c r="O10" i="9"/>
  <c r="Y66" i="9" s="1"/>
  <c r="T9" i="9"/>
  <c r="Y62" i="9" s="1"/>
  <c r="AB62" i="9" s="1"/>
  <c r="S9" i="9"/>
  <c r="Y61" i="9" s="1"/>
  <c r="AA61" i="9" s="1"/>
  <c r="R9" i="9"/>
  <c r="Y60" i="9" s="1"/>
  <c r="Q9" i="9"/>
  <c r="Y59" i="9" s="1"/>
  <c r="AB59" i="9" s="1"/>
  <c r="P9" i="9"/>
  <c r="Y58" i="9" s="1"/>
  <c r="AB58" i="9" s="1"/>
  <c r="O9" i="9"/>
  <c r="Y57" i="9" s="1"/>
  <c r="T8" i="9"/>
  <c r="Y53" i="9" s="1"/>
  <c r="Z53" i="9" s="1"/>
  <c r="S8" i="9"/>
  <c r="Y52" i="9" s="1"/>
  <c r="Z52" i="9" s="1"/>
  <c r="R8" i="9"/>
  <c r="Y51" i="9" s="1"/>
  <c r="Z51" i="9" s="1"/>
  <c r="Q8" i="9"/>
  <c r="Y50" i="9" s="1"/>
  <c r="AA50" i="9" s="1"/>
  <c r="P8" i="9"/>
  <c r="Y49" i="9" s="1"/>
  <c r="AA49" i="9" s="1"/>
  <c r="O8" i="9"/>
  <c r="Y48" i="9" s="1"/>
  <c r="Z48" i="9" s="1"/>
  <c r="T7" i="9"/>
  <c r="Y44" i="9" s="1"/>
  <c r="AA44" i="9" s="1"/>
  <c r="S7" i="9"/>
  <c r="Y43" i="9" s="1"/>
  <c r="AB43" i="9" s="1"/>
  <c r="R7" i="9"/>
  <c r="Y42" i="9" s="1"/>
  <c r="AB42" i="9" s="1"/>
  <c r="Q7" i="9"/>
  <c r="Y41" i="9" s="1"/>
  <c r="AB41" i="9" s="1"/>
  <c r="P7" i="9"/>
  <c r="Y40" i="9" s="1"/>
  <c r="AB40" i="9" s="1"/>
  <c r="O7" i="9"/>
  <c r="Y39" i="9" s="1"/>
  <c r="Z39" i="9" s="1"/>
  <c r="T6" i="9"/>
  <c r="Y35" i="9" s="1"/>
  <c r="Z35" i="9" s="1"/>
  <c r="S6" i="9"/>
  <c r="Y34" i="9" s="1"/>
  <c r="AA34" i="9" s="1"/>
  <c r="R6" i="9"/>
  <c r="Y33" i="9" s="1"/>
  <c r="Q6" i="9"/>
  <c r="Y32" i="9" s="1"/>
  <c r="Z32" i="9" s="1"/>
  <c r="P6" i="9"/>
  <c r="Y31" i="9" s="1"/>
  <c r="AA31" i="9" s="1"/>
  <c r="O6" i="9"/>
  <c r="Y30" i="9" s="1"/>
  <c r="T5" i="9"/>
  <c r="Y26" i="9" s="1"/>
  <c r="AB26" i="9" s="1"/>
  <c r="S5" i="9"/>
  <c r="Y25" i="9" s="1"/>
  <c r="AB25" i="9" s="1"/>
  <c r="R5" i="9"/>
  <c r="Y24" i="9" s="1"/>
  <c r="AB24" i="9" s="1"/>
  <c r="Q5" i="9"/>
  <c r="Y23" i="9" s="1"/>
  <c r="Z23" i="9" s="1"/>
  <c r="P5" i="9"/>
  <c r="Y22" i="9" s="1"/>
  <c r="Z22" i="9" s="1"/>
  <c r="O5" i="9"/>
  <c r="Y21" i="9" s="1"/>
  <c r="Z21" i="9" s="1"/>
  <c r="T4" i="9"/>
  <c r="Y17" i="9" s="1"/>
  <c r="AA17" i="9" s="1"/>
  <c r="S4" i="9"/>
  <c r="Y16" i="9" s="1"/>
  <c r="Z16" i="9" s="1"/>
  <c r="R4" i="9"/>
  <c r="Y15" i="9" s="1"/>
  <c r="AA15" i="9" s="1"/>
  <c r="Q4" i="9"/>
  <c r="Y14" i="9" s="1"/>
  <c r="AB14" i="9" s="1"/>
  <c r="P4" i="9"/>
  <c r="Y13" i="9" s="1"/>
  <c r="AA13" i="9" s="1"/>
  <c r="O4" i="9"/>
  <c r="Y12" i="9" s="1"/>
  <c r="T3" i="9"/>
  <c r="Y8" i="9" s="1"/>
  <c r="AB8" i="9" s="1"/>
  <c r="S3" i="9"/>
  <c r="Y7" i="9" s="1"/>
  <c r="Z7" i="9" s="1"/>
  <c r="R3" i="9"/>
  <c r="Y6" i="9" s="1"/>
  <c r="Z6" i="9" s="1"/>
  <c r="Y5" i="9"/>
  <c r="Z5" i="9" s="1"/>
  <c r="P3" i="9"/>
  <c r="Y4" i="9" s="1"/>
  <c r="O3" i="9"/>
  <c r="Y3" i="9" s="1"/>
  <c r="AA2" i="9"/>
  <c r="H10" i="10"/>
  <c r="C2" i="8"/>
  <c r="AA273" i="9" l="1"/>
  <c r="AA12" i="9"/>
  <c r="AA66" i="9"/>
  <c r="AB228" i="9"/>
  <c r="E10" i="10"/>
  <c r="AA246" i="9"/>
  <c r="AA60" i="9"/>
  <c r="AB57" i="9"/>
  <c r="AB219" i="9"/>
  <c r="AB30" i="9"/>
  <c r="X11" i="12"/>
  <c r="AA33" i="9"/>
  <c r="D2" i="8"/>
  <c r="Z15" i="9"/>
  <c r="AB23" i="9"/>
  <c r="Z31" i="9"/>
  <c r="AA8" i="9"/>
  <c r="AA40" i="9"/>
  <c r="AB102" i="9"/>
  <c r="AA219" i="9"/>
  <c r="Z223" i="9"/>
  <c r="Z239" i="9"/>
  <c r="AA251" i="9"/>
  <c r="Z255" i="9"/>
  <c r="AB259" i="9"/>
  <c r="AA267" i="9"/>
  <c r="AB275" i="9"/>
  <c r="AA283" i="9"/>
  <c r="Z287" i="9"/>
  <c r="AB224" i="9"/>
  <c r="AA228" i="9"/>
  <c r="Z232" i="9"/>
  <c r="AB240" i="9"/>
  <c r="Z248" i="9"/>
  <c r="AB256" i="9"/>
  <c r="AA260" i="9"/>
  <c r="Z264" i="9"/>
  <c r="AA276" i="9"/>
  <c r="AA221" i="9"/>
  <c r="AB233" i="9"/>
  <c r="AA237" i="9"/>
  <c r="Z241" i="9"/>
  <c r="AB249" i="9"/>
  <c r="Z257" i="9"/>
  <c r="AB265" i="9"/>
  <c r="AA269" i="9"/>
  <c r="Z273" i="9"/>
  <c r="AA285" i="9"/>
  <c r="AB222" i="9"/>
  <c r="AB238" i="9"/>
  <c r="AA242" i="9"/>
  <c r="Z250" i="9"/>
  <c r="AA258" i="9"/>
  <c r="Z266" i="9"/>
  <c r="AA274" i="9"/>
  <c r="Z282" i="9"/>
  <c r="AB286" i="9"/>
  <c r="Z12" i="9"/>
  <c r="AA24" i="9"/>
  <c r="Z44" i="9"/>
  <c r="Z76" i="9"/>
  <c r="AB5" i="9"/>
  <c r="Z17" i="9"/>
  <c r="Z33" i="9"/>
  <c r="AA41" i="9"/>
  <c r="Z49" i="9"/>
  <c r="AB85" i="9"/>
  <c r="AB22" i="9"/>
  <c r="AA62" i="9"/>
  <c r="AB215" i="9"/>
  <c r="Z219" i="9"/>
  <c r="AB223" i="9"/>
  <c r="AA231" i="9"/>
  <c r="AB239" i="9"/>
  <c r="AA247" i="9"/>
  <c r="Z251" i="9"/>
  <c r="AB255" i="9"/>
  <c r="Z267" i="9"/>
  <c r="Z283" i="9"/>
  <c r="AB287" i="9"/>
  <c r="AB220" i="9"/>
  <c r="AA224" i="9"/>
  <c r="Z228" i="9"/>
  <c r="AA240" i="9"/>
  <c r="AA256" i="9"/>
  <c r="Z260" i="9"/>
  <c r="AB268" i="9"/>
  <c r="Z276" i="9"/>
  <c r="AB284" i="9"/>
  <c r="Z221" i="9"/>
  <c r="AB229" i="9"/>
  <c r="AA233" i="9"/>
  <c r="Z237" i="9"/>
  <c r="AA249" i="9"/>
  <c r="AA265" i="9"/>
  <c r="Z269" i="9"/>
  <c r="AB277" i="9"/>
  <c r="Z285" i="9"/>
  <c r="AB206" i="9"/>
  <c r="AA222" i="9"/>
  <c r="Z230" i="9"/>
  <c r="AA238" i="9"/>
  <c r="Z246" i="9"/>
  <c r="AB250" i="9"/>
  <c r="AB266" i="9"/>
  <c r="Z278" i="9"/>
  <c r="AB282" i="9"/>
  <c r="AA286" i="9"/>
  <c r="AB52" i="9"/>
  <c r="Z60" i="9"/>
  <c r="AA88" i="9"/>
  <c r="AB53" i="9"/>
  <c r="AB69" i="9"/>
  <c r="AA89" i="9"/>
  <c r="AB6" i="9"/>
  <c r="AA30" i="9"/>
  <c r="Z66" i="9"/>
  <c r="AA94" i="9"/>
  <c r="AA215" i="9"/>
  <c r="Z231" i="9"/>
  <c r="Z247" i="9"/>
  <c r="AA259" i="9"/>
  <c r="AA275" i="9"/>
  <c r="AA220" i="9"/>
  <c r="AB232" i="9"/>
  <c r="AB248" i="9"/>
  <c r="AB264" i="9"/>
  <c r="AA268" i="9"/>
  <c r="AA284" i="9"/>
  <c r="AA229" i="9"/>
  <c r="AB241" i="9"/>
  <c r="AB257" i="9"/>
  <c r="AB273" i="9"/>
  <c r="AA277" i="9"/>
  <c r="AA206" i="9"/>
  <c r="AB230" i="9"/>
  <c r="Z242" i="9"/>
  <c r="AB246" i="9"/>
  <c r="Z258" i="9"/>
  <c r="Z274" i="9"/>
  <c r="AB278" i="9"/>
  <c r="AA59" i="9"/>
  <c r="AB71" i="9"/>
  <c r="AB87" i="9"/>
  <c r="Z95" i="9"/>
  <c r="AB103" i="9"/>
  <c r="Z34" i="9"/>
  <c r="AB70" i="9"/>
  <c r="AA78" i="9"/>
  <c r="Z98" i="9"/>
  <c r="Z122" i="9"/>
  <c r="AA122" i="9"/>
  <c r="AB122" i="9"/>
  <c r="Z147" i="9"/>
  <c r="AA147" i="9"/>
  <c r="AB147" i="9"/>
  <c r="AB169" i="9"/>
  <c r="Z169" i="9"/>
  <c r="AA169" i="9"/>
  <c r="Z194" i="9"/>
  <c r="AA194" i="9"/>
  <c r="AB194" i="9"/>
  <c r="AA75" i="9"/>
  <c r="AB21" i="9"/>
  <c r="AA25" i="9"/>
  <c r="AA57" i="9"/>
  <c r="AA104" i="9"/>
  <c r="AB104" i="9"/>
  <c r="Z104" i="9"/>
  <c r="AB129" i="9"/>
  <c r="Z129" i="9"/>
  <c r="AA129" i="9"/>
  <c r="Z151" i="9"/>
  <c r="AA151" i="9"/>
  <c r="AB151" i="9"/>
  <c r="AA176" i="9"/>
  <c r="AB176" i="9"/>
  <c r="Z176" i="9"/>
  <c r="AB201" i="9"/>
  <c r="Z201" i="9"/>
  <c r="AA201" i="9"/>
  <c r="AB7" i="9"/>
  <c r="Z79" i="9"/>
  <c r="Z97" i="9"/>
  <c r="AA14" i="9"/>
  <c r="Z4" i="9"/>
  <c r="AA4" i="9"/>
  <c r="AB4" i="9"/>
  <c r="AB105" i="9"/>
  <c r="Z105" i="9"/>
  <c r="AA105" i="9"/>
  <c r="AA112" i="9"/>
  <c r="AB112" i="9"/>
  <c r="Z112" i="9"/>
  <c r="AA116" i="9"/>
  <c r="AB116" i="9"/>
  <c r="Z116" i="9"/>
  <c r="Z123" i="9"/>
  <c r="AA123" i="9"/>
  <c r="AB123" i="9"/>
  <c r="Z130" i="9"/>
  <c r="AA130" i="9"/>
  <c r="AB130" i="9"/>
  <c r="Z134" i="9"/>
  <c r="AA134" i="9"/>
  <c r="AB134" i="9"/>
  <c r="AB141" i="9"/>
  <c r="Z141" i="9"/>
  <c r="AA141" i="9"/>
  <c r="AA148" i="9"/>
  <c r="AB148" i="9"/>
  <c r="Z148" i="9"/>
  <c r="AA152" i="9"/>
  <c r="AB152" i="9"/>
  <c r="Z152" i="9"/>
  <c r="Z159" i="9"/>
  <c r="AA159" i="9"/>
  <c r="AB159" i="9"/>
  <c r="Z166" i="9"/>
  <c r="AA166" i="9"/>
  <c r="AB166" i="9"/>
  <c r="Z170" i="9"/>
  <c r="AA170" i="9"/>
  <c r="AB170" i="9"/>
  <c r="AB177" i="9"/>
  <c r="Z177" i="9"/>
  <c r="AA177" i="9"/>
  <c r="AA184" i="9"/>
  <c r="AB184" i="9"/>
  <c r="Z184" i="9"/>
  <c r="AA188" i="9"/>
  <c r="AB188" i="9"/>
  <c r="Z188" i="9"/>
  <c r="Z195" i="9"/>
  <c r="AA195" i="9"/>
  <c r="AB195" i="9"/>
  <c r="Z202" i="9"/>
  <c r="AA202" i="9"/>
  <c r="AB202" i="9"/>
  <c r="AB213" i="9"/>
  <c r="Z213" i="9"/>
  <c r="AA213" i="9"/>
  <c r="AA7" i="9"/>
  <c r="AA23" i="9"/>
  <c r="AB35" i="9"/>
  <c r="AA39" i="9"/>
  <c r="Z43" i="9"/>
  <c r="AB51" i="9"/>
  <c r="Z59" i="9"/>
  <c r="AB67" i="9"/>
  <c r="AA71" i="9"/>
  <c r="Z75" i="9"/>
  <c r="AA87" i="9"/>
  <c r="AA103" i="9"/>
  <c r="Z8" i="9"/>
  <c r="AB16" i="9"/>
  <c r="Z24" i="9"/>
  <c r="AB32" i="9"/>
  <c r="Z40" i="9"/>
  <c r="AB48" i="9"/>
  <c r="AA52" i="9"/>
  <c r="AA68" i="9"/>
  <c r="AB80" i="9"/>
  <c r="AA84" i="9"/>
  <c r="Z88" i="9"/>
  <c r="AB96" i="9"/>
  <c r="AA5" i="9"/>
  <c r="Z13" i="9"/>
  <c r="AB17" i="9"/>
  <c r="AA21" i="9"/>
  <c r="AB33" i="9"/>
  <c r="AB49" i="9"/>
  <c r="AA53" i="9"/>
  <c r="Z61" i="9"/>
  <c r="AA69" i="9"/>
  <c r="Z77" i="9"/>
  <c r="AA85" i="9"/>
  <c r="Z93" i="9"/>
  <c r="AB97" i="9"/>
  <c r="Z14" i="9"/>
  <c r="AA26" i="9"/>
  <c r="Z30" i="9"/>
  <c r="AB34" i="9"/>
  <c r="AA42" i="9"/>
  <c r="AB50" i="9"/>
  <c r="AA58" i="9"/>
  <c r="Z62" i="9"/>
  <c r="AB66" i="9"/>
  <c r="Z78" i="9"/>
  <c r="Z94" i="9"/>
  <c r="AB98" i="9"/>
  <c r="Z111" i="9"/>
  <c r="AA111" i="9"/>
  <c r="AB111" i="9"/>
  <c r="AB133" i="9"/>
  <c r="Z133" i="9"/>
  <c r="AA133" i="9"/>
  <c r="Z158" i="9"/>
  <c r="AA158" i="9"/>
  <c r="AB158" i="9"/>
  <c r="Z183" i="9"/>
  <c r="AA183" i="9"/>
  <c r="AB183" i="9"/>
  <c r="AA212" i="9"/>
  <c r="AB212" i="9"/>
  <c r="Z212" i="9"/>
  <c r="AB39" i="9"/>
  <c r="AA43" i="9"/>
  <c r="AB84" i="9"/>
  <c r="AB86" i="9"/>
  <c r="Z106" i="9"/>
  <c r="AA106" i="9"/>
  <c r="AB106" i="9"/>
  <c r="AB113" i="9"/>
  <c r="Z113" i="9"/>
  <c r="AA113" i="9"/>
  <c r="AA120" i="9"/>
  <c r="AB120" i="9"/>
  <c r="Z120" i="9"/>
  <c r="AA124" i="9"/>
  <c r="AB124" i="9"/>
  <c r="Z124" i="9"/>
  <c r="Z131" i="9"/>
  <c r="AA131" i="9"/>
  <c r="AB131" i="9"/>
  <c r="Z138" i="9"/>
  <c r="AA138" i="9"/>
  <c r="AB138" i="9"/>
  <c r="Z142" i="9"/>
  <c r="AA142" i="9"/>
  <c r="AB142" i="9"/>
  <c r="AB149" i="9"/>
  <c r="Z149" i="9"/>
  <c r="AA149" i="9"/>
  <c r="AA156" i="9"/>
  <c r="AB156" i="9"/>
  <c r="Z156" i="9"/>
  <c r="AA160" i="9"/>
  <c r="AB160" i="9"/>
  <c r="Z160" i="9"/>
  <c r="Z167" i="9"/>
  <c r="AA167" i="9"/>
  <c r="AB167" i="9"/>
  <c r="Z174" i="9"/>
  <c r="AA174" i="9"/>
  <c r="AB174" i="9"/>
  <c r="Z178" i="9"/>
  <c r="AA178" i="9"/>
  <c r="AB178" i="9"/>
  <c r="AB185" i="9"/>
  <c r="Z185" i="9"/>
  <c r="AA185" i="9"/>
  <c r="AA192" i="9"/>
  <c r="AB192" i="9"/>
  <c r="Z192" i="9"/>
  <c r="AA196" i="9"/>
  <c r="AB196" i="9"/>
  <c r="Z196" i="9"/>
  <c r="Z203" i="9"/>
  <c r="AA203" i="9"/>
  <c r="AB203" i="9"/>
  <c r="Z210" i="9"/>
  <c r="AA210" i="9"/>
  <c r="AB210" i="9"/>
  <c r="Z214" i="9"/>
  <c r="AA214" i="9"/>
  <c r="AB214" i="9"/>
  <c r="AB15" i="9"/>
  <c r="AB31" i="9"/>
  <c r="AA35" i="9"/>
  <c r="AA51" i="9"/>
  <c r="AA67" i="9"/>
  <c r="AB79" i="9"/>
  <c r="AB95" i="9"/>
  <c r="AB12" i="9"/>
  <c r="AA16" i="9"/>
  <c r="AA32" i="9"/>
  <c r="AB44" i="9"/>
  <c r="AA48" i="9"/>
  <c r="AB60" i="9"/>
  <c r="Z68" i="9"/>
  <c r="AB76" i="9"/>
  <c r="AA80" i="9"/>
  <c r="AA96" i="9"/>
  <c r="AB13" i="9"/>
  <c r="Z25" i="9"/>
  <c r="Z41" i="9"/>
  <c r="Z57" i="9"/>
  <c r="AB61" i="9"/>
  <c r="AB77" i="9"/>
  <c r="Z89" i="9"/>
  <c r="AB93" i="9"/>
  <c r="AA6" i="9"/>
  <c r="AA22" i="9"/>
  <c r="Z26" i="9"/>
  <c r="Z42" i="9"/>
  <c r="Z58" i="9"/>
  <c r="AA70" i="9"/>
  <c r="AA86" i="9"/>
  <c r="AA102" i="9"/>
  <c r="Z115" i="9"/>
  <c r="AA115" i="9"/>
  <c r="AB115" i="9"/>
  <c r="AA140" i="9"/>
  <c r="AB140" i="9"/>
  <c r="Z140" i="9"/>
  <c r="AB165" i="9"/>
  <c r="Z165" i="9"/>
  <c r="AA165" i="9"/>
  <c r="Z187" i="9"/>
  <c r="AA187" i="9"/>
  <c r="AB187" i="9"/>
  <c r="AB205" i="9"/>
  <c r="Z205" i="9"/>
  <c r="AA205" i="9"/>
  <c r="Z50" i="9"/>
  <c r="Z107" i="9"/>
  <c r="AA107" i="9"/>
  <c r="AB107" i="9"/>
  <c r="Z114" i="9"/>
  <c r="AA114" i="9"/>
  <c r="AB114" i="9"/>
  <c r="AB121" i="9"/>
  <c r="Z121" i="9"/>
  <c r="AA121" i="9"/>
  <c r="AB125" i="9"/>
  <c r="Z125" i="9"/>
  <c r="AA125" i="9"/>
  <c r="AA132" i="9"/>
  <c r="AB132" i="9"/>
  <c r="Z132" i="9"/>
  <c r="Z139" i="9"/>
  <c r="AA139" i="9"/>
  <c r="AB139" i="9"/>
  <c r="Z143" i="9"/>
  <c r="AA143" i="9"/>
  <c r="AB143" i="9"/>
  <c r="Z150" i="9"/>
  <c r="AA150" i="9"/>
  <c r="AB150" i="9"/>
  <c r="AB157" i="9"/>
  <c r="Z157" i="9"/>
  <c r="AA157" i="9"/>
  <c r="AB161" i="9"/>
  <c r="Z161" i="9"/>
  <c r="AA161" i="9"/>
  <c r="AA168" i="9"/>
  <c r="AB168" i="9"/>
  <c r="Z168" i="9"/>
  <c r="Z175" i="9"/>
  <c r="AA175" i="9"/>
  <c r="AB175" i="9"/>
  <c r="Z179" i="9"/>
  <c r="AA179" i="9"/>
  <c r="AB179" i="9"/>
  <c r="Z186" i="9"/>
  <c r="AA186" i="9"/>
  <c r="AB186" i="9"/>
  <c r="AB193" i="9"/>
  <c r="Z193" i="9"/>
  <c r="AA193" i="9"/>
  <c r="AB197" i="9"/>
  <c r="Z197" i="9"/>
  <c r="AA197" i="9"/>
  <c r="AA204" i="9"/>
  <c r="AB204" i="9"/>
  <c r="Z204" i="9"/>
  <c r="Z211" i="9"/>
  <c r="AA211" i="9"/>
  <c r="AB211" i="9"/>
  <c r="Z3" i="9"/>
  <c r="X3" i="9" s="1"/>
  <c r="AB3" i="9"/>
  <c r="AA3" i="9"/>
  <c r="F10" i="10" l="1"/>
  <c r="X12" i="12"/>
  <c r="X4" i="9"/>
  <c r="X5" i="9" s="1"/>
  <c r="X6" i="9" s="1"/>
  <c r="X13" i="12" l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X123" i="12" s="1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X243" i="12" s="1"/>
  <c r="X244" i="12" s="1"/>
  <c r="X245" i="12" s="1"/>
  <c r="X246" i="12" s="1"/>
  <c r="X247" i="12" s="1"/>
  <c r="X248" i="12" s="1"/>
  <c r="X249" i="12" s="1"/>
  <c r="X250" i="12" s="1"/>
  <c r="X251" i="12" s="1"/>
  <c r="X252" i="12" s="1"/>
  <c r="X253" i="12" s="1"/>
  <c r="X254" i="12" s="1"/>
  <c r="X255" i="12" s="1"/>
  <c r="X256" i="12" s="1"/>
  <c r="X257" i="12" s="1"/>
  <c r="X258" i="12" s="1"/>
  <c r="X259" i="12" s="1"/>
  <c r="X260" i="12" s="1"/>
  <c r="X261" i="12" s="1"/>
  <c r="X262" i="12" s="1"/>
  <c r="X263" i="12" s="1"/>
  <c r="X264" i="12" s="1"/>
  <c r="X265" i="12" s="1"/>
  <c r="X266" i="12" s="1"/>
  <c r="X267" i="12" s="1"/>
  <c r="X268" i="12" s="1"/>
  <c r="X269" i="12" s="1"/>
  <c r="X270" i="12" s="1"/>
  <c r="X271" i="12" s="1"/>
  <c r="X272" i="12" s="1"/>
  <c r="X273" i="12" s="1"/>
  <c r="X274" i="12" s="1"/>
  <c r="X275" i="12" s="1"/>
  <c r="X276" i="12" s="1"/>
  <c r="X277" i="12" s="1"/>
  <c r="X278" i="12" s="1"/>
  <c r="X279" i="12" s="1"/>
  <c r="X280" i="12" s="1"/>
  <c r="X281" i="12" s="1"/>
  <c r="X282" i="12" s="1"/>
  <c r="X283" i="12" s="1"/>
  <c r="X284" i="12" s="1"/>
  <c r="X285" i="12" s="1"/>
  <c r="X286" i="12" s="1"/>
  <c r="X287" i="12" s="1"/>
  <c r="X288" i="12" s="1"/>
  <c r="X289" i="12" s="1"/>
  <c r="X290" i="12" s="1"/>
  <c r="B36" i="12" s="1"/>
  <c r="A36" i="12" s="1"/>
  <c r="X7" i="9"/>
  <c r="C2" i="1"/>
  <c r="E7" i="10" s="1"/>
  <c r="E4" i="10" s="1"/>
  <c r="G18" i="10" s="1"/>
  <c r="F4" i="10" l="1"/>
  <c r="L51" i="8"/>
  <c r="O51" i="8" s="1"/>
  <c r="L155" i="8"/>
  <c r="O155" i="8" s="1"/>
  <c r="L27" i="8"/>
  <c r="O27" i="8" s="1"/>
  <c r="L123" i="8"/>
  <c r="O123" i="8" s="1"/>
  <c r="L31" i="8"/>
  <c r="O31" i="8" s="1"/>
  <c r="L55" i="8"/>
  <c r="O55" i="8" s="1"/>
  <c r="L143" i="8"/>
  <c r="O143" i="8" s="1"/>
  <c r="L104" i="8"/>
  <c r="O104" i="8" s="1"/>
  <c r="L20" i="8"/>
  <c r="O20" i="8" s="1"/>
  <c r="L62" i="8"/>
  <c r="O62" i="8" s="1"/>
  <c r="L19" i="8"/>
  <c r="O19" i="8" s="1"/>
  <c r="L59" i="8"/>
  <c r="O59" i="8" s="1"/>
  <c r="L68" i="8"/>
  <c r="O68" i="8" s="1"/>
  <c r="L147" i="8"/>
  <c r="O147" i="8" s="1"/>
  <c r="L75" i="8"/>
  <c r="O75" i="8" s="1"/>
  <c r="L126" i="8"/>
  <c r="O126" i="8" s="1"/>
  <c r="L25" i="8"/>
  <c r="O25" i="8" s="1"/>
  <c r="L127" i="8"/>
  <c r="O127" i="8" s="1"/>
  <c r="L119" i="8"/>
  <c r="O119" i="8" s="1"/>
  <c r="L148" i="8"/>
  <c r="O148" i="8" s="1"/>
  <c r="L84" i="8"/>
  <c r="O84" i="8" s="1"/>
  <c r="L83" i="8"/>
  <c r="O83" i="8" s="1"/>
  <c r="L47" i="8"/>
  <c r="O47" i="8" s="1"/>
  <c r="L102" i="8"/>
  <c r="O102" i="8" s="1"/>
  <c r="L41" i="8"/>
  <c r="O41" i="8" s="1"/>
  <c r="L90" i="8"/>
  <c r="O90" i="8" s="1"/>
  <c r="L94" i="8"/>
  <c r="O94" i="8" s="1"/>
  <c r="L98" i="8"/>
  <c r="O98" i="8" s="1"/>
  <c r="L71" i="8"/>
  <c r="O71" i="8" s="1"/>
  <c r="L93" i="8"/>
  <c r="O93" i="8" s="1"/>
  <c r="L30" i="8"/>
  <c r="O30" i="8" s="1"/>
  <c r="L43" i="8"/>
  <c r="O43" i="8" s="1"/>
  <c r="L106" i="8"/>
  <c r="O106" i="8" s="1"/>
  <c r="L15" i="8"/>
  <c r="O15" i="8" s="1"/>
  <c r="L137" i="8"/>
  <c r="O137" i="8" s="1"/>
  <c r="L135" i="8"/>
  <c r="O135" i="8" s="1"/>
  <c r="L86" i="8"/>
  <c r="O86" i="8" s="1"/>
  <c r="P155" i="8"/>
  <c r="P27" i="8"/>
  <c r="Q116" i="8"/>
  <c r="L63" i="8"/>
  <c r="O63" i="8" s="1"/>
  <c r="L35" i="8"/>
  <c r="O35" i="8" s="1"/>
  <c r="L158" i="8"/>
  <c r="O158" i="8" s="1"/>
  <c r="L67" i="8"/>
  <c r="O67" i="8" s="1"/>
  <c r="L131" i="8"/>
  <c r="O131" i="8" s="1"/>
  <c r="L151" i="8"/>
  <c r="O151" i="8" s="1"/>
  <c r="L46" i="8"/>
  <c r="O46" i="8" s="1"/>
  <c r="P55" i="8"/>
  <c r="Q55" i="8"/>
  <c r="P126" i="8"/>
  <c r="P41" i="8"/>
  <c r="Q90" i="8"/>
  <c r="L153" i="8"/>
  <c r="O153" i="8" s="1"/>
  <c r="L88" i="8"/>
  <c r="O88" i="8" s="1"/>
  <c r="L52" i="8"/>
  <c r="O52" i="8" s="1"/>
  <c r="L79" i="8"/>
  <c r="O79" i="8" s="1"/>
  <c r="L39" i="8"/>
  <c r="O39" i="8" s="1"/>
  <c r="L73" i="8"/>
  <c r="O73" i="8" s="1"/>
  <c r="L23" i="8"/>
  <c r="O23" i="8" s="1"/>
  <c r="L132" i="8"/>
  <c r="O132" i="8" s="1"/>
  <c r="P127" i="8"/>
  <c r="Q127" i="8"/>
  <c r="P43" i="8"/>
  <c r="Q115" i="8"/>
  <c r="Q148" i="8"/>
  <c r="P148" i="8"/>
  <c r="P59" i="8"/>
  <c r="L58" i="8"/>
  <c r="O58" i="8" s="1"/>
  <c r="L82" i="8"/>
  <c r="O82" i="8" s="1"/>
  <c r="L97" i="8"/>
  <c r="O97" i="8" s="1"/>
  <c r="L29" i="8"/>
  <c r="O29" i="8" s="1"/>
  <c r="L99" i="8"/>
  <c r="O99" i="8" s="1"/>
  <c r="L142" i="8"/>
  <c r="O142" i="8" s="1"/>
  <c r="L125" i="8"/>
  <c r="O125" i="8" s="1"/>
  <c r="L157" i="8"/>
  <c r="O157" i="8" s="1"/>
  <c r="L32" i="8"/>
  <c r="O32" i="8" s="1"/>
  <c r="L56" i="8"/>
  <c r="O56" i="8" s="1"/>
  <c r="L124" i="8"/>
  <c r="O124" i="8" s="1"/>
  <c r="L34" i="8"/>
  <c r="O34" i="8" s="1"/>
  <c r="L69" i="8"/>
  <c r="O69" i="8" s="1"/>
  <c r="L156" i="8"/>
  <c r="O156" i="8" s="1"/>
  <c r="L154" i="8"/>
  <c r="O154" i="8" s="1"/>
  <c r="L85" i="8"/>
  <c r="O85" i="8" s="1"/>
  <c r="L120" i="8"/>
  <c r="O120" i="8" s="1"/>
  <c r="L89" i="8"/>
  <c r="O89" i="8" s="1"/>
  <c r="L138" i="8"/>
  <c r="O138" i="8" s="1"/>
  <c r="L21" i="8"/>
  <c r="O21" i="8" s="1"/>
  <c r="L150" i="8"/>
  <c r="O150" i="8" s="1"/>
  <c r="L64" i="8"/>
  <c r="O64" i="8" s="1"/>
  <c r="L74" i="8"/>
  <c r="O74" i="8" s="1"/>
  <c r="L95" i="8"/>
  <c r="O95" i="8" s="1"/>
  <c r="L139" i="8"/>
  <c r="O139" i="8" s="1"/>
  <c r="L48" i="8"/>
  <c r="O48" i="8" s="1"/>
  <c r="L22" i="8"/>
  <c r="O22" i="8" s="1"/>
  <c r="L136" i="8"/>
  <c r="O136" i="8" s="1"/>
  <c r="L121" i="8"/>
  <c r="O121" i="8" s="1"/>
  <c r="L40" i="8"/>
  <c r="O40" i="8" s="1"/>
  <c r="L36" i="8"/>
  <c r="O36" i="8" s="1"/>
  <c r="L141" i="8"/>
  <c r="O141" i="8" s="1"/>
  <c r="L65" i="8"/>
  <c r="O65" i="8" s="1"/>
  <c r="L50" i="8"/>
  <c r="O50" i="8" s="1"/>
  <c r="L72" i="8"/>
  <c r="O72" i="8" s="1"/>
  <c r="L60" i="8"/>
  <c r="O60" i="8" s="1"/>
  <c r="L81" i="8"/>
  <c r="O81" i="8" s="1"/>
  <c r="L130" i="8"/>
  <c r="O130" i="8" s="1"/>
  <c r="L80" i="8"/>
  <c r="O80" i="8" s="1"/>
  <c r="L87" i="8"/>
  <c r="O87" i="8" s="1"/>
  <c r="L77" i="8"/>
  <c r="O77" i="8" s="1"/>
  <c r="L37" i="8"/>
  <c r="O37" i="8" s="1"/>
  <c r="L70" i="8"/>
  <c r="O70" i="8" s="1"/>
  <c r="L44" i="8"/>
  <c r="O44" i="8" s="1"/>
  <c r="L92" i="8"/>
  <c r="O92" i="8" s="1"/>
  <c r="L17" i="8"/>
  <c r="O17" i="8" s="1"/>
  <c r="L26" i="8"/>
  <c r="O26" i="8" s="1"/>
  <c r="L101" i="8"/>
  <c r="O101" i="8" s="1"/>
  <c r="L18" i="8"/>
  <c r="O18" i="8" s="1"/>
  <c r="L140" i="8"/>
  <c r="O140" i="8" s="1"/>
  <c r="L100" i="8"/>
  <c r="O100" i="8" s="1"/>
  <c r="L61" i="8"/>
  <c r="O61" i="8" s="1"/>
  <c r="L91" i="8"/>
  <c r="O91" i="8" s="1"/>
  <c r="L149" i="8"/>
  <c r="O149" i="8" s="1"/>
  <c r="L144" i="8"/>
  <c r="O144" i="8" s="1"/>
  <c r="L66" i="8"/>
  <c r="O66" i="8" s="1"/>
  <c r="L105" i="8"/>
  <c r="O105" i="8" s="1"/>
  <c r="L76" i="8"/>
  <c r="O76" i="8" s="1"/>
  <c r="L145" i="8"/>
  <c r="O145" i="8" s="1"/>
  <c r="L33" i="8"/>
  <c r="O33" i="8" s="1"/>
  <c r="L128" i="8"/>
  <c r="O128" i="8" s="1"/>
  <c r="L96" i="8"/>
  <c r="O96" i="8" s="1"/>
  <c r="L28" i="8"/>
  <c r="O28" i="8" s="1"/>
  <c r="L38" i="8"/>
  <c r="O38" i="8" s="1"/>
  <c r="L57" i="8"/>
  <c r="O57" i="8" s="1"/>
  <c r="L45" i="8"/>
  <c r="O45" i="8" s="1"/>
  <c r="L54" i="8"/>
  <c r="O54" i="8" s="1"/>
  <c r="L134" i="8"/>
  <c r="O134" i="8" s="1"/>
  <c r="L122" i="8"/>
  <c r="O122" i="8" s="1"/>
  <c r="L133" i="8"/>
  <c r="O133" i="8" s="1"/>
  <c r="L16" i="8"/>
  <c r="O16" i="8" s="1"/>
  <c r="L14" i="8"/>
  <c r="O14" i="8" s="1"/>
  <c r="L42" i="8"/>
  <c r="O42" i="8" s="1"/>
  <c r="L78" i="8"/>
  <c r="O78" i="8" s="1"/>
  <c r="L152" i="8"/>
  <c r="O152" i="8" s="1"/>
  <c r="L129" i="8"/>
  <c r="O129" i="8" s="1"/>
  <c r="L53" i="8"/>
  <c r="O53" i="8" s="1"/>
  <c r="L103" i="8"/>
  <c r="O103" i="8" s="1"/>
  <c r="L146" i="8"/>
  <c r="O146" i="8" s="1"/>
  <c r="L107" i="8"/>
  <c r="O107" i="8" s="1"/>
  <c r="L49" i="8"/>
  <c r="O49" i="8" s="1"/>
  <c r="L24" i="8"/>
  <c r="O24" i="8" s="1"/>
  <c r="C27" i="12"/>
  <c r="B44" i="12"/>
  <c r="A44" i="12" s="1"/>
  <c r="B73" i="12"/>
  <c r="A73" i="12" s="1"/>
  <c r="C30" i="12"/>
  <c r="B32" i="12"/>
  <c r="A32" i="12" s="1"/>
  <c r="C45" i="12"/>
  <c r="D56" i="12"/>
  <c r="C79" i="12"/>
  <c r="B93" i="12"/>
  <c r="A93" i="12" s="1"/>
  <c r="B62" i="12"/>
  <c r="A62" i="12" s="1"/>
  <c r="C61" i="12"/>
  <c r="D5" i="12"/>
  <c r="X291" i="12"/>
  <c r="X292" i="12" s="1"/>
  <c r="X293" i="12" s="1"/>
  <c r="X294" i="12" s="1"/>
  <c r="X295" i="12" s="1"/>
  <c r="X296" i="12" s="1"/>
  <c r="X297" i="12" s="1"/>
  <c r="X298" i="12" s="1"/>
  <c r="X299" i="12" s="1"/>
  <c r="X300" i="12" s="1"/>
  <c r="X301" i="12" s="1"/>
  <c r="X302" i="12" s="1"/>
  <c r="X303" i="12" s="1"/>
  <c r="X304" i="12" s="1"/>
  <c r="X305" i="12" s="1"/>
  <c r="X306" i="12" s="1"/>
  <c r="X307" i="12" s="1"/>
  <c r="X308" i="12" s="1"/>
  <c r="X309" i="12" s="1"/>
  <c r="X310" i="12" s="1"/>
  <c r="X311" i="12" s="1"/>
  <c r="X312" i="12" s="1"/>
  <c r="X313" i="12" s="1"/>
  <c r="X314" i="12" s="1"/>
  <c r="X315" i="12" s="1"/>
  <c r="X316" i="12" s="1"/>
  <c r="X317" i="12" s="1"/>
  <c r="X318" i="12" s="1"/>
  <c r="X319" i="12" s="1"/>
  <c r="X320" i="12" s="1"/>
  <c r="X321" i="12" s="1"/>
  <c r="X322" i="12" s="1"/>
  <c r="X323" i="12" s="1"/>
  <c r="X324" i="12" s="1"/>
  <c r="X325" i="12" s="1"/>
  <c r="X326" i="12" s="1"/>
  <c r="X327" i="12" s="1"/>
  <c r="X328" i="12" s="1"/>
  <c r="X329" i="12" s="1"/>
  <c r="X330" i="12" s="1"/>
  <c r="X331" i="12" s="1"/>
  <c r="X332" i="12" s="1"/>
  <c r="X333" i="12" s="1"/>
  <c r="X334" i="12" s="1"/>
  <c r="X335" i="12" s="1"/>
  <c r="X336" i="12" s="1"/>
  <c r="X337" i="12" s="1"/>
  <c r="X338" i="12" s="1"/>
  <c r="X339" i="12" s="1"/>
  <c r="X340" i="12" s="1"/>
  <c r="X341" i="12" s="1"/>
  <c r="X342" i="12" s="1"/>
  <c r="X343" i="12" s="1"/>
  <c r="X344" i="12" s="1"/>
  <c r="X345" i="12" s="1"/>
  <c r="X346" i="12" s="1"/>
  <c r="X347" i="12" s="1"/>
  <c r="X348" i="12" s="1"/>
  <c r="X349" i="12" s="1"/>
  <c r="X350" i="12" s="1"/>
  <c r="X351" i="12" s="1"/>
  <c r="X352" i="12" s="1"/>
  <c r="X353" i="12" s="1"/>
  <c r="X354" i="12" s="1"/>
  <c r="X355" i="12" s="1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D71" i="12"/>
  <c r="D7" i="12"/>
  <c r="D89" i="12"/>
  <c r="D32" i="12"/>
  <c r="C51" i="12"/>
  <c r="B39" i="12"/>
  <c r="A39" i="12" s="1"/>
  <c r="D37" i="12"/>
  <c r="C74" i="12"/>
  <c r="D22" i="12"/>
  <c r="C101" i="12"/>
  <c r="C75" i="12"/>
  <c r="B64" i="12"/>
  <c r="A64" i="12" s="1"/>
  <c r="B15" i="12"/>
  <c r="A15" i="12" s="1"/>
  <c r="B79" i="12"/>
  <c r="A79" i="12" s="1"/>
  <c r="C46" i="12"/>
  <c r="D87" i="12"/>
  <c r="C100" i="12"/>
  <c r="D62" i="12"/>
  <c r="C80" i="12"/>
  <c r="B30" i="12"/>
  <c r="A30" i="12" s="1"/>
  <c r="C96" i="12"/>
  <c r="D8" i="12"/>
  <c r="B55" i="12"/>
  <c r="A55" i="12" s="1"/>
  <c r="C62" i="12"/>
  <c r="C13" i="12"/>
  <c r="D51" i="12"/>
  <c r="B88" i="12"/>
  <c r="A88" i="12" s="1"/>
  <c r="D76" i="12"/>
  <c r="D27" i="12"/>
  <c r="D91" i="12"/>
  <c r="D82" i="12"/>
  <c r="B20" i="12"/>
  <c r="A20" i="12" s="1"/>
  <c r="B38" i="12"/>
  <c r="A38" i="12" s="1"/>
  <c r="D45" i="12"/>
  <c r="D54" i="12"/>
  <c r="C84" i="12"/>
  <c r="D68" i="12"/>
  <c r="C41" i="12"/>
  <c r="B50" i="12"/>
  <c r="A50" i="12" s="1"/>
  <c r="D63" i="12"/>
  <c r="D36" i="12"/>
  <c r="D15" i="12"/>
  <c r="D40" i="12"/>
  <c r="C88" i="12"/>
  <c r="B56" i="12"/>
  <c r="A56" i="12" s="1"/>
  <c r="D66" i="12"/>
  <c r="D57" i="12"/>
  <c r="D53" i="12"/>
  <c r="D78" i="12"/>
  <c r="D88" i="12"/>
  <c r="C55" i="12"/>
  <c r="B12" i="12"/>
  <c r="A12" i="12" s="1"/>
  <c r="C26" i="12"/>
  <c r="B87" i="12"/>
  <c r="A87" i="12" s="1"/>
  <c r="D79" i="12"/>
  <c r="D94" i="12"/>
  <c r="C38" i="12"/>
  <c r="B7" i="12"/>
  <c r="A7" i="12" s="1"/>
  <c r="D28" i="12"/>
  <c r="D100" i="12"/>
  <c r="C64" i="12"/>
  <c r="B37" i="12"/>
  <c r="A37" i="12" s="1"/>
  <c r="D80" i="12"/>
  <c r="B45" i="12"/>
  <c r="A45" i="12" s="1"/>
  <c r="D20" i="12"/>
  <c r="C36" i="12"/>
  <c r="C86" i="12"/>
  <c r="C28" i="12"/>
  <c r="D90" i="12"/>
  <c r="C69" i="12"/>
  <c r="D31" i="12"/>
  <c r="B99" i="12"/>
  <c r="A99" i="12" s="1"/>
  <c r="B90" i="12"/>
  <c r="A90" i="12" s="1"/>
  <c r="D55" i="12"/>
  <c r="D61" i="12"/>
  <c r="D67" i="12"/>
  <c r="C60" i="12"/>
  <c r="C63" i="12"/>
  <c r="B86" i="12"/>
  <c r="A86" i="12" s="1"/>
  <c r="C5" i="12"/>
  <c r="C23" i="12"/>
  <c r="D47" i="12"/>
  <c r="B19" i="12"/>
  <c r="A19" i="12" s="1"/>
  <c r="B41" i="12"/>
  <c r="A41" i="12" s="1"/>
  <c r="C83" i="12"/>
  <c r="B57" i="12"/>
  <c r="A57" i="12" s="1"/>
  <c r="B63" i="12"/>
  <c r="A63" i="12" s="1"/>
  <c r="D49" i="12"/>
  <c r="C67" i="12"/>
  <c r="C32" i="12"/>
  <c r="D65" i="12"/>
  <c r="C17" i="12"/>
  <c r="C18" i="12"/>
  <c r="B83" i="12"/>
  <c r="A83" i="12" s="1"/>
  <c r="D96" i="12"/>
  <c r="D30" i="12"/>
  <c r="C31" i="12"/>
  <c r="B81" i="12"/>
  <c r="A81" i="12" s="1"/>
  <c r="B35" i="12"/>
  <c r="A35" i="12" s="1"/>
  <c r="D44" i="12"/>
  <c r="D86" i="12"/>
  <c r="D9" i="12"/>
  <c r="B13" i="12"/>
  <c r="A13" i="12" s="1"/>
  <c r="B68" i="12"/>
  <c r="A68" i="12" s="1"/>
  <c r="B49" i="12"/>
  <c r="A49" i="12" s="1"/>
  <c r="C14" i="12"/>
  <c r="D92" i="12"/>
  <c r="B11" i="12"/>
  <c r="A11" i="12" s="1"/>
  <c r="B82" i="12"/>
  <c r="A82" i="12" s="1"/>
  <c r="C47" i="12"/>
  <c r="D83" i="12"/>
  <c r="B31" i="12"/>
  <c r="A31" i="12" s="1"/>
  <c r="D99" i="12"/>
  <c r="B70" i="12"/>
  <c r="A70" i="12" s="1"/>
  <c r="B18" i="12"/>
  <c r="A18" i="12" s="1"/>
  <c r="B94" i="12"/>
  <c r="A94" i="12" s="1"/>
  <c r="B16" i="12"/>
  <c r="A16" i="12" s="1"/>
  <c r="B92" i="12"/>
  <c r="A92" i="12" s="1"/>
  <c r="D70" i="12"/>
  <c r="C68" i="12"/>
  <c r="D35" i="12"/>
  <c r="B61" i="12"/>
  <c r="A61" i="12" s="1"/>
  <c r="D39" i="12"/>
  <c r="D3" i="12"/>
  <c r="B34" i="12"/>
  <c r="A34" i="12" s="1"/>
  <c r="B22" i="12"/>
  <c r="A22" i="12" s="1"/>
  <c r="C20" i="12"/>
  <c r="D13" i="12"/>
  <c r="C35" i="12"/>
  <c r="C85" i="12"/>
  <c r="C33" i="12"/>
  <c r="D4" i="12"/>
  <c r="D11" i="12"/>
  <c r="D73" i="12"/>
  <c r="C9" i="12"/>
  <c r="C93" i="12"/>
  <c r="C57" i="12"/>
  <c r="B9" i="12"/>
  <c r="A9" i="12" s="1"/>
  <c r="D24" i="12"/>
  <c r="C78" i="12"/>
  <c r="B23" i="12"/>
  <c r="A23" i="12" s="1"/>
  <c r="C22" i="12"/>
  <c r="B78" i="12"/>
  <c r="A78" i="12" s="1"/>
  <c r="B26" i="12"/>
  <c r="A26" i="12" s="1"/>
  <c r="B100" i="12"/>
  <c r="A100" i="12" s="1"/>
  <c r="B95" i="12"/>
  <c r="A95" i="12" s="1"/>
  <c r="B67" i="12"/>
  <c r="A67" i="12" s="1"/>
  <c r="B65" i="12"/>
  <c r="A65" i="12" s="1"/>
  <c r="C73" i="12"/>
  <c r="C90" i="12"/>
  <c r="C58" i="12"/>
  <c r="D58" i="12"/>
  <c r="C81" i="12"/>
  <c r="C15" i="12"/>
  <c r="C97" i="12"/>
  <c r="B72" i="12"/>
  <c r="A72" i="12" s="1"/>
  <c r="D59" i="12"/>
  <c r="D43" i="12"/>
  <c r="D21" i="12"/>
  <c r="B29" i="12"/>
  <c r="A29" i="12" s="1"/>
  <c r="D33" i="12"/>
  <c r="C44" i="12"/>
  <c r="D101" i="12"/>
  <c r="C37" i="12"/>
  <c r="B59" i="12"/>
  <c r="A59" i="12" s="1"/>
  <c r="B51" i="12"/>
  <c r="A51" i="12" s="1"/>
  <c r="B46" i="12"/>
  <c r="A46" i="12" s="1"/>
  <c r="C4" i="12"/>
  <c r="C50" i="12"/>
  <c r="D14" i="12"/>
  <c r="C99" i="12"/>
  <c r="B101" i="12"/>
  <c r="A101" i="12" s="1"/>
  <c r="B80" i="12"/>
  <c r="A80" i="12" s="1"/>
  <c r="C10" i="12"/>
  <c r="D16" i="12"/>
  <c r="B98" i="12"/>
  <c r="A98" i="12" s="1"/>
  <c r="B3" i="12"/>
  <c r="A3" i="12" s="1"/>
  <c r="C65" i="12"/>
  <c r="C92" i="12"/>
  <c r="B60" i="12"/>
  <c r="A60" i="12" s="1"/>
  <c r="C53" i="12"/>
  <c r="B40" i="12"/>
  <c r="A40" i="12" s="1"/>
  <c r="C11" i="12"/>
  <c r="B6" i="12"/>
  <c r="A6" i="12" s="1"/>
  <c r="D41" i="12"/>
  <c r="B54" i="12"/>
  <c r="A54" i="12" s="1"/>
  <c r="C19" i="12"/>
  <c r="B75" i="12"/>
  <c r="A75" i="12" s="1"/>
  <c r="D52" i="12"/>
  <c r="C34" i="12"/>
  <c r="B77" i="12"/>
  <c r="A77" i="12" s="1"/>
  <c r="C40" i="12"/>
  <c r="C16" i="12"/>
  <c r="B71" i="12"/>
  <c r="A71" i="12" s="1"/>
  <c r="D95" i="12"/>
  <c r="B5" i="12"/>
  <c r="A5" i="12" s="1"/>
  <c r="C89" i="12"/>
  <c r="D19" i="12"/>
  <c r="D12" i="12"/>
  <c r="B42" i="12"/>
  <c r="A42" i="12" s="1"/>
  <c r="D48" i="12"/>
  <c r="C54" i="12"/>
  <c r="B27" i="12"/>
  <c r="A27" i="12" s="1"/>
  <c r="D6" i="12"/>
  <c r="B10" i="12"/>
  <c r="A10" i="12" s="1"/>
  <c r="B69" i="12"/>
  <c r="A69" i="12" s="1"/>
  <c r="B89" i="12"/>
  <c r="A89" i="12" s="1"/>
  <c r="B14" i="12"/>
  <c r="A14" i="12" s="1"/>
  <c r="D34" i="12"/>
  <c r="B8" i="12"/>
  <c r="A8" i="12" s="1"/>
  <c r="C87" i="12"/>
  <c r="D98" i="12"/>
  <c r="B66" i="12"/>
  <c r="A66" i="12" s="1"/>
  <c r="D74" i="12"/>
  <c r="B74" i="12"/>
  <c r="A74" i="12" s="1"/>
  <c r="B17" i="12"/>
  <c r="A17" i="12" s="1"/>
  <c r="B47" i="12"/>
  <c r="A47" i="12" s="1"/>
  <c r="C21" i="12"/>
  <c r="B91" i="12"/>
  <c r="A91" i="12" s="1"/>
  <c r="C49" i="12"/>
  <c r="D72" i="12"/>
  <c r="C72" i="12"/>
  <c r="B58" i="12"/>
  <c r="A58" i="12" s="1"/>
  <c r="D50" i="12"/>
  <c r="D25" i="12"/>
  <c r="D46" i="12"/>
  <c r="B85" i="12"/>
  <c r="A85" i="12" s="1"/>
  <c r="B24" i="12"/>
  <c r="A24" i="12" s="1"/>
  <c r="C59" i="12"/>
  <c r="D77" i="12"/>
  <c r="D29" i="12"/>
  <c r="B84" i="12"/>
  <c r="A84" i="12" s="1"/>
  <c r="B4" i="12"/>
  <c r="A4" i="12" s="1"/>
  <c r="B21" i="12"/>
  <c r="A21" i="12" s="1"/>
  <c r="C8" i="12"/>
  <c r="B33" i="12"/>
  <c r="A33" i="12" s="1"/>
  <c r="D42" i="12"/>
  <c r="C56" i="12"/>
  <c r="C6" i="12"/>
  <c r="D38" i="12"/>
  <c r="C25" i="12"/>
  <c r="C3" i="12"/>
  <c r="C24" i="12"/>
  <c r="C43" i="12"/>
  <c r="D26" i="12"/>
  <c r="B25" i="12"/>
  <c r="A25" i="12" s="1"/>
  <c r="D69" i="12"/>
  <c r="B43" i="12"/>
  <c r="A43" i="12" s="1"/>
  <c r="D17" i="12"/>
  <c r="C98" i="12"/>
  <c r="B76" i="12"/>
  <c r="A76" i="12" s="1"/>
  <c r="D10" i="12"/>
  <c r="D84" i="12"/>
  <c r="D81" i="12"/>
  <c r="C12" i="12"/>
  <c r="C29" i="12"/>
  <c r="D60" i="12"/>
  <c r="D93" i="12"/>
  <c r="D97" i="12"/>
  <c r="B52" i="12"/>
  <c r="A52" i="12" s="1"/>
  <c r="C70" i="12"/>
  <c r="D23" i="12"/>
  <c r="C48" i="12"/>
  <c r="B96" i="12"/>
  <c r="A96" i="12" s="1"/>
  <c r="C95" i="12"/>
  <c r="C77" i="12"/>
  <c r="C94" i="12"/>
  <c r="C66" i="12"/>
  <c r="C7" i="12"/>
  <c r="D85" i="12"/>
  <c r="D75" i="12"/>
  <c r="C39" i="12"/>
  <c r="B48" i="12"/>
  <c r="A48" i="12" s="1"/>
  <c r="B97" i="12"/>
  <c r="A97" i="12" s="1"/>
  <c r="C82" i="12"/>
  <c r="D18" i="12"/>
  <c r="C71" i="12"/>
  <c r="C91" i="12"/>
  <c r="C76" i="12"/>
  <c r="C52" i="12"/>
  <c r="C42" i="12"/>
  <c r="B28" i="12"/>
  <c r="A28" i="12" s="1"/>
  <c r="B53" i="12"/>
  <c r="A53" i="12" s="1"/>
  <c r="D64" i="12"/>
  <c r="X8" i="9"/>
  <c r="X9" i="9" s="1"/>
  <c r="X10" i="9" s="1"/>
  <c r="D2" i="1"/>
  <c r="P147" i="8" l="1"/>
  <c r="Q75" i="8"/>
  <c r="Q27" i="8"/>
  <c r="N137" i="8"/>
  <c r="N30" i="8"/>
  <c r="N94" i="8"/>
  <c r="N47" i="8"/>
  <c r="P119" i="8"/>
  <c r="N75" i="8"/>
  <c r="N19" i="8"/>
  <c r="N143" i="8"/>
  <c r="N15" i="8"/>
  <c r="N93" i="8"/>
  <c r="N90" i="8"/>
  <c r="N83" i="8"/>
  <c r="Q147" i="8"/>
  <c r="N62" i="8"/>
  <c r="Q155" i="8"/>
  <c r="Q86" i="8"/>
  <c r="N106" i="8"/>
  <c r="N71" i="8"/>
  <c r="Q41" i="8"/>
  <c r="N84" i="8"/>
  <c r="N25" i="8"/>
  <c r="N68" i="8"/>
  <c r="N20" i="8"/>
  <c r="Q31" i="8"/>
  <c r="P51" i="8"/>
  <c r="N135" i="8"/>
  <c r="N43" i="8"/>
  <c r="N98" i="8"/>
  <c r="N102" i="8"/>
  <c r="Q126" i="8"/>
  <c r="Q59" i="8"/>
  <c r="N104" i="8"/>
  <c r="N123" i="8"/>
  <c r="Q135" i="8"/>
  <c r="Q51" i="8"/>
  <c r="P31" i="8"/>
  <c r="P86" i="8"/>
  <c r="Q119" i="8"/>
  <c r="P106" i="8"/>
  <c r="M78" i="8"/>
  <c r="N78" i="8"/>
  <c r="M16" i="8"/>
  <c r="N16" i="8"/>
  <c r="M38" i="8"/>
  <c r="N38" i="8"/>
  <c r="M49" i="8"/>
  <c r="N49" i="8"/>
  <c r="M28" i="8"/>
  <c r="N28" i="8"/>
  <c r="M145" i="8"/>
  <c r="N145" i="8"/>
  <c r="M144" i="8"/>
  <c r="N144" i="8"/>
  <c r="M91" i="8"/>
  <c r="N91" i="8"/>
  <c r="M101" i="8"/>
  <c r="N101" i="8"/>
  <c r="M70" i="8"/>
  <c r="N70" i="8"/>
  <c r="M37" i="8"/>
  <c r="N37" i="8"/>
  <c r="M60" i="8"/>
  <c r="N60" i="8"/>
  <c r="M65" i="8"/>
  <c r="N65" i="8"/>
  <c r="M141" i="8"/>
  <c r="N141" i="8"/>
  <c r="M121" i="8"/>
  <c r="N121" i="8"/>
  <c r="M34" i="8"/>
  <c r="N34" i="8"/>
  <c r="M32" i="8"/>
  <c r="N32" i="8"/>
  <c r="M142" i="8"/>
  <c r="N142" i="8"/>
  <c r="M97" i="8"/>
  <c r="N97" i="8"/>
  <c r="M79" i="8"/>
  <c r="N79" i="8"/>
  <c r="M46" i="8"/>
  <c r="N46" i="8"/>
  <c r="M45" i="8"/>
  <c r="N45" i="8"/>
  <c r="M146" i="8"/>
  <c r="N146" i="8"/>
  <c r="M129" i="8"/>
  <c r="N129" i="8"/>
  <c r="M24" i="8"/>
  <c r="N24" i="8"/>
  <c r="M54" i="8"/>
  <c r="N54" i="8"/>
  <c r="M76" i="8"/>
  <c r="N76" i="8"/>
  <c r="M100" i="8"/>
  <c r="N100" i="8"/>
  <c r="M130" i="8"/>
  <c r="N130" i="8"/>
  <c r="M81" i="8"/>
  <c r="N81" i="8"/>
  <c r="M136" i="8"/>
  <c r="N136" i="8"/>
  <c r="M74" i="8"/>
  <c r="N74" i="8"/>
  <c r="M150" i="8"/>
  <c r="N150" i="8"/>
  <c r="M85" i="8"/>
  <c r="N85" i="8"/>
  <c r="M154" i="8"/>
  <c r="N154" i="8"/>
  <c r="M156" i="8"/>
  <c r="N156" i="8"/>
  <c r="M99" i="8"/>
  <c r="N99" i="8"/>
  <c r="M82" i="8"/>
  <c r="N82" i="8"/>
  <c r="M23" i="8"/>
  <c r="N23" i="8"/>
  <c r="M73" i="8"/>
  <c r="N73" i="8"/>
  <c r="M39" i="8"/>
  <c r="N39" i="8"/>
  <c r="M52" i="8"/>
  <c r="N52" i="8"/>
  <c r="M158" i="8"/>
  <c r="N158" i="8"/>
  <c r="M35" i="8"/>
  <c r="N35" i="8"/>
  <c r="M86" i="8"/>
  <c r="N86" i="8"/>
  <c r="M126" i="8"/>
  <c r="N126" i="8"/>
  <c r="M147" i="8"/>
  <c r="N147" i="8"/>
  <c r="M55" i="8"/>
  <c r="N55" i="8"/>
  <c r="M31" i="8"/>
  <c r="N31" i="8"/>
  <c r="M155" i="8"/>
  <c r="N155" i="8"/>
  <c r="M134" i="8"/>
  <c r="N134" i="8"/>
  <c r="M96" i="8"/>
  <c r="N96" i="8"/>
  <c r="M107" i="8"/>
  <c r="N107" i="8"/>
  <c r="M103" i="8"/>
  <c r="N103" i="8"/>
  <c r="M42" i="8"/>
  <c r="N42" i="8"/>
  <c r="M14" i="8"/>
  <c r="N14" i="8"/>
  <c r="M122" i="8"/>
  <c r="N122" i="8"/>
  <c r="M57" i="8"/>
  <c r="N57" i="8"/>
  <c r="M53" i="8"/>
  <c r="N53" i="8"/>
  <c r="M152" i="8"/>
  <c r="N152" i="8"/>
  <c r="M133" i="8"/>
  <c r="N133" i="8"/>
  <c r="M33" i="8"/>
  <c r="N33" i="8"/>
  <c r="M66" i="8"/>
  <c r="N66" i="8"/>
  <c r="M149" i="8"/>
  <c r="N149" i="8"/>
  <c r="M61" i="8"/>
  <c r="N61" i="8"/>
  <c r="M140" i="8"/>
  <c r="N140" i="8"/>
  <c r="M17" i="8"/>
  <c r="N17" i="8"/>
  <c r="M80" i="8"/>
  <c r="N80" i="8"/>
  <c r="M72" i="8"/>
  <c r="N72" i="8"/>
  <c r="M36" i="8"/>
  <c r="N36" i="8"/>
  <c r="M22" i="8"/>
  <c r="N22" i="8"/>
  <c r="M48" i="8"/>
  <c r="N48" i="8"/>
  <c r="M64" i="8"/>
  <c r="N64" i="8"/>
  <c r="M21" i="8"/>
  <c r="N21" i="8"/>
  <c r="M120" i="8"/>
  <c r="N120" i="8"/>
  <c r="M124" i="8"/>
  <c r="N124" i="8"/>
  <c r="M56" i="8"/>
  <c r="N56" i="8"/>
  <c r="M157" i="8"/>
  <c r="N157" i="8"/>
  <c r="M125" i="8"/>
  <c r="N125" i="8"/>
  <c r="M29" i="8"/>
  <c r="N29" i="8"/>
  <c r="M58" i="8"/>
  <c r="N58" i="8"/>
  <c r="M88" i="8"/>
  <c r="N88" i="8"/>
  <c r="M153" i="8"/>
  <c r="N153" i="8"/>
  <c r="M131" i="8"/>
  <c r="N131" i="8"/>
  <c r="M63" i="8"/>
  <c r="N63" i="8"/>
  <c r="M41" i="8"/>
  <c r="N41" i="8"/>
  <c r="M148" i="8"/>
  <c r="N148" i="8"/>
  <c r="M119" i="8"/>
  <c r="N119" i="8"/>
  <c r="M127" i="8"/>
  <c r="N127" i="8"/>
  <c r="M59" i="8"/>
  <c r="N59" i="8"/>
  <c r="M27" i="8"/>
  <c r="N27" i="8"/>
  <c r="M51" i="8"/>
  <c r="N51" i="8"/>
  <c r="M128" i="8"/>
  <c r="N128" i="8"/>
  <c r="M105" i="8"/>
  <c r="N105" i="8"/>
  <c r="M18" i="8"/>
  <c r="N18" i="8"/>
  <c r="M26" i="8"/>
  <c r="N26" i="8"/>
  <c r="M92" i="8"/>
  <c r="N92" i="8"/>
  <c r="M44" i="8"/>
  <c r="N44" i="8"/>
  <c r="M77" i="8"/>
  <c r="N77" i="8"/>
  <c r="M87" i="8"/>
  <c r="N87" i="8"/>
  <c r="M50" i="8"/>
  <c r="N50" i="8"/>
  <c r="M40" i="8"/>
  <c r="N40" i="8"/>
  <c r="M139" i="8"/>
  <c r="N139" i="8"/>
  <c r="M95" i="8"/>
  <c r="N95" i="8"/>
  <c r="M138" i="8"/>
  <c r="N138" i="8"/>
  <c r="M89" i="8"/>
  <c r="N89" i="8"/>
  <c r="M69" i="8"/>
  <c r="N69" i="8"/>
  <c r="M132" i="8"/>
  <c r="N132" i="8"/>
  <c r="M151" i="8"/>
  <c r="N151" i="8"/>
  <c r="M67" i="8"/>
  <c r="N67" i="8"/>
  <c r="M93" i="8"/>
  <c r="P98" i="8"/>
  <c r="M98" i="8"/>
  <c r="M83" i="8"/>
  <c r="M25" i="8"/>
  <c r="Q68" i="8"/>
  <c r="M68" i="8"/>
  <c r="P19" i="8"/>
  <c r="M19" i="8"/>
  <c r="M104" i="8"/>
  <c r="P143" i="8"/>
  <c r="M143" i="8"/>
  <c r="P123" i="8"/>
  <c r="M123" i="8"/>
  <c r="Q137" i="8"/>
  <c r="M137" i="8"/>
  <c r="Q106" i="8"/>
  <c r="M106" i="8"/>
  <c r="Q43" i="8"/>
  <c r="M43" i="8"/>
  <c r="Q71" i="8"/>
  <c r="M71" i="8"/>
  <c r="P90" i="8"/>
  <c r="M90" i="8"/>
  <c r="P30" i="8"/>
  <c r="M30" i="8"/>
  <c r="P75" i="8"/>
  <c r="M75" i="8"/>
  <c r="P135" i="8"/>
  <c r="M135" i="8"/>
  <c r="P15" i="8"/>
  <c r="M15" i="8"/>
  <c r="P94" i="8"/>
  <c r="M94" i="8"/>
  <c r="P102" i="8"/>
  <c r="M102" i="8"/>
  <c r="Q47" i="8"/>
  <c r="M47" i="8"/>
  <c r="M84" i="8"/>
  <c r="P62" i="8"/>
  <c r="M62" i="8"/>
  <c r="Q20" i="8"/>
  <c r="M20" i="8"/>
  <c r="Q83" i="8"/>
  <c r="Q98" i="8"/>
  <c r="P83" i="8"/>
  <c r="Q19" i="8"/>
  <c r="Q104" i="8"/>
  <c r="Q123" i="8"/>
  <c r="P104" i="8"/>
  <c r="Q143" i="8"/>
  <c r="Q93" i="8"/>
  <c r="Q30" i="8"/>
  <c r="P93" i="8"/>
  <c r="P137" i="8"/>
  <c r="Q25" i="8"/>
  <c r="P68" i="8"/>
  <c r="P71" i="8"/>
  <c r="P25" i="8"/>
  <c r="Q15" i="8"/>
  <c r="Q62" i="8"/>
  <c r="Q102" i="8"/>
  <c r="P47" i="8"/>
  <c r="Q84" i="8"/>
  <c r="Q94" i="8"/>
  <c r="P84" i="8"/>
  <c r="P20" i="8"/>
  <c r="Q111" i="8"/>
  <c r="Q110" i="8"/>
  <c r="Q112" i="8"/>
  <c r="F7" i="10"/>
  <c r="Q53" i="8"/>
  <c r="P53" i="8"/>
  <c r="P76" i="8"/>
  <c r="Q76" i="8"/>
  <c r="Q100" i="8"/>
  <c r="P100" i="8"/>
  <c r="Q80" i="8"/>
  <c r="P80" i="8"/>
  <c r="P72" i="8"/>
  <c r="Q72" i="8"/>
  <c r="P36" i="8"/>
  <c r="Q36" i="8"/>
  <c r="P22" i="8"/>
  <c r="Q22" i="8"/>
  <c r="P48" i="8"/>
  <c r="Q48" i="8"/>
  <c r="P64" i="8"/>
  <c r="Q64" i="8"/>
  <c r="P21" i="8"/>
  <c r="Q21" i="8"/>
  <c r="P85" i="8"/>
  <c r="Q85" i="8"/>
  <c r="Q118" i="8"/>
  <c r="P34" i="8"/>
  <c r="Q34" i="8"/>
  <c r="P88" i="8"/>
  <c r="Q88" i="8"/>
  <c r="Q153" i="8"/>
  <c r="P153" i="8"/>
  <c r="P152" i="8"/>
  <c r="Q152" i="8"/>
  <c r="Q54" i="8"/>
  <c r="P54" i="8"/>
  <c r="Q57" i="8"/>
  <c r="P57" i="8"/>
  <c r="P78" i="8"/>
  <c r="Q78" i="8"/>
  <c r="Q16" i="8"/>
  <c r="P16" i="8"/>
  <c r="Q113" i="8"/>
  <c r="P33" i="8"/>
  <c r="Q33" i="8"/>
  <c r="P66" i="8"/>
  <c r="Q66" i="8"/>
  <c r="P149" i="8"/>
  <c r="Q149" i="8"/>
  <c r="P61" i="8"/>
  <c r="Q61" i="8"/>
  <c r="Q140" i="8"/>
  <c r="P140" i="8"/>
  <c r="P17" i="8"/>
  <c r="Q17" i="8"/>
  <c r="P44" i="8"/>
  <c r="Q44" i="8"/>
  <c r="P77" i="8"/>
  <c r="Q77" i="8"/>
  <c r="Q87" i="8"/>
  <c r="P87" i="8"/>
  <c r="Q50" i="8"/>
  <c r="P50" i="8"/>
  <c r="P40" i="8"/>
  <c r="Q40" i="8"/>
  <c r="Q139" i="8"/>
  <c r="P139" i="8"/>
  <c r="Q95" i="8"/>
  <c r="P95" i="8"/>
  <c r="Q114" i="8"/>
  <c r="P120" i="8"/>
  <c r="Q120" i="8"/>
  <c r="P154" i="8"/>
  <c r="Q154" i="8"/>
  <c r="Q156" i="8"/>
  <c r="P156" i="8"/>
  <c r="P32" i="8"/>
  <c r="Q32" i="8"/>
  <c r="Q142" i="8"/>
  <c r="P142" i="8"/>
  <c r="Q97" i="8"/>
  <c r="P97" i="8"/>
  <c r="P132" i="8"/>
  <c r="Q132" i="8"/>
  <c r="Q158" i="8"/>
  <c r="P158" i="8"/>
  <c r="P35" i="8"/>
  <c r="Q35" i="8"/>
  <c r="P133" i="8"/>
  <c r="Q133" i="8"/>
  <c r="P49" i="8"/>
  <c r="Q49" i="8"/>
  <c r="P146" i="8"/>
  <c r="Q146" i="8"/>
  <c r="P129" i="8"/>
  <c r="Q129" i="8"/>
  <c r="Q45" i="8"/>
  <c r="P45" i="8"/>
  <c r="P38" i="8"/>
  <c r="Q38" i="8"/>
  <c r="P128" i="8"/>
  <c r="Q128" i="8"/>
  <c r="P105" i="8"/>
  <c r="Q105" i="8"/>
  <c r="P18" i="8"/>
  <c r="Q18" i="8"/>
  <c r="P26" i="8"/>
  <c r="Q26" i="8"/>
  <c r="Q117" i="8"/>
  <c r="Q70" i="8"/>
  <c r="P70" i="8"/>
  <c r="Q37" i="8"/>
  <c r="P37" i="8"/>
  <c r="Q60" i="8"/>
  <c r="P60" i="8"/>
  <c r="P65" i="8"/>
  <c r="Q65" i="8"/>
  <c r="Q141" i="8"/>
  <c r="P141" i="8"/>
  <c r="P121" i="8"/>
  <c r="Q121" i="8"/>
  <c r="Q138" i="8"/>
  <c r="P138" i="8"/>
  <c r="P89" i="8"/>
  <c r="Q89" i="8"/>
  <c r="Q99" i="8"/>
  <c r="P99" i="8"/>
  <c r="P82" i="8"/>
  <c r="Q82" i="8"/>
  <c r="Q79" i="8"/>
  <c r="P79" i="8"/>
  <c r="P151" i="8"/>
  <c r="Q151" i="8"/>
  <c r="P131" i="8"/>
  <c r="Q131" i="8"/>
  <c r="Q122" i="8"/>
  <c r="P122" i="8"/>
  <c r="P24" i="8"/>
  <c r="Q24" i="8"/>
  <c r="P107" i="8"/>
  <c r="Q107" i="8"/>
  <c r="P103" i="8"/>
  <c r="Q103" i="8"/>
  <c r="P42" i="8"/>
  <c r="Q42" i="8"/>
  <c r="P14" i="8"/>
  <c r="Q14" i="8"/>
  <c r="Q134" i="8"/>
  <c r="P134" i="8"/>
  <c r="P28" i="8"/>
  <c r="Q28" i="8"/>
  <c r="P96" i="8"/>
  <c r="Q96" i="8"/>
  <c r="P145" i="8"/>
  <c r="Q145" i="8"/>
  <c r="Q144" i="8"/>
  <c r="P144" i="8"/>
  <c r="Q91" i="8"/>
  <c r="P91" i="8"/>
  <c r="Q101" i="8"/>
  <c r="P101" i="8"/>
  <c r="Q92" i="8"/>
  <c r="P92" i="8"/>
  <c r="Q109" i="8"/>
  <c r="Q130" i="8"/>
  <c r="P130" i="8"/>
  <c r="Q81" i="8"/>
  <c r="P81" i="8"/>
  <c r="Q136" i="8"/>
  <c r="P136" i="8"/>
  <c r="P74" i="8"/>
  <c r="Q74" i="8"/>
  <c r="P150" i="8"/>
  <c r="Q150" i="8"/>
  <c r="P69" i="8"/>
  <c r="Q69" i="8"/>
  <c r="P124" i="8"/>
  <c r="Q124" i="8"/>
  <c r="Q56" i="8"/>
  <c r="P56" i="8"/>
  <c r="P157" i="8"/>
  <c r="Q157" i="8"/>
  <c r="P125" i="8"/>
  <c r="Q125" i="8"/>
  <c r="P29" i="8"/>
  <c r="Q29" i="8"/>
  <c r="Q58" i="8"/>
  <c r="P58" i="8"/>
  <c r="P23" i="8"/>
  <c r="Q23" i="8"/>
  <c r="P73" i="8"/>
  <c r="Q73" i="8"/>
  <c r="P39" i="8"/>
  <c r="Q39" i="8"/>
  <c r="P52" i="8"/>
  <c r="Q52" i="8"/>
  <c r="Q46" i="8"/>
  <c r="P46" i="8"/>
  <c r="P67" i="8"/>
  <c r="Q67" i="8"/>
  <c r="Q63" i="8"/>
  <c r="P63" i="8"/>
  <c r="X11" i="9"/>
  <c r="X12" i="9" l="1"/>
  <c r="X13" i="9" l="1"/>
  <c r="X14" i="9" l="1"/>
  <c r="X15" i="9" l="1"/>
  <c r="X16" i="9" l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X123" i="9" s="1"/>
  <c r="X124" i="9" s="1"/>
  <c r="X125" i="9" s="1"/>
  <c r="X126" i="9" s="1"/>
  <c r="X127" i="9" s="1"/>
  <c r="X128" i="9" s="1"/>
  <c r="X129" i="9" s="1"/>
  <c r="X130" i="9" s="1"/>
  <c r="X131" i="9" s="1"/>
  <c r="X132" i="9" s="1"/>
  <c r="X133" i="9" s="1"/>
  <c r="X134" i="9" s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168" i="9" s="1"/>
  <c r="X169" i="9" s="1"/>
  <c r="X170" i="9" s="1"/>
  <c r="X171" i="9" s="1"/>
  <c r="X172" i="9" s="1"/>
  <c r="X173" i="9" s="1"/>
  <c r="X174" i="9" s="1"/>
  <c r="X175" i="9" s="1"/>
  <c r="X176" i="9" s="1"/>
  <c r="X177" i="9" s="1"/>
  <c r="X178" i="9" s="1"/>
  <c r="X179" i="9" s="1"/>
  <c r="X180" i="9" s="1"/>
  <c r="X181" i="9" s="1"/>
  <c r="X182" i="9" s="1"/>
  <c r="X183" i="9" s="1"/>
  <c r="X184" i="9" s="1"/>
  <c r="X185" i="9" s="1"/>
  <c r="X186" i="9" s="1"/>
  <c r="X187" i="9" s="1"/>
  <c r="X188" i="9" s="1"/>
  <c r="X189" i="9" s="1"/>
  <c r="X190" i="9" s="1"/>
  <c r="X191" i="9" s="1"/>
  <c r="X192" i="9" s="1"/>
  <c r="X193" i="9" s="1"/>
  <c r="X194" i="9" s="1"/>
  <c r="X195" i="9" s="1"/>
  <c r="X196" i="9" s="1"/>
  <c r="X197" i="9" s="1"/>
  <c r="X198" i="9" s="1"/>
  <c r="X199" i="9" s="1"/>
  <c r="X200" i="9" s="1"/>
  <c r="X201" i="9" s="1"/>
  <c r="X202" i="9" s="1"/>
  <c r="X203" i="9" s="1"/>
  <c r="X204" i="9" s="1"/>
  <c r="X205" i="9" s="1"/>
  <c r="X206" i="9" s="1"/>
  <c r="X207" i="9" s="1"/>
  <c r="X208" i="9" s="1"/>
  <c r="X209" i="9" s="1"/>
  <c r="X210" i="9" s="1"/>
  <c r="X211" i="9" s="1"/>
  <c r="X212" i="9" s="1"/>
  <c r="X213" i="9" s="1"/>
  <c r="X214" i="9" s="1"/>
  <c r="X215" i="9" s="1"/>
  <c r="X216" i="9" s="1"/>
  <c r="X217" i="9" s="1"/>
  <c r="X218" i="9" s="1"/>
  <c r="X219" i="9" s="1"/>
  <c r="X220" i="9" s="1"/>
  <c r="X221" i="9" s="1"/>
  <c r="X222" i="9" s="1"/>
  <c r="X223" i="9" s="1"/>
  <c r="X224" i="9" s="1"/>
  <c r="X225" i="9" s="1"/>
  <c r="X226" i="9" s="1"/>
  <c r="X227" i="9" s="1"/>
  <c r="X228" i="9" s="1"/>
  <c r="X229" i="9" s="1"/>
  <c r="X230" i="9" s="1"/>
  <c r="X231" i="9" s="1"/>
  <c r="X232" i="9" s="1"/>
  <c r="X233" i="9" s="1"/>
  <c r="X234" i="9" s="1"/>
  <c r="X235" i="9" s="1"/>
  <c r="X236" i="9" s="1"/>
  <c r="X237" i="9" s="1"/>
  <c r="X238" i="9" s="1"/>
  <c r="X239" i="9" s="1"/>
  <c r="X240" i="9" s="1"/>
  <c r="X241" i="9" s="1"/>
  <c r="X242" i="9" s="1"/>
  <c r="X243" i="9" s="1"/>
  <c r="X244" i="9" s="1"/>
  <c r="X245" i="9" s="1"/>
  <c r="X246" i="9" s="1"/>
  <c r="X247" i="9" s="1"/>
  <c r="X248" i="9" s="1"/>
  <c r="X249" i="9" s="1"/>
  <c r="X250" i="9" s="1"/>
  <c r="X251" i="9" s="1"/>
  <c r="X252" i="9" s="1"/>
  <c r="X253" i="9" s="1"/>
  <c r="X254" i="9" s="1"/>
  <c r="X255" i="9" s="1"/>
  <c r="X256" i="9" s="1"/>
  <c r="X257" i="9" s="1"/>
  <c r="X258" i="9" s="1"/>
  <c r="X259" i="9" s="1"/>
  <c r="X260" i="9" s="1"/>
  <c r="X261" i="9" s="1"/>
  <c r="X262" i="9" s="1"/>
  <c r="X263" i="9" s="1"/>
  <c r="X264" i="9" s="1"/>
  <c r="X265" i="9" s="1"/>
  <c r="X266" i="9" s="1"/>
  <c r="X267" i="9" s="1"/>
  <c r="X268" i="9" s="1"/>
  <c r="X269" i="9" s="1"/>
  <c r="X270" i="9" s="1"/>
  <c r="X271" i="9" s="1"/>
  <c r="X272" i="9" s="1"/>
  <c r="X273" i="9" s="1"/>
  <c r="X274" i="9" s="1"/>
  <c r="X275" i="9" s="1"/>
  <c r="X276" i="9" s="1"/>
  <c r="X277" i="9" s="1"/>
  <c r="X278" i="9" s="1"/>
  <c r="X279" i="9" s="1"/>
  <c r="X280" i="9" s="1"/>
  <c r="X281" i="9" s="1"/>
  <c r="X282" i="9" s="1"/>
  <c r="X283" i="9" s="1"/>
  <c r="X284" i="9" s="1"/>
  <c r="X285" i="9" s="1"/>
  <c r="X286" i="9" s="1"/>
  <c r="X287" i="9" s="1"/>
  <c r="X288" i="9" s="1"/>
  <c r="X289" i="9" s="1"/>
  <c r="X290" i="9" s="1"/>
  <c r="C3" i="9" l="1"/>
  <c r="B3" i="9"/>
  <c r="A3" i="9" s="1"/>
  <c r="D3" i="9"/>
  <c r="C4" i="9"/>
  <c r="D4" i="9"/>
  <c r="B4" i="9"/>
  <c r="A4" i="9" s="1"/>
  <c r="B87" i="9"/>
  <c r="A87" i="9" s="1"/>
  <c r="X291" i="9"/>
  <c r="X292" i="9" s="1"/>
  <c r="X293" i="9" s="1"/>
  <c r="X294" i="9" s="1"/>
  <c r="X295" i="9" s="1"/>
  <c r="X296" i="9" s="1"/>
  <c r="X297" i="9" s="1"/>
  <c r="X298" i="9" s="1"/>
  <c r="X299" i="9" s="1"/>
  <c r="X300" i="9" s="1"/>
  <c r="X301" i="9" s="1"/>
  <c r="X302" i="9" s="1"/>
  <c r="X303" i="9" s="1"/>
  <c r="X304" i="9" s="1"/>
  <c r="X305" i="9" s="1"/>
  <c r="X306" i="9" s="1"/>
  <c r="X307" i="9" s="1"/>
  <c r="X308" i="9" s="1"/>
  <c r="X309" i="9" s="1"/>
  <c r="X310" i="9" s="1"/>
  <c r="X311" i="9" s="1"/>
  <c r="X312" i="9" s="1"/>
  <c r="X313" i="9" s="1"/>
  <c r="X314" i="9" s="1"/>
  <c r="X315" i="9" s="1"/>
  <c r="X316" i="9" s="1"/>
  <c r="X317" i="9" s="1"/>
  <c r="X318" i="9" s="1"/>
  <c r="X319" i="9" s="1"/>
  <c r="X320" i="9" s="1"/>
  <c r="X321" i="9" s="1"/>
  <c r="X322" i="9" s="1"/>
  <c r="X323" i="9" s="1"/>
  <c r="X324" i="9" s="1"/>
  <c r="X325" i="9" s="1"/>
  <c r="X326" i="9" s="1"/>
  <c r="X327" i="9" s="1"/>
  <c r="X328" i="9" s="1"/>
  <c r="X329" i="9" s="1"/>
  <c r="X330" i="9" s="1"/>
  <c r="X331" i="9" s="1"/>
  <c r="X332" i="9" s="1"/>
  <c r="X333" i="9" s="1"/>
  <c r="X334" i="9" s="1"/>
  <c r="X335" i="9" s="1"/>
  <c r="X336" i="9" s="1"/>
  <c r="X337" i="9" s="1"/>
  <c r="X338" i="9" s="1"/>
  <c r="X339" i="9" s="1"/>
  <c r="X340" i="9" s="1"/>
  <c r="X341" i="9" s="1"/>
  <c r="X342" i="9" s="1"/>
  <c r="X343" i="9" s="1"/>
  <c r="X344" i="9" s="1"/>
  <c r="X345" i="9" s="1"/>
  <c r="X346" i="9" s="1"/>
  <c r="X347" i="9" s="1"/>
  <c r="X348" i="9" s="1"/>
  <c r="X349" i="9" s="1"/>
  <c r="X350" i="9" s="1"/>
  <c r="X351" i="9" s="1"/>
  <c r="X352" i="9" s="1"/>
  <c r="X353" i="9" s="1"/>
  <c r="X354" i="9" s="1"/>
  <c r="X355" i="9" s="1"/>
  <c r="X356" i="9" s="1"/>
  <c r="X357" i="9" s="1"/>
  <c r="X358" i="9" s="1"/>
  <c r="X359" i="9" s="1"/>
  <c r="X360" i="9" s="1"/>
  <c r="X361" i="9" s="1"/>
  <c r="X362" i="9" s="1"/>
  <c r="X363" i="9" s="1"/>
  <c r="X364" i="9" s="1"/>
  <c r="X365" i="9" s="1"/>
  <c r="X366" i="9" s="1"/>
  <c r="X367" i="9" s="1"/>
  <c r="X368" i="9" s="1"/>
  <c r="X369" i="9" s="1"/>
  <c r="X370" i="9" s="1"/>
  <c r="X371" i="9" s="1"/>
  <c r="X372" i="9" s="1"/>
  <c r="X373" i="9" s="1"/>
  <c r="X374" i="9" s="1"/>
  <c r="X375" i="9" s="1"/>
  <c r="X376" i="9" s="1"/>
  <c r="X377" i="9" s="1"/>
  <c r="X378" i="9" s="1"/>
  <c r="X379" i="9" s="1"/>
  <c r="X380" i="9" s="1"/>
  <c r="X381" i="9" s="1"/>
  <c r="X382" i="9" s="1"/>
  <c r="X383" i="9" s="1"/>
  <c r="X384" i="9" s="1"/>
  <c r="X385" i="9" s="1"/>
  <c r="X386" i="9" s="1"/>
  <c r="X387" i="9" s="1"/>
  <c r="X388" i="9" s="1"/>
  <c r="X389" i="9" s="1"/>
  <c r="X390" i="9" s="1"/>
  <c r="X391" i="9" s="1"/>
  <c r="X392" i="9" s="1"/>
  <c r="X393" i="9" s="1"/>
  <c r="X394" i="9" s="1"/>
  <c r="X395" i="9" s="1"/>
  <c r="X396" i="9" s="1"/>
  <c r="X397" i="9" s="1"/>
  <c r="X398" i="9" s="1"/>
  <c r="X399" i="9" s="1"/>
  <c r="X400" i="9" s="1"/>
  <c r="X401" i="9" s="1"/>
  <c r="X402" i="9" s="1"/>
  <c r="X403" i="9" s="1"/>
  <c r="X404" i="9" s="1"/>
  <c r="X405" i="9" s="1"/>
  <c r="X406" i="9" s="1"/>
  <c r="X407" i="9" s="1"/>
  <c r="X408" i="9" s="1"/>
  <c r="X409" i="9" s="1"/>
  <c r="X410" i="9" s="1"/>
  <c r="X411" i="9" s="1"/>
  <c r="X412" i="9" s="1"/>
  <c r="X413" i="9" s="1"/>
  <c r="X414" i="9" s="1"/>
  <c r="X415" i="9" s="1"/>
  <c r="X416" i="9" s="1"/>
  <c r="X417" i="9" s="1"/>
  <c r="X418" i="9" s="1"/>
  <c r="X419" i="9" s="1"/>
  <c r="X420" i="9" s="1"/>
  <c r="X421" i="9" s="1"/>
  <c r="X422" i="9" s="1"/>
  <c r="X423" i="9" s="1"/>
  <c r="X424" i="9" s="1"/>
  <c r="X425" i="9" s="1"/>
  <c r="X426" i="9" s="1"/>
  <c r="X427" i="9" s="1"/>
  <c r="X428" i="9" s="1"/>
  <c r="X429" i="9" s="1"/>
  <c r="X430" i="9" s="1"/>
  <c r="X431" i="9" s="1"/>
  <c r="X432" i="9" s="1"/>
  <c r="X433" i="9" s="1"/>
  <c r="X434" i="9" s="1"/>
  <c r="C7" i="9"/>
  <c r="B6" i="9"/>
  <c r="A6" i="9" s="1"/>
  <c r="B5" i="9"/>
  <c r="A5" i="9" s="1"/>
  <c r="D56" i="9"/>
  <c r="D78" i="9"/>
  <c r="B43" i="9"/>
  <c r="A43" i="9" s="1"/>
  <c r="D13" i="9"/>
  <c r="D72" i="9"/>
  <c r="B61" i="9"/>
  <c r="A61" i="9" s="1"/>
  <c r="C77" i="9"/>
  <c r="B59" i="9"/>
  <c r="A59" i="9" s="1"/>
  <c r="D87" i="9"/>
  <c r="C35" i="9"/>
  <c r="D28" i="9"/>
  <c r="C82" i="9"/>
  <c r="D22" i="9"/>
  <c r="C26" i="9"/>
  <c r="C12" i="9"/>
  <c r="B82" i="9"/>
  <c r="A82" i="9" s="1"/>
  <c r="D34" i="9"/>
  <c r="D16" i="9"/>
  <c r="D50" i="9"/>
  <c r="C16" i="9"/>
  <c r="B56" i="9"/>
  <c r="A56" i="9" s="1"/>
  <c r="B45" i="9"/>
  <c r="A45" i="9" s="1"/>
  <c r="C56" i="9"/>
  <c r="D65" i="9"/>
  <c r="B23" i="9"/>
  <c r="A23" i="9" s="1"/>
  <c r="D93" i="9"/>
  <c r="D61" i="9"/>
  <c r="D68" i="9"/>
  <c r="C39" i="9"/>
  <c r="C43" i="9"/>
  <c r="B76" i="9"/>
  <c r="A76" i="9" s="1"/>
  <c r="C71" i="9"/>
  <c r="D9" i="9"/>
  <c r="D94" i="9"/>
  <c r="B27" i="9"/>
  <c r="A27" i="9" s="1"/>
  <c r="C88" i="9"/>
  <c r="C19" i="9"/>
  <c r="C49" i="9"/>
  <c r="D90" i="9"/>
  <c r="C64" i="9"/>
  <c r="B64" i="9"/>
  <c r="A64" i="9" s="1"/>
  <c r="B89" i="9"/>
  <c r="A89" i="9" s="1"/>
  <c r="C89" i="9"/>
  <c r="D84" i="9"/>
  <c r="D30" i="9"/>
  <c r="B101" i="9"/>
  <c r="A101" i="9" s="1"/>
  <c r="D8" i="9"/>
  <c r="C90" i="9"/>
  <c r="C99" i="9"/>
  <c r="D11" i="9"/>
  <c r="B49" i="9"/>
  <c r="A49" i="9" s="1"/>
  <c r="C21" i="9"/>
  <c r="C83" i="9"/>
  <c r="D81" i="9"/>
  <c r="C46" i="9"/>
  <c r="B55" i="9"/>
  <c r="A55" i="9" s="1"/>
  <c r="B70" i="9"/>
  <c r="A70" i="9" s="1"/>
  <c r="B58" i="9"/>
  <c r="A58" i="9" s="1"/>
  <c r="C6" i="9"/>
  <c r="D20" i="9"/>
  <c r="B34" i="9"/>
  <c r="A34" i="9" s="1"/>
  <c r="C32" i="9"/>
  <c r="C94" i="9"/>
  <c r="B41" i="9"/>
  <c r="A41" i="9" s="1"/>
  <c r="D67" i="9"/>
  <c r="C9" i="9"/>
  <c r="D98" i="9"/>
  <c r="C51" i="9"/>
  <c r="B26" i="9"/>
  <c r="A26" i="9" s="1"/>
  <c r="D83" i="9"/>
  <c r="D80" i="9"/>
  <c r="B17" i="9"/>
  <c r="A17" i="9" s="1"/>
  <c r="C8" i="9"/>
  <c r="B31" i="9"/>
  <c r="A31" i="9" s="1"/>
  <c r="B46" i="9"/>
  <c r="A46" i="9" s="1"/>
  <c r="C73" i="9"/>
  <c r="C36" i="9"/>
  <c r="B53" i="9"/>
  <c r="A53" i="9" s="1"/>
  <c r="C55" i="9"/>
  <c r="D45" i="9"/>
  <c r="B77" i="9"/>
  <c r="A77" i="9" s="1"/>
  <c r="B71" i="9"/>
  <c r="A71" i="9" s="1"/>
  <c r="C69" i="9"/>
  <c r="B85" i="9"/>
  <c r="A85" i="9" s="1"/>
  <c r="C96" i="9"/>
  <c r="D5" i="9"/>
  <c r="C75" i="9"/>
  <c r="C61" i="9"/>
  <c r="B38" i="9"/>
  <c r="A38" i="9" s="1"/>
  <c r="B93" i="9"/>
  <c r="A93" i="9" s="1"/>
  <c r="C11" i="9"/>
  <c r="D97" i="9"/>
  <c r="D59" i="9"/>
  <c r="D60" i="9"/>
  <c r="B63" i="9"/>
  <c r="A63" i="9" s="1"/>
  <c r="D95" i="9"/>
  <c r="C22" i="9"/>
  <c r="D29" i="9"/>
  <c r="B91" i="9"/>
  <c r="A91" i="9" s="1"/>
  <c r="D76" i="9"/>
  <c r="C63" i="9"/>
  <c r="C67" i="9"/>
  <c r="B22" i="9"/>
  <c r="A22" i="9" s="1"/>
  <c r="B60" i="9"/>
  <c r="A60" i="9" s="1"/>
  <c r="B54" i="9"/>
  <c r="A54" i="9" s="1"/>
  <c r="B86" i="9"/>
  <c r="A86" i="9" s="1"/>
  <c r="D57" i="9"/>
  <c r="D27" i="9"/>
  <c r="D70" i="9"/>
  <c r="D66" i="9"/>
  <c r="B10" i="9"/>
  <c r="A10" i="9" s="1"/>
  <c r="B16" i="9"/>
  <c r="A16" i="9" s="1"/>
  <c r="C70" i="9"/>
  <c r="C72" i="9"/>
  <c r="B14" i="9"/>
  <c r="A14" i="9" s="1"/>
  <c r="C98" i="9"/>
  <c r="B80" i="9"/>
  <c r="A80" i="9" s="1"/>
  <c r="B84" i="9"/>
  <c r="A84" i="9" s="1"/>
  <c r="D14" i="9"/>
  <c r="D99" i="9"/>
  <c r="C5" i="9"/>
  <c r="C30" i="9"/>
  <c r="D25" i="9"/>
  <c r="D48" i="9"/>
  <c r="B97" i="9"/>
  <c r="A97" i="9" s="1"/>
  <c r="C34" i="9"/>
  <c r="D42" i="9"/>
  <c r="D51" i="9"/>
  <c r="D73" i="9"/>
  <c r="D74" i="9"/>
  <c r="B32" i="9"/>
  <c r="A32" i="9" s="1"/>
  <c r="B7" i="9"/>
  <c r="A7" i="9" s="1"/>
  <c r="C84" i="9"/>
  <c r="C15" i="9"/>
  <c r="C65" i="9"/>
  <c r="C68" i="9"/>
  <c r="C58" i="9"/>
  <c r="C14" i="9"/>
  <c r="D100" i="9"/>
  <c r="B39" i="9"/>
  <c r="A39" i="9" s="1"/>
  <c r="C28" i="9"/>
  <c r="D41" i="9"/>
  <c r="B83" i="9"/>
  <c r="A83" i="9" s="1"/>
  <c r="C47" i="9"/>
  <c r="D91" i="9"/>
  <c r="D43" i="9"/>
  <c r="B9" i="9"/>
  <c r="A9" i="9" s="1"/>
  <c r="B95" i="9"/>
  <c r="A95" i="9" s="1"/>
  <c r="D7" i="9"/>
  <c r="C20" i="9"/>
  <c r="B11" i="9"/>
  <c r="A11" i="9" s="1"/>
  <c r="B29" i="9"/>
  <c r="A29" i="9" s="1"/>
  <c r="B35" i="9"/>
  <c r="A35" i="9" s="1"/>
  <c r="B36" i="9"/>
  <c r="A36" i="9" s="1"/>
  <c r="D82" i="9"/>
  <c r="B51" i="9"/>
  <c r="A51" i="9" s="1"/>
  <c r="D46" i="9"/>
  <c r="C37" i="9"/>
  <c r="B48" i="9"/>
  <c r="A48" i="9" s="1"/>
  <c r="B100" i="9"/>
  <c r="A100" i="9" s="1"/>
  <c r="D24" i="9"/>
  <c r="B67" i="9"/>
  <c r="A67" i="9" s="1"/>
  <c r="B78" i="9"/>
  <c r="A78" i="9" s="1"/>
  <c r="C100" i="9"/>
  <c r="D85" i="9"/>
  <c r="B47" i="9"/>
  <c r="A47" i="9" s="1"/>
  <c r="C91" i="9"/>
  <c r="C95" i="9"/>
  <c r="B81" i="9"/>
  <c r="A81" i="9" s="1"/>
  <c r="D77" i="9"/>
  <c r="C66" i="9"/>
  <c r="D101" i="9"/>
  <c r="C10" i="9"/>
  <c r="D32" i="9"/>
  <c r="D23" i="9"/>
  <c r="C54" i="9"/>
  <c r="C48" i="9"/>
  <c r="D88" i="9"/>
  <c r="C93" i="9"/>
  <c r="B12" i="9"/>
  <c r="A12" i="9" s="1"/>
  <c r="B50" i="9"/>
  <c r="A50" i="9" s="1"/>
  <c r="C76" i="9"/>
  <c r="D53" i="9"/>
  <c r="C79" i="9"/>
  <c r="D26" i="9"/>
  <c r="C42" i="9"/>
  <c r="D12" i="9"/>
  <c r="D18" i="9"/>
  <c r="B52" i="9"/>
  <c r="A52" i="9" s="1"/>
  <c r="D31" i="9"/>
  <c r="C52" i="9"/>
  <c r="B98" i="9"/>
  <c r="A98" i="9" s="1"/>
  <c r="D86" i="9"/>
  <c r="B40" i="9"/>
  <c r="A40" i="9" s="1"/>
  <c r="B69" i="9"/>
  <c r="A69" i="9" s="1"/>
  <c r="B15" i="9"/>
  <c r="A15" i="9" s="1"/>
  <c r="D21" i="9"/>
  <c r="C18" i="9"/>
  <c r="C45" i="9"/>
  <c r="D49" i="9"/>
  <c r="D44" i="9"/>
  <c r="D17" i="9"/>
  <c r="B8" i="9"/>
  <c r="A8" i="9" s="1"/>
  <c r="B44" i="9"/>
  <c r="A44" i="9" s="1"/>
  <c r="B96" i="9"/>
  <c r="A96" i="9" s="1"/>
  <c r="C31" i="9"/>
  <c r="C50" i="9"/>
  <c r="D47" i="9"/>
  <c r="B19" i="9"/>
  <c r="A19" i="9" s="1"/>
  <c r="D71" i="9"/>
  <c r="B25" i="9"/>
  <c r="A25" i="9" s="1"/>
  <c r="B62" i="9"/>
  <c r="A62" i="9" s="1"/>
  <c r="C86" i="9"/>
  <c r="B30" i="9"/>
  <c r="A30" i="9" s="1"/>
  <c r="D54" i="9"/>
  <c r="D19" i="9"/>
  <c r="D36" i="9"/>
  <c r="B65" i="9"/>
  <c r="A65" i="9" s="1"/>
  <c r="C60" i="9"/>
  <c r="B73" i="9"/>
  <c r="A73" i="9" s="1"/>
  <c r="D15" i="9"/>
  <c r="C80" i="9"/>
  <c r="D52" i="9"/>
  <c r="B68" i="9"/>
  <c r="A68" i="9" s="1"/>
  <c r="D38" i="9"/>
  <c r="B79" i="9"/>
  <c r="A79" i="9" s="1"/>
  <c r="D79" i="9"/>
  <c r="C78" i="9"/>
  <c r="C97" i="9"/>
  <c r="B24" i="9"/>
  <c r="A24" i="9" s="1"/>
  <c r="C13" i="9"/>
  <c r="B20" i="9"/>
  <c r="A20" i="9" s="1"/>
  <c r="D58" i="9"/>
  <c r="C23" i="9"/>
  <c r="B66" i="9"/>
  <c r="A66" i="9" s="1"/>
  <c r="B33" i="9"/>
  <c r="A33" i="9" s="1"/>
  <c r="D33" i="9"/>
  <c r="C74" i="9"/>
  <c r="B92" i="9"/>
  <c r="A92" i="9" s="1"/>
  <c r="D40" i="9"/>
  <c r="D39" i="9"/>
  <c r="B75" i="9"/>
  <c r="A75" i="9" s="1"/>
  <c r="D10" i="9"/>
  <c r="C41" i="9"/>
  <c r="D69" i="9"/>
  <c r="D75" i="9"/>
  <c r="C33" i="9"/>
  <c r="D64" i="9"/>
  <c r="B99" i="9"/>
  <c r="A99" i="9" s="1"/>
  <c r="C62" i="9"/>
  <c r="D37" i="9"/>
  <c r="B28" i="9"/>
  <c r="A28" i="9" s="1"/>
  <c r="C27" i="9"/>
  <c r="D62" i="9"/>
  <c r="C92" i="9"/>
  <c r="C24" i="9"/>
  <c r="C59" i="9"/>
  <c r="D96" i="9"/>
  <c r="C29" i="9"/>
  <c r="C25" i="9"/>
  <c r="C44" i="9"/>
  <c r="D92" i="9"/>
  <c r="B72" i="9"/>
  <c r="A72" i="9" s="1"/>
  <c r="C101" i="9"/>
  <c r="B74" i="9"/>
  <c r="A74" i="9" s="1"/>
  <c r="D6" i="9"/>
  <c r="B13" i="9"/>
  <c r="A13" i="9" s="1"/>
  <c r="B37" i="9"/>
  <c r="A37" i="9" s="1"/>
  <c r="D89" i="9"/>
  <c r="C85" i="9"/>
  <c r="C81" i="9"/>
  <c r="B88" i="9"/>
  <c r="A88" i="9" s="1"/>
  <c r="D55" i="9"/>
  <c r="B94" i="9"/>
  <c r="A94" i="9" s="1"/>
  <c r="B42" i="9"/>
  <c r="A42" i="9" s="1"/>
  <c r="B21" i="9"/>
  <c r="A21" i="9" s="1"/>
  <c r="B90" i="9"/>
  <c r="A90" i="9" s="1"/>
  <c r="B18" i="9"/>
  <c r="A18" i="9" s="1"/>
  <c r="C40" i="9"/>
  <c r="C53" i="9"/>
  <c r="C38" i="9"/>
  <c r="C57" i="9"/>
  <c r="D63" i="9"/>
  <c r="B57" i="9"/>
  <c r="A57" i="9" s="1"/>
  <c r="C87" i="9"/>
  <c r="D35" i="9"/>
  <c r="C17" i="9"/>
</calcChain>
</file>

<file path=xl/sharedStrings.xml><?xml version="1.0" encoding="utf-8"?>
<sst xmlns="http://schemas.openxmlformats.org/spreadsheetml/2006/main" count="3978" uniqueCount="1337">
  <si>
    <t>Date</t>
  </si>
  <si>
    <t>Bet</t>
  </si>
  <si>
    <t>Risk</t>
  </si>
  <si>
    <t>Game</t>
  </si>
  <si>
    <t>Over 52</t>
  </si>
  <si>
    <t>Winnings</t>
  </si>
  <si>
    <t>Result</t>
  </si>
  <si>
    <t>L</t>
  </si>
  <si>
    <t>Chargers</t>
  </si>
  <si>
    <t>Eagles</t>
  </si>
  <si>
    <t>Bears @ Giants</t>
  </si>
  <si>
    <t>Bears -4</t>
  </si>
  <si>
    <t>Colts @ Jaguars</t>
  </si>
  <si>
    <t>Panthers @ Buccaneers</t>
  </si>
  <si>
    <t>Cardinals @ Packers</t>
  </si>
  <si>
    <t>Browns @ Texans</t>
  </si>
  <si>
    <t>Bills @ Dolphins</t>
  </si>
  <si>
    <t>Broncos @ Bengals</t>
  </si>
  <si>
    <t>Rams @ Lions</t>
  </si>
  <si>
    <t>Jets @ Titans</t>
  </si>
  <si>
    <t>Vikings @ Patriots</t>
  </si>
  <si>
    <t>49ers @ Seahawks</t>
  </si>
  <si>
    <t>Chargers @ Steelers</t>
  </si>
  <si>
    <t>Colts -4.5</t>
  </si>
  <si>
    <t>Under 54.5</t>
  </si>
  <si>
    <t>Packers -14</t>
  </si>
  <si>
    <t>Under 42.5</t>
  </si>
  <si>
    <t>Over 48</t>
  </si>
  <si>
    <t>Dolphins -3.5</t>
  </si>
  <si>
    <t>Under 40</t>
  </si>
  <si>
    <t>Over 45</t>
  </si>
  <si>
    <t>Rams -10</t>
  </si>
  <si>
    <t>Over 54.5</t>
  </si>
  <si>
    <t>Over 40.5</t>
  </si>
  <si>
    <t>Patriots -5</t>
  </si>
  <si>
    <t>Over 49.5</t>
  </si>
  <si>
    <t>Over 45.5</t>
  </si>
  <si>
    <t>W</t>
  </si>
  <si>
    <t>Net Earnings</t>
  </si>
  <si>
    <t>Percentage Gain</t>
  </si>
  <si>
    <t>Win Percentage</t>
  </si>
  <si>
    <t>Redskins @ Eagles</t>
  </si>
  <si>
    <t>Under 45</t>
  </si>
  <si>
    <t>Cowboys</t>
  </si>
  <si>
    <t>Win Prob</t>
  </si>
  <si>
    <t>Over/Under</t>
  </si>
  <si>
    <t>Line</t>
  </si>
  <si>
    <t>Under</t>
  </si>
  <si>
    <t>Over</t>
  </si>
  <si>
    <t>Favorite</t>
  </si>
  <si>
    <t>Dog</t>
  </si>
  <si>
    <t>Titans @ Jaguars</t>
  </si>
  <si>
    <t>Under 37</t>
  </si>
  <si>
    <t>Confidence Level</t>
  </si>
  <si>
    <t>Conditional Formats</t>
  </si>
  <si>
    <t>Ravens @ Chiefs</t>
  </si>
  <si>
    <t>Over 51</t>
  </si>
  <si>
    <t>Saints @ Buccaneers</t>
  </si>
  <si>
    <t>Panthers @ Browns</t>
  </si>
  <si>
    <t>Under 47</t>
  </si>
  <si>
    <t>Jets @ Bills</t>
  </si>
  <si>
    <t>Under 38.5</t>
  </si>
  <si>
    <t>Bengals @ Chargers</t>
  </si>
  <si>
    <t>Patriots @ Dolphins</t>
  </si>
  <si>
    <t>Patriots -8</t>
  </si>
  <si>
    <t>Colts @ Texans</t>
  </si>
  <si>
    <t>Texans -4.5</t>
  </si>
  <si>
    <t>Saints -9.5</t>
  </si>
  <si>
    <t>Over 47.5</t>
  </si>
  <si>
    <t>Push</t>
  </si>
  <si>
    <t>Steelers @ Raiders</t>
  </si>
  <si>
    <t>Under 51</t>
  </si>
  <si>
    <t>Eagles @ Cowboys</t>
  </si>
  <si>
    <t>Cowboys -3.5</t>
  </si>
  <si>
    <t>Colts -3</t>
  </si>
  <si>
    <t>Vikings @ Seahawks</t>
  </si>
  <si>
    <t>Seahawks -3</t>
  </si>
  <si>
    <t>Chargers @ Chiefs</t>
  </si>
  <si>
    <t>Over 53.5</t>
  </si>
  <si>
    <t>Chargers +3.5</t>
  </si>
  <si>
    <t>Texans @ Jets</t>
  </si>
  <si>
    <t>Under 44</t>
  </si>
  <si>
    <t>Texans -7</t>
  </si>
  <si>
    <t>Browns @ Broncos</t>
  </si>
  <si>
    <t>Under 45.5</t>
  </si>
  <si>
    <t>Cowboys @ Colts</t>
  </si>
  <si>
    <t>Over 47</t>
  </si>
  <si>
    <t>Lions @ Bills</t>
  </si>
  <si>
    <t>Packers @ Bears</t>
  </si>
  <si>
    <t>Bears -5</t>
  </si>
  <si>
    <t>Dolphins @ Vikings</t>
  </si>
  <si>
    <t>Vikings -8</t>
  </si>
  <si>
    <t>Raiders @ Bengals</t>
  </si>
  <si>
    <t>Bengals -3</t>
  </si>
  <si>
    <t>Buccaneers @ Ravens</t>
  </si>
  <si>
    <t>Titans @ Giants</t>
  </si>
  <si>
    <t>Redskins @ Jaguars</t>
  </si>
  <si>
    <t>Seahawks @ 49ers</t>
  </si>
  <si>
    <t>Over 44</t>
  </si>
  <si>
    <t>Patriots @ Steelers</t>
  </si>
  <si>
    <t>Under 36.5</t>
  </si>
  <si>
    <t>Redskins +7.5</t>
  </si>
  <si>
    <t>Seahawks -4.5</t>
  </si>
  <si>
    <t>Steelers +3</t>
  </si>
  <si>
    <t>Over 56</t>
  </si>
  <si>
    <t>Eagles @ Rams</t>
  </si>
  <si>
    <t>Rams -13</t>
  </si>
  <si>
    <t>Saints @ Panthers</t>
  </si>
  <si>
    <t>Over 50.5</t>
  </si>
  <si>
    <t>Odds</t>
  </si>
  <si>
    <t>Steelers Moneyline</t>
  </si>
  <si>
    <t>Confidence</t>
  </si>
  <si>
    <t>Bucks @ Pistons</t>
  </si>
  <si>
    <t>Under 225</t>
  </si>
  <si>
    <t>Bucks -4</t>
  </si>
  <si>
    <t>Suns @ Knicks</t>
  </si>
  <si>
    <t>Under 223</t>
  </si>
  <si>
    <t>Knicks -1.5</t>
  </si>
  <si>
    <t>Kings @ Timberwolves</t>
  </si>
  <si>
    <t>Kings +7.5</t>
  </si>
  <si>
    <t>Jazz @ Rockets</t>
  </si>
  <si>
    <t>Over 212</t>
  </si>
  <si>
    <t>Grizzlies @ Warriors</t>
  </si>
  <si>
    <t>Over 211</t>
  </si>
  <si>
    <t>Warriors -11</t>
  </si>
  <si>
    <t>Trailblazers @ Clippers</t>
  </si>
  <si>
    <t>Trailblazers +2</t>
  </si>
  <si>
    <t>Trailblazers Moneyline</t>
  </si>
  <si>
    <t>Cavaliers @ Pacers</t>
  </si>
  <si>
    <t>Over 207</t>
  </si>
  <si>
    <t>Wizards @ Hawks</t>
  </si>
  <si>
    <t>Under 236</t>
  </si>
  <si>
    <t>Wizards -3.5</t>
  </si>
  <si>
    <t>Mavericks @ Nuggets</t>
  </si>
  <si>
    <t>Over 208</t>
  </si>
  <si>
    <t>Nuggets -5</t>
  </si>
  <si>
    <t>Week</t>
  </si>
  <si>
    <t>Record</t>
  </si>
  <si>
    <t>Cumulative Record</t>
  </si>
  <si>
    <t>NFL</t>
  </si>
  <si>
    <t>NBA</t>
  </si>
  <si>
    <t>Totals</t>
  </si>
  <si>
    <t>Cavaliers @ Hornets</t>
  </si>
  <si>
    <t>Under 214</t>
  </si>
  <si>
    <t>Spurs @ Magic</t>
  </si>
  <si>
    <t>Spurs -3.5</t>
  </si>
  <si>
    <t>Pacers @ Raptors</t>
  </si>
  <si>
    <t>Over 209</t>
  </si>
  <si>
    <t>Raptors -5</t>
  </si>
  <si>
    <t>Suns @ Celtics</t>
  </si>
  <si>
    <t>Nets @ Bulls</t>
  </si>
  <si>
    <t>Under 213</t>
  </si>
  <si>
    <t>Nets -2</t>
  </si>
  <si>
    <t>Pistons @ Timberwolves</t>
  </si>
  <si>
    <t>Timberwolves -5</t>
  </si>
  <si>
    <t>Wizards @ Rockets</t>
  </si>
  <si>
    <t>Wizards +11</t>
  </si>
  <si>
    <t>Warriors @ Jazz</t>
  </si>
  <si>
    <t>Warriors -2.5</t>
  </si>
  <si>
    <t>Thunder @ Kings</t>
  </si>
  <si>
    <t>Kings Moneyline</t>
  </si>
  <si>
    <t>Rockets @ Heat</t>
  </si>
  <si>
    <t>Rockets -3.5</t>
  </si>
  <si>
    <t>Mavericks @ Clippers</t>
  </si>
  <si>
    <t>Clippers -3</t>
  </si>
  <si>
    <t>Ravens @ Chargers</t>
  </si>
  <si>
    <t>Packers @ Jets</t>
  </si>
  <si>
    <t>W %</t>
  </si>
  <si>
    <t>Cavaliers @ Raptors</t>
  </si>
  <si>
    <t>Raptors -13</t>
  </si>
  <si>
    <t>Pistons @ Hornets</t>
  </si>
  <si>
    <t>Over 218</t>
  </si>
  <si>
    <t>Hornets -4</t>
  </si>
  <si>
    <t>Hawks @ Knicks</t>
  </si>
  <si>
    <t>Under 230</t>
  </si>
  <si>
    <t>Pacers @ Nets</t>
  </si>
  <si>
    <t>Nets +2.5</t>
  </si>
  <si>
    <t>Bucks @ Celtics</t>
  </si>
  <si>
    <t>Celtics -1.5</t>
  </si>
  <si>
    <t>Magic @ Bulls</t>
  </si>
  <si>
    <t>Magic -3</t>
  </si>
  <si>
    <t>Timberwolves @ Spurs</t>
  </si>
  <si>
    <t>Over 220</t>
  </si>
  <si>
    <t>Spurs -4</t>
  </si>
  <si>
    <t>Grizzlies @ Kings</t>
  </si>
  <si>
    <t>Kings -1.5</t>
  </si>
  <si>
    <t>Jazz @ TrailBlazers</t>
  </si>
  <si>
    <t>Under 212</t>
  </si>
  <si>
    <t>TrailBlazers -2</t>
  </si>
  <si>
    <t>Pelicans @ Lakers</t>
  </si>
  <si>
    <t>Under 234</t>
  </si>
  <si>
    <t>Pelicans +5</t>
  </si>
  <si>
    <t>Pelicans Moneyline</t>
  </si>
  <si>
    <t>Nuggets @ Clippers</t>
  </si>
  <si>
    <t>Nuggets +1.5</t>
  </si>
  <si>
    <t>Nuggets Moneyline</t>
  </si>
  <si>
    <t>Suns @ Wizards</t>
  </si>
  <si>
    <t>Wizards -6</t>
  </si>
  <si>
    <t>Raptors @ 76ers</t>
  </si>
  <si>
    <t>Raptors +7.5</t>
  </si>
  <si>
    <t>Raptors Moneyline</t>
  </si>
  <si>
    <t>Bucks @ Heat</t>
  </si>
  <si>
    <t>Bucks -3</t>
  </si>
  <si>
    <t>Spurs @ Rockets</t>
  </si>
  <si>
    <t>Spurs +5.5</t>
  </si>
  <si>
    <t>Spurs Moneyline</t>
  </si>
  <si>
    <t>Mavericks @ Warriors</t>
  </si>
  <si>
    <t>Warriors -11.5</t>
  </si>
  <si>
    <t>Thunder @ Jazz</t>
  </si>
  <si>
    <t>Under 218</t>
  </si>
  <si>
    <t>Thunder +1.5</t>
  </si>
  <si>
    <t>Hawks @ Wizards</t>
  </si>
  <si>
    <t>Wizards -6.5</t>
  </si>
  <si>
    <t>Mavericks @ Hornets</t>
  </si>
  <si>
    <t>Hornets -1.5</t>
  </si>
  <si>
    <t>Heat @ Cavaliers</t>
  </si>
  <si>
    <t>Over 203</t>
  </si>
  <si>
    <t>Heat -6</t>
  </si>
  <si>
    <t>Pelicans @ Nets</t>
  </si>
  <si>
    <t>Over 230</t>
  </si>
  <si>
    <t>Pelicans -1</t>
  </si>
  <si>
    <t>Pistons @ Grizzlies</t>
  </si>
  <si>
    <t>Pistons +6.5</t>
  </si>
  <si>
    <t>76ers @ Suns</t>
  </si>
  <si>
    <t>Under 228</t>
  </si>
  <si>
    <t>76ers -4.5</t>
  </si>
  <si>
    <t>Thunder @ Lakers</t>
  </si>
  <si>
    <t>Under 229</t>
  </si>
  <si>
    <t>Lakers +6</t>
  </si>
  <si>
    <t>Raptors @ Spurs</t>
  </si>
  <si>
    <t>Over 216</t>
  </si>
  <si>
    <t>Raptors +2.5</t>
  </si>
  <si>
    <t>Nuggets @ Kings</t>
  </si>
  <si>
    <t>Under 227</t>
  </si>
  <si>
    <t>Nuggets -3.5</t>
  </si>
  <si>
    <t>Rockets @ Warriors</t>
  </si>
  <si>
    <t>Over 224</t>
  </si>
  <si>
    <t>Colts</t>
  </si>
  <si>
    <t>Over 48.5</t>
  </si>
  <si>
    <t>Seahawks @ Cowboys</t>
  </si>
  <si>
    <t>Over 43</t>
  </si>
  <si>
    <t>Seahawks +2</t>
  </si>
  <si>
    <t>Chargers @ Ravens</t>
  </si>
  <si>
    <t>Over 42</t>
  </si>
  <si>
    <t>Chargers +2.5</t>
  </si>
  <si>
    <t>Wild Card</t>
  </si>
  <si>
    <t>Over 1.5</t>
  </si>
  <si>
    <t>How many Wild Card team win Wild Card Weekend</t>
  </si>
  <si>
    <t>Bears Suberbowl</t>
  </si>
  <si>
    <t>Rams Suberbowl</t>
  </si>
  <si>
    <t>Most points scored by 1 team wildcard weekend</t>
  </si>
  <si>
    <t>Over 36.5</t>
  </si>
  <si>
    <t>Jazz @ Cavaliers</t>
  </si>
  <si>
    <t>Jazz -9.5</t>
  </si>
  <si>
    <t>Nets @ Grizzlies</t>
  </si>
  <si>
    <t>Under 204</t>
  </si>
  <si>
    <t>Nets +4</t>
  </si>
  <si>
    <t>Nets Moneyline</t>
  </si>
  <si>
    <t>Pacers @ Bulls</t>
  </si>
  <si>
    <t>Under 200</t>
  </si>
  <si>
    <t>Pacers -7</t>
  </si>
  <si>
    <t>Magic @ Timberwolves</t>
  </si>
  <si>
    <t>Timberwolves -4.5</t>
  </si>
  <si>
    <t>Wizards @ Heat</t>
  </si>
  <si>
    <t>Wizards +7.5</t>
  </si>
  <si>
    <t>Mavericks @ Celtics</t>
  </si>
  <si>
    <t>Over 214</t>
  </si>
  <si>
    <t>Celtics -5.5</t>
  </si>
  <si>
    <t>Hawks @ Bucks</t>
  </si>
  <si>
    <t>Bucks -13.5</t>
  </si>
  <si>
    <t>Clippers @ Suns</t>
  </si>
  <si>
    <t>Clippers -4.5</t>
  </si>
  <si>
    <t>Knicks @ Lakers</t>
  </si>
  <si>
    <t>Under 224</t>
  </si>
  <si>
    <t>Lakers -7.5</t>
  </si>
  <si>
    <t>Thunder @ Trailblazers</t>
  </si>
  <si>
    <t>Trailblazers -1</t>
  </si>
  <si>
    <t>N/A</t>
  </si>
  <si>
    <t>Description</t>
  </si>
  <si>
    <t xml:space="preserve">Misc. </t>
  </si>
  <si>
    <t>Invested</t>
  </si>
  <si>
    <t>Spurs @ Pistons</t>
  </si>
  <si>
    <t>Nets @ Celtics</t>
  </si>
  <si>
    <t>Under 221</t>
  </si>
  <si>
    <t>Nuggets @ Rockets</t>
  </si>
  <si>
    <t>Grizzlies @ Pelicans</t>
  </si>
  <si>
    <t>Pelicans -5.5</t>
  </si>
  <si>
    <t>Jazz @ Bucks</t>
  </si>
  <si>
    <t>Under 222</t>
  </si>
  <si>
    <t>Bucks -5.5</t>
  </si>
  <si>
    <t>Lakers @ Mavericks</t>
  </si>
  <si>
    <t>Lakers +8</t>
  </si>
  <si>
    <t>Knicks @ Trailblazers</t>
  </si>
  <si>
    <t>Trailblazers -12</t>
  </si>
  <si>
    <t>Magic @ Kings</t>
  </si>
  <si>
    <t>Kings -5.5</t>
  </si>
  <si>
    <t>Lakers Moneyline</t>
  </si>
  <si>
    <t>v1.3</t>
  </si>
  <si>
    <t>v1.0</t>
  </si>
  <si>
    <t>v1.1</t>
  </si>
  <si>
    <t>v1.2</t>
  </si>
  <si>
    <t>Anthony Miller Receiving Yards</t>
  </si>
  <si>
    <t>Over 21.5</t>
  </si>
  <si>
    <t>Pacers @ Cavaliers</t>
  </si>
  <si>
    <t>Under 208</t>
  </si>
  <si>
    <t>Pacers -10</t>
  </si>
  <si>
    <t>Hawks @ Raptors</t>
  </si>
  <si>
    <t>Raptors -14.5</t>
  </si>
  <si>
    <t>Nuggets @ Heat</t>
  </si>
  <si>
    <t>Timberwolves @ Thunder</t>
  </si>
  <si>
    <t>Timberwolves +8</t>
  </si>
  <si>
    <t>Hornets @ Clippers</t>
  </si>
  <si>
    <t>Hornets +6.5</t>
  </si>
  <si>
    <t>Knicks @ Warriors</t>
  </si>
  <si>
    <t>Warriors -18</t>
  </si>
  <si>
    <t>Chiefs</t>
  </si>
  <si>
    <t>Rams</t>
  </si>
  <si>
    <t>Patriots</t>
  </si>
  <si>
    <t>Saints</t>
  </si>
  <si>
    <t>Pacers @ Celtics</t>
  </si>
  <si>
    <t>Pacers +6.5</t>
  </si>
  <si>
    <t>76ers @ Wizards</t>
  </si>
  <si>
    <t>Over 228</t>
  </si>
  <si>
    <t>Hawks @ Nets</t>
  </si>
  <si>
    <t>Nets -9</t>
  </si>
  <si>
    <t>Cavaliers @ Pelicans</t>
  </si>
  <si>
    <t>Pelicans -14</t>
  </si>
  <si>
    <t>Bucks @ Rockets</t>
  </si>
  <si>
    <t>Over 226</t>
  </si>
  <si>
    <t>Bucks -1.5</t>
  </si>
  <si>
    <t>Spurs @ Grizzlies</t>
  </si>
  <si>
    <t>Spurs -3</t>
  </si>
  <si>
    <t>Magic @ Jazz</t>
  </si>
  <si>
    <t>Jazz -9</t>
  </si>
  <si>
    <t>Bulls @ Trailblazers</t>
  </si>
  <si>
    <t>Trailblazers -9.5</t>
  </si>
  <si>
    <t>Pistons @ Lakers</t>
  </si>
  <si>
    <t>Lakers -1.5</t>
  </si>
  <si>
    <t>Divisional</t>
  </si>
  <si>
    <t>+5</t>
  </si>
  <si>
    <t>Celtics @ Heat</t>
  </si>
  <si>
    <t>Celtics -3</t>
  </si>
  <si>
    <t>Clippers @ Nuggets</t>
  </si>
  <si>
    <t>Clippers +5.5</t>
  </si>
  <si>
    <t>Thunder @ Spurs</t>
  </si>
  <si>
    <t>Spurs +1.5</t>
  </si>
  <si>
    <t>Pistons @ Kings</t>
  </si>
  <si>
    <t>Kings -5</t>
  </si>
  <si>
    <t>+8</t>
  </si>
  <si>
    <t>Hawks @ 76ers</t>
  </si>
  <si>
    <t>Under 232</t>
  </si>
  <si>
    <t>76ers -12.5</t>
  </si>
  <si>
    <t>Bucks @ Wizards</t>
  </si>
  <si>
    <t>Under 231</t>
  </si>
  <si>
    <t>Nets @ Raptors</t>
  </si>
  <si>
    <t>Raptors -9.5</t>
  </si>
  <si>
    <t>Pacers @ Knicks</t>
  </si>
  <si>
    <t>Under 219</t>
  </si>
  <si>
    <t>Pacers -8.5</t>
  </si>
  <si>
    <t>Cavaliers @ Rockets</t>
  </si>
  <si>
    <t>Rockets -14</t>
  </si>
  <si>
    <t>Mavericks @ Timberwolves</t>
  </si>
  <si>
    <t>Lakers @ Jazz</t>
  </si>
  <si>
    <t>Bulls @ Warriors</t>
  </si>
  <si>
    <t>Warriors -15.5</t>
  </si>
  <si>
    <t>Version</t>
  </si>
  <si>
    <t>v1.4</t>
  </si>
  <si>
    <t>Notes</t>
  </si>
  <si>
    <t>Initial release</t>
  </si>
  <si>
    <t>Corrected home/away record lookup</t>
  </si>
  <si>
    <t>Updated variation shift to account for PER. Smaller adjustments</t>
  </si>
  <si>
    <t>Included factor for difference in games played over last week</t>
  </si>
  <si>
    <t>Lowered "recency" bias. Used web offensive and defensive ratings</t>
  </si>
  <si>
    <t>+7</t>
  </si>
  <si>
    <t>+4</t>
  </si>
  <si>
    <t>Colts @ Chiefs</t>
  </si>
  <si>
    <t>Over 57</t>
  </si>
  <si>
    <t>Cowboys @ Rams</t>
  </si>
  <si>
    <t>Over 50</t>
  </si>
  <si>
    <t>Rams -7</t>
  </si>
  <si>
    <t>Chargers @ Patriots</t>
  </si>
  <si>
    <t>Eagles @ Saints</t>
  </si>
  <si>
    <t>Saints -8</t>
  </si>
  <si>
    <t>Celtics @ Nets</t>
  </si>
  <si>
    <t>Over 219</t>
  </si>
  <si>
    <t>Grizzlies @ Rockets</t>
  </si>
  <si>
    <t>Rockets -5</t>
  </si>
  <si>
    <t>Hornets @ Spurs</t>
  </si>
  <si>
    <t>Over 222</t>
  </si>
  <si>
    <t>Spurs -9</t>
  </si>
  <si>
    <t>Pistons @ Jazz</t>
  </si>
  <si>
    <t>Jazz -8.5</t>
  </si>
  <si>
    <t>Trailblazers @ Kings</t>
  </si>
  <si>
    <t>Trailblazers +2.5</t>
  </si>
  <si>
    <t>Pelicans @ Clippers</t>
  </si>
  <si>
    <t>Under 239</t>
  </si>
  <si>
    <t>Pelicans +2.5</t>
  </si>
  <si>
    <t>Timberwolves @ 76ers</t>
  </si>
  <si>
    <t>Timberwolves +6</t>
  </si>
  <si>
    <t>Suns @ Pacers</t>
  </si>
  <si>
    <t>Thunder @ Hawks</t>
  </si>
  <si>
    <t>Thunder -8.5</t>
  </si>
  <si>
    <t>Heat @ Bucks</t>
  </si>
  <si>
    <t>Bucks -8.5</t>
  </si>
  <si>
    <t>Warriors @ Nuggets</t>
  </si>
  <si>
    <t>Warriors -1</t>
  </si>
  <si>
    <t>Bulls @ Lakers</t>
  </si>
  <si>
    <t>Under 215</t>
  </si>
  <si>
    <t>Lakers -7</t>
  </si>
  <si>
    <t>Current Balance</t>
  </si>
  <si>
    <t>Magic @ Pistons</t>
  </si>
  <si>
    <t>Under 207</t>
  </si>
  <si>
    <t>Magic +3.5</t>
  </si>
  <si>
    <t>Nets @ Rockets</t>
  </si>
  <si>
    <t>Bucks @ Grizzlies</t>
  </si>
  <si>
    <t>Bucks -6</t>
  </si>
  <si>
    <t>Raptors @ Celtics</t>
  </si>
  <si>
    <t>Raptors +2</t>
  </si>
  <si>
    <t>Spurs @ Mavericks</t>
  </si>
  <si>
    <t>Spurs -1</t>
  </si>
  <si>
    <t>Cavaliers @ Trailblazers</t>
  </si>
  <si>
    <t>Trailblazers -13.5</t>
  </si>
  <si>
    <t>Pelicans @ Warriors</t>
  </si>
  <si>
    <t>Under 241</t>
  </si>
  <si>
    <t>Warriors -7</t>
  </si>
  <si>
    <t>Jazz @ Clippers</t>
  </si>
  <si>
    <t>Clippers -1.5</t>
  </si>
  <si>
    <t>v1.5</t>
  </si>
  <si>
    <t>Removed v1.4 update, allowed for 3sigma variation on both sides</t>
  </si>
  <si>
    <t>Underdog</t>
  </si>
  <si>
    <t>Moneyline Confidence</t>
  </si>
  <si>
    <t>Knicks @ Wizards</t>
  </si>
  <si>
    <t>Wizards -7.5</t>
  </si>
  <si>
    <t>76ers @ Pacers</t>
  </si>
  <si>
    <t>76ers +2.5</t>
  </si>
  <si>
    <t>76ers Moneyline</t>
  </si>
  <si>
    <t>Kings @ Hornets</t>
  </si>
  <si>
    <t>Kings +3</t>
  </si>
  <si>
    <t>Bulls @ Nuggets</t>
  </si>
  <si>
    <t>Nuggets -13</t>
  </si>
  <si>
    <t>Lakers @ Thunder</t>
  </si>
  <si>
    <t>Under 226</t>
  </si>
  <si>
    <t>Lakers 10.5</t>
  </si>
  <si>
    <t>Maryland +3.5</t>
  </si>
  <si>
    <t>Under 140</t>
  </si>
  <si>
    <t>Buffalo -15.5</t>
  </si>
  <si>
    <t>Villanova -10</t>
  </si>
  <si>
    <t>Northwestern -1.5</t>
  </si>
  <si>
    <t>Toledo -8.5</t>
  </si>
  <si>
    <t>Maryland @ Ohio State</t>
  </si>
  <si>
    <t>Eastern Michigan @ Buffalo</t>
  </si>
  <si>
    <t>Xavier @ Villanova</t>
  </si>
  <si>
    <t>Northwestern @ Rutgers</t>
  </si>
  <si>
    <t>Ohio @ Toledo</t>
  </si>
  <si>
    <t>NCAAB</t>
  </si>
  <si>
    <t>Nets @ Magic</t>
  </si>
  <si>
    <t>Under 217</t>
  </si>
  <si>
    <t>Nets +1.5</t>
  </si>
  <si>
    <t>Grizzlies @ Celtics</t>
  </si>
  <si>
    <t>Celtics -11</t>
  </si>
  <si>
    <t>Heat @ Pistons</t>
  </si>
  <si>
    <t>Heat +2</t>
  </si>
  <si>
    <t>Spurs @ Timberwolves</t>
  </si>
  <si>
    <t>Cavaliers @ Jazz</t>
  </si>
  <si>
    <t>Jazz -15.5</t>
  </si>
  <si>
    <t>Warriors @ Clippers</t>
  </si>
  <si>
    <t>Under 242</t>
  </si>
  <si>
    <t>Pelicans @ Trailblazers</t>
  </si>
  <si>
    <t>Pelicans +3</t>
  </si>
  <si>
    <t>D</t>
  </si>
  <si>
    <t>Conference</t>
  </si>
  <si>
    <t>Rams @ Saints</t>
  </si>
  <si>
    <t>Under 56</t>
  </si>
  <si>
    <t>Maryland @ Michigan State</t>
  </si>
  <si>
    <t>Michigan State -9</t>
  </si>
  <si>
    <t>Under 148</t>
  </si>
  <si>
    <t>Virginia Tech @ North Carolina</t>
  </si>
  <si>
    <t>Virginia Tech +4</t>
  </si>
  <si>
    <t>Under 155</t>
  </si>
  <si>
    <t>Iowa State @ Kansas</t>
  </si>
  <si>
    <t>Iowa State +5.5</t>
  </si>
  <si>
    <t>Under 147</t>
  </si>
  <si>
    <t>Nebraska @ Rutgers</t>
  </si>
  <si>
    <t>Nebraska -9</t>
  </si>
  <si>
    <t>Under 135</t>
  </si>
  <si>
    <t>Creighton @ Georgetown</t>
  </si>
  <si>
    <t>Creighton +1.5</t>
  </si>
  <si>
    <t>Under 166</t>
  </si>
  <si>
    <t>Baylor @ West Virginia</t>
  </si>
  <si>
    <t>Baylor +3</t>
  </si>
  <si>
    <t>Under 143</t>
  </si>
  <si>
    <t>Pelicans @ Grizzlies</t>
  </si>
  <si>
    <t>Under 220</t>
  </si>
  <si>
    <t>Heat @ Celtics</t>
  </si>
  <si>
    <t>Celtics -8.5</t>
  </si>
  <si>
    <t>Rockets @ 76ers</t>
  </si>
  <si>
    <t>Under 235</t>
  </si>
  <si>
    <t>Trailblazers @ Jazz</t>
  </si>
  <si>
    <t>Trailblazers +5</t>
  </si>
  <si>
    <t>Warriors @ Lakers</t>
  </si>
  <si>
    <t>Warriors -12.5</t>
  </si>
  <si>
    <t>Trailblazers @ Thunder</t>
  </si>
  <si>
    <t>Trailblazers +6</t>
  </si>
  <si>
    <t>Timberwolves @ Suns</t>
  </si>
  <si>
    <t>Timberwolves -5.5</t>
  </si>
  <si>
    <t>U</t>
  </si>
  <si>
    <t>F</t>
  </si>
  <si>
    <t>O</t>
  </si>
  <si>
    <t>Bet Type</t>
  </si>
  <si>
    <t>Auburn @ South Carolina</t>
  </si>
  <si>
    <t>Auburn -8</t>
  </si>
  <si>
    <t>Clemson @ Florida State</t>
  </si>
  <si>
    <t>Florida State -6</t>
  </si>
  <si>
    <t>Minnesota @ Michigan</t>
  </si>
  <si>
    <t>Michigan -12.5</t>
  </si>
  <si>
    <t>Under 138</t>
  </si>
  <si>
    <t>Mississippi State @ Kentucky</t>
  </si>
  <si>
    <t>Under 145</t>
  </si>
  <si>
    <t>Notre Dame @ Georgia Tech</t>
  </si>
  <si>
    <t>Over 133</t>
  </si>
  <si>
    <t>Saint Peter's @ Niagara</t>
  </si>
  <si>
    <t>Over 140</t>
  </si>
  <si>
    <t>Niagara -3.5</t>
  </si>
  <si>
    <t>Texas Tech @ Kansas State</t>
  </si>
  <si>
    <t>Texas Tech +1</t>
  </si>
  <si>
    <t>Over 120</t>
  </si>
  <si>
    <t>Villanova @ Butler</t>
  </si>
  <si>
    <t>Villanova +1.5</t>
  </si>
  <si>
    <t>Under 142</t>
  </si>
  <si>
    <t>Buffalo @ Northern Illinois</t>
  </si>
  <si>
    <t>Buffalo -8</t>
  </si>
  <si>
    <t>Under 158</t>
  </si>
  <si>
    <t>Georgia Tech +3.5</t>
  </si>
  <si>
    <t>Michigan State -5</t>
  </si>
  <si>
    <t>Under 157</t>
  </si>
  <si>
    <t>Syracuse -8</t>
  </si>
  <si>
    <t>Under 156</t>
  </si>
  <si>
    <t>Murray State -5.5</t>
  </si>
  <si>
    <t>Utah +2.5</t>
  </si>
  <si>
    <t>Washington +2.5</t>
  </si>
  <si>
    <t>Over 131</t>
  </si>
  <si>
    <t>Arizona State +1</t>
  </si>
  <si>
    <t>Michigan State @ Iowa</t>
  </si>
  <si>
    <t>Miami (FL) @ Syracuse</t>
  </si>
  <si>
    <t>North Carolina State @ Louisville</t>
  </si>
  <si>
    <t>Belmont @ Murray State</t>
  </si>
  <si>
    <t>Utah @ Stanford</t>
  </si>
  <si>
    <t>Washington @ Oregon</t>
  </si>
  <si>
    <t>Arizona State @ UCLA</t>
  </si>
  <si>
    <t>Warriors @ Wizards</t>
  </si>
  <si>
    <t>Over 235</t>
  </si>
  <si>
    <t>Warriors -10.5</t>
  </si>
  <si>
    <t>Pelicans @ Thunder</t>
  </si>
  <si>
    <t>Under 233</t>
  </si>
  <si>
    <t>Pelicans +12</t>
  </si>
  <si>
    <t>TrailBlazers @ Suns</t>
  </si>
  <si>
    <t>TrailBlazers -7.5</t>
  </si>
  <si>
    <t>Timberwolves @ Lakers</t>
  </si>
  <si>
    <t>Timberwolves -1.5</t>
  </si>
  <si>
    <t>Buffalo @ Kent State</t>
  </si>
  <si>
    <t>Under 161</t>
  </si>
  <si>
    <t>Michigan @ Indiana</t>
  </si>
  <si>
    <t>Michigan -4.5</t>
  </si>
  <si>
    <t>Under 134</t>
  </si>
  <si>
    <t>Brown @ Yale</t>
  </si>
  <si>
    <t>Yale -7.5</t>
  </si>
  <si>
    <t>Under 152</t>
  </si>
  <si>
    <t>Quinnipiac @ Marist</t>
  </si>
  <si>
    <t>Quinnipiac +2</t>
  </si>
  <si>
    <t>Over 137</t>
  </si>
  <si>
    <t>Rider @ Iona</t>
  </si>
  <si>
    <t>Rider -3</t>
  </si>
  <si>
    <t>Under 172</t>
  </si>
  <si>
    <t>Butler @ Creighton</t>
  </si>
  <si>
    <t>Butler +2.5</t>
  </si>
  <si>
    <t>Under 153</t>
  </si>
  <si>
    <t>Butler Moneyline</t>
  </si>
  <si>
    <t>Duke @ Notre Dame</t>
  </si>
  <si>
    <t>Duke -15</t>
  </si>
  <si>
    <t>Florida A&amp;M @ Morgan State</t>
  </si>
  <si>
    <t>Morgan State -4</t>
  </si>
  <si>
    <t>Baylor @ Oklahoma</t>
  </si>
  <si>
    <t>Oklahoma +5.5</t>
  </si>
  <si>
    <t>Under 139</t>
  </si>
  <si>
    <t>Texas Christian @ Texas Tech</t>
  </si>
  <si>
    <t>Alcorn State @ Alabama A&amp;M</t>
  </si>
  <si>
    <t>Over 121</t>
  </si>
  <si>
    <t>Alabama A&amp;M -3</t>
  </si>
  <si>
    <t>North Carolina Central @ Savannah State</t>
  </si>
  <si>
    <t>North Carolina Central -2.5</t>
  </si>
  <si>
    <t>Over 157</t>
  </si>
  <si>
    <t>VCU @ Duquesne</t>
  </si>
  <si>
    <t>VCU -3.5</t>
  </si>
  <si>
    <t>Monmouth @ Niagara</t>
  </si>
  <si>
    <t>Niagara -2.5</t>
  </si>
  <si>
    <t>Utah Valley @ Chicago State</t>
  </si>
  <si>
    <t>Utah Valley -17.5</t>
  </si>
  <si>
    <t>Mercer @ NC Greensboro</t>
  </si>
  <si>
    <t>NC Greensboro -9</t>
  </si>
  <si>
    <t>Evansville @ Northern Iowa</t>
  </si>
  <si>
    <t>Northern Iowa -5</t>
  </si>
  <si>
    <t>North Dakota State @ Oral Roberts</t>
  </si>
  <si>
    <t>North Dakota State -1.5</t>
  </si>
  <si>
    <t>Farmers Insurance Open 2019</t>
  </si>
  <si>
    <t>Gooch over Ghim</t>
  </si>
  <si>
    <t>Warriors @ Pacers</t>
  </si>
  <si>
    <t>Warriors -7.5</t>
  </si>
  <si>
    <t>Knicks @ Hornets</t>
  </si>
  <si>
    <t>Hornets -12</t>
  </si>
  <si>
    <t>Celtics -9</t>
  </si>
  <si>
    <t>Nuggets @ Grizzlies</t>
  </si>
  <si>
    <t>Nuggets -6</t>
  </si>
  <si>
    <t>Hawks @ Clippers</t>
  </si>
  <si>
    <t>Clippers -6</t>
  </si>
  <si>
    <t>Ohio @ Northern Illinois</t>
  </si>
  <si>
    <t>Over 136</t>
  </si>
  <si>
    <t>Northern Illinois -4.5</t>
  </si>
  <si>
    <t>Tennessee @ South Carolina</t>
  </si>
  <si>
    <t>Tennessee -8.5</t>
  </si>
  <si>
    <t>Under 154</t>
  </si>
  <si>
    <t>Ball State @ Buffalo</t>
  </si>
  <si>
    <t>Buffalo -11</t>
  </si>
  <si>
    <t>Kansas @ Texas</t>
  </si>
  <si>
    <t>Kansas +1</t>
  </si>
  <si>
    <t>Under 141</t>
  </si>
  <si>
    <t>Toledo @ Miami (OH)</t>
  </si>
  <si>
    <t>Toledo -2.5</t>
  </si>
  <si>
    <t>Over 142</t>
  </si>
  <si>
    <t>Boise State @ Colorado State</t>
  </si>
  <si>
    <t>Boise State -2</t>
  </si>
  <si>
    <t>Ohio State @ Michigan</t>
  </si>
  <si>
    <t>Michigan -8.5</t>
  </si>
  <si>
    <t>Marquette @ Butler</t>
  </si>
  <si>
    <t>Marquette +2.5</t>
  </si>
  <si>
    <t>Mississippi @ Florida</t>
  </si>
  <si>
    <t>Florida -5.5</t>
  </si>
  <si>
    <t>American @ Loyola (MD)</t>
  </si>
  <si>
    <t>American -1.5</t>
  </si>
  <si>
    <t>Bradley @ Evansville</t>
  </si>
  <si>
    <t>Over 129</t>
  </si>
  <si>
    <t>Evansville -3</t>
  </si>
  <si>
    <t>Canisius @ Niagara</t>
  </si>
  <si>
    <t>High Point @ Gardner-Webb</t>
  </si>
  <si>
    <t>Gardner-Webb -4.5</t>
  </si>
  <si>
    <t>Maine @ Massachusetts-Lowell</t>
  </si>
  <si>
    <t>Over 143</t>
  </si>
  <si>
    <t>Massachusetts-Lowell -10.5</t>
  </si>
  <si>
    <t>Providence @ Seton Hall</t>
  </si>
  <si>
    <t>South Carolina Upstate @ North Carolina-Asheville</t>
  </si>
  <si>
    <t>South Carolina Upstate -4.5</t>
  </si>
  <si>
    <t>Illinois State @ Drake</t>
  </si>
  <si>
    <t>Drake -5</t>
  </si>
  <si>
    <t>Canisius -1</t>
  </si>
  <si>
    <t>Hornets @ Celtics</t>
  </si>
  <si>
    <t>Celtics -7.5</t>
  </si>
  <si>
    <t>Bulls @ Heat</t>
  </si>
  <si>
    <t>Heat -9.5</t>
  </si>
  <si>
    <t>Mavericks @ Knicks</t>
  </si>
  <si>
    <t>Mavericks -6.5</t>
  </si>
  <si>
    <t>Over 215</t>
  </si>
  <si>
    <t>Nuggets @ Pelicans</t>
  </si>
  <si>
    <t>Nuggets -8</t>
  </si>
  <si>
    <t>Pacers @ Wizards</t>
  </si>
  <si>
    <t>Pacers 0</t>
  </si>
  <si>
    <t>Grizzlies @ Timberwolves</t>
  </si>
  <si>
    <t>Hawks @ Kings</t>
  </si>
  <si>
    <t>v2.0</t>
  </si>
  <si>
    <t>Jazz @ Trailblazers</t>
  </si>
  <si>
    <t>Jazz +1.5</t>
  </si>
  <si>
    <t>V2.0</t>
  </si>
  <si>
    <t>Simplified simulation to NCAA Style</t>
  </si>
  <si>
    <t>Austin Peay @ Tennessee Tech</t>
  </si>
  <si>
    <t>Austin Peay -9</t>
  </si>
  <si>
    <t>Over 144</t>
  </si>
  <si>
    <t>Drexel @ William &amp; Mary</t>
  </si>
  <si>
    <t>Furman @ Citadel</t>
  </si>
  <si>
    <t>Furman -7</t>
  </si>
  <si>
    <t>Iona @ Marist</t>
  </si>
  <si>
    <t>Iona -1</t>
  </si>
  <si>
    <t>Purdue @ Penn State</t>
  </si>
  <si>
    <t>Under 137</t>
  </si>
  <si>
    <t>Wofford @ Mercer</t>
  </si>
  <si>
    <t>Wofford -7</t>
  </si>
  <si>
    <t>Over 145</t>
  </si>
  <si>
    <t>South Dakota State @ Oral Roberts</t>
  </si>
  <si>
    <t>South Dakota State -11</t>
  </si>
  <si>
    <t>Xavier @ Georgetown</t>
  </si>
  <si>
    <t>Xavier +3</t>
  </si>
  <si>
    <t>Drexel +4.5</t>
  </si>
  <si>
    <t>Under 169</t>
  </si>
  <si>
    <t>Purdue -7.5</t>
  </si>
  <si>
    <t>Mavericks @ Pistons</t>
  </si>
  <si>
    <t>Mavericks +5</t>
  </si>
  <si>
    <t>Over 206</t>
  </si>
  <si>
    <t>Pacers @ Magic</t>
  </si>
  <si>
    <t>Pacers +3.5</t>
  </si>
  <si>
    <t>Bucks @ Raptors</t>
  </si>
  <si>
    <t>Bucks +3</t>
  </si>
  <si>
    <t>Nets @ Spurs</t>
  </si>
  <si>
    <t>Spurs -7.5</t>
  </si>
  <si>
    <t>Lakers @ Clippers</t>
  </si>
  <si>
    <t>76ers @ Warriors</t>
  </si>
  <si>
    <t>Warriors -10</t>
  </si>
  <si>
    <t>Under 240</t>
  </si>
  <si>
    <t>Grizzlies @ Hornets</t>
  </si>
  <si>
    <t>Hornets -4.5</t>
  </si>
  <si>
    <t>Hawks @ Jazz</t>
  </si>
  <si>
    <t>Jazz -11.5</t>
  </si>
  <si>
    <t>Pennsylvania @ Cornell</t>
  </si>
  <si>
    <t>Over 139</t>
  </si>
  <si>
    <t>Pennsylvania Moneyline</t>
  </si>
  <si>
    <t>North Dakota @ Western Illinois</t>
  </si>
  <si>
    <t>Over 141</t>
  </si>
  <si>
    <t>Davidson @ St. Bonaventure</t>
  </si>
  <si>
    <t>Davidson -1.5</t>
  </si>
  <si>
    <t>Davidson Moneyline</t>
  </si>
  <si>
    <t>Michigan @ Iowa</t>
  </si>
  <si>
    <t>Michigan -5</t>
  </si>
  <si>
    <t>Michigan Moneyline</t>
  </si>
  <si>
    <t>Quinnipiac @ Canisius</t>
  </si>
  <si>
    <t>Quinnipiac +3.5</t>
  </si>
  <si>
    <t>Quinnipiac Moneyline</t>
  </si>
  <si>
    <t>Buffalo @ Bowling Green State</t>
  </si>
  <si>
    <t>Buffalo Moneyline</t>
  </si>
  <si>
    <t>Milwaukee @ Green Bay</t>
  </si>
  <si>
    <t>Green Bay -7</t>
  </si>
  <si>
    <t>Maryland @ Wisconsin</t>
  </si>
  <si>
    <t>Wisconsin -5</t>
  </si>
  <si>
    <t>Wright State @ Illinois-Chicago</t>
  </si>
  <si>
    <t>Wright State -2</t>
  </si>
  <si>
    <t>Wright State Moneyline</t>
  </si>
  <si>
    <t>Pennsylvania -6</t>
  </si>
  <si>
    <t>Pick em team Sacks</t>
  </si>
  <si>
    <t>CJ Anderson Rushing Yards</t>
  </si>
  <si>
    <t>Superbowl</t>
  </si>
  <si>
    <t>Rams @ Patriots</t>
  </si>
  <si>
    <t>Under 56 / Rams +3</t>
  </si>
  <si>
    <t>Colgate @ Lehigh</t>
  </si>
  <si>
    <t>Louisville @ Virginia Tech</t>
  </si>
  <si>
    <t>Virginia Tech -5</t>
  </si>
  <si>
    <t>Marist @ Canisius</t>
  </si>
  <si>
    <t>Canisius -4.5</t>
  </si>
  <si>
    <t>Penn state @ Northwestern</t>
  </si>
  <si>
    <t>Northwestern -3.5</t>
  </si>
  <si>
    <t>Under 132</t>
  </si>
  <si>
    <t>Arkansas-Pine Bluff @ Jackson State</t>
  </si>
  <si>
    <t>Over 125</t>
  </si>
  <si>
    <t>Jackson State -4.5</t>
  </si>
  <si>
    <t>Iowa State @ Oklahoma</t>
  </si>
  <si>
    <t>Iowa State -3</t>
  </si>
  <si>
    <t>Iowa State Moneyline</t>
  </si>
  <si>
    <t>Under 144</t>
  </si>
  <si>
    <t>Southern Utah @ Idaho</t>
  </si>
  <si>
    <t>Southern Utah -5</t>
  </si>
  <si>
    <t>Over 146</t>
  </si>
  <si>
    <t>Southern Utah Moneyline</t>
  </si>
  <si>
    <t>Percentage</t>
  </si>
  <si>
    <t>Nuggets @ Pistons</t>
  </si>
  <si>
    <t>Nuggets -4</t>
  </si>
  <si>
    <t>Over 210</t>
  </si>
  <si>
    <t>Bucks @ Nets</t>
  </si>
  <si>
    <t>Bucks -7</t>
  </si>
  <si>
    <t>Pacers @ Pelicans</t>
  </si>
  <si>
    <t>Rockets @ Suns</t>
  </si>
  <si>
    <t>Rockets -8.5</t>
  </si>
  <si>
    <t>Spurs @ Kings</t>
  </si>
  <si>
    <t>v2.1</t>
  </si>
  <si>
    <t>Bucks Moneyline</t>
  </si>
  <si>
    <t>Rockets Moneyline</t>
  </si>
  <si>
    <t>V2.1</t>
  </si>
  <si>
    <t xml:space="preserve">Opened up Std Dev. Included PER in score calculation. Included Moneyline bets. </t>
  </si>
  <si>
    <t>Connecticut @ Temple</t>
  </si>
  <si>
    <t>Connecticut +4</t>
  </si>
  <si>
    <t>Connecticut Moneyline</t>
  </si>
  <si>
    <t>Under 149</t>
  </si>
  <si>
    <t>Bucknell @ Loyola (MD)</t>
  </si>
  <si>
    <t>Bucknell -5</t>
  </si>
  <si>
    <t>Clemson @ Georgia Tech</t>
  </si>
  <si>
    <t>Clemson -3.5</t>
  </si>
  <si>
    <t>Over 127</t>
  </si>
  <si>
    <t>George Mason @ Richmond</t>
  </si>
  <si>
    <t>George Mason -1.5</t>
  </si>
  <si>
    <t>George Mason Moneyline</t>
  </si>
  <si>
    <t>Maryland @ Nebraska</t>
  </si>
  <si>
    <t>Nebraska -1.5</t>
  </si>
  <si>
    <t>Notre Dame @ Miami (FL)</t>
  </si>
  <si>
    <t>Notre Dame +3.5</t>
  </si>
  <si>
    <t>Rhode Island @ Davidson</t>
  </si>
  <si>
    <t>Davidson -5</t>
  </si>
  <si>
    <t>St. Bonaventure @ Duquesne</t>
  </si>
  <si>
    <t>Duquesne -2</t>
  </si>
  <si>
    <t>Wisconsin @ Minnesota</t>
  </si>
  <si>
    <t>Wisconsin -3</t>
  </si>
  <si>
    <t>Wisconsin Moneyline</t>
  </si>
  <si>
    <t xml:space="preserve">Changed Std. Dev to conference specific. </t>
  </si>
  <si>
    <t>Nuggets @ Nets</t>
  </si>
  <si>
    <t>Nuggets -2</t>
  </si>
  <si>
    <t>Pelicans @ Bulls</t>
  </si>
  <si>
    <t>Pelicans +1</t>
  </si>
  <si>
    <t>PelicansMoneyline</t>
  </si>
  <si>
    <t>Wizards @ Bucks</t>
  </si>
  <si>
    <t>Bucks -12</t>
  </si>
  <si>
    <t>Hornets @ Mavericks</t>
  </si>
  <si>
    <t>Suns @ Jazz</t>
  </si>
  <si>
    <t>Jazz Moneyline</t>
  </si>
  <si>
    <t>Jazz -14.5</t>
  </si>
  <si>
    <t>Rockets @ Kings</t>
  </si>
  <si>
    <t>Spurs @ Warriors</t>
  </si>
  <si>
    <t>Hornets +5.5</t>
  </si>
  <si>
    <t>Clippers @ Pacers</t>
  </si>
  <si>
    <t>Under 216</t>
  </si>
  <si>
    <t>Clippers +6.5</t>
  </si>
  <si>
    <t>Timberwolves @ Magic</t>
  </si>
  <si>
    <t>Timberwolves +2</t>
  </si>
  <si>
    <t>Timberwolves Moneyline</t>
  </si>
  <si>
    <t>Raptors @ Hawks</t>
  </si>
  <si>
    <t>Raptors -8.5</t>
  </si>
  <si>
    <t>Lakers @ Celtics</t>
  </si>
  <si>
    <t>Grizzlies @ Thunder</t>
  </si>
  <si>
    <t>Thunder -14</t>
  </si>
  <si>
    <t>Spurs @ Trailblazers</t>
  </si>
  <si>
    <t>Spurs +6</t>
  </si>
  <si>
    <t>v1.3.1</t>
  </si>
  <si>
    <t>v1.3 - renumbered to track new record</t>
  </si>
  <si>
    <t>Cavaliers @ Wizards</t>
  </si>
  <si>
    <t>Wizards -9.5</t>
  </si>
  <si>
    <t>Nuggets @ 76ers</t>
  </si>
  <si>
    <t>Nuggets +4</t>
  </si>
  <si>
    <t>Knicks @ Pistons</t>
  </si>
  <si>
    <t>Bulls @ Nets</t>
  </si>
  <si>
    <t>Bucks @ Mavericks</t>
  </si>
  <si>
    <t>Bucks -7.5</t>
  </si>
  <si>
    <t>Warriors @ Suns</t>
  </si>
  <si>
    <t>Timberwolves @ Pelicans</t>
  </si>
  <si>
    <t>Heat @ Kings</t>
  </si>
  <si>
    <t>Kings -3</t>
  </si>
  <si>
    <t>v1.3.2</t>
  </si>
  <si>
    <t>Changed Offense/Defense random variable alteration. Now uses differences in points score/vs opponent points against between 0 and that difference</t>
  </si>
  <si>
    <t>Columbia @ Harvard</t>
  </si>
  <si>
    <t>Over 130</t>
  </si>
  <si>
    <t>Harvard -10.5</t>
  </si>
  <si>
    <t>Cornell @ Dartmouth</t>
  </si>
  <si>
    <t>Over 138</t>
  </si>
  <si>
    <t>Dartmouth -3.5</t>
  </si>
  <si>
    <t>Pennsylvania @ Brown</t>
  </si>
  <si>
    <t>Pennsylvania -1</t>
  </si>
  <si>
    <t>Princeton @ Yale</t>
  </si>
  <si>
    <t>Yale Moneyline</t>
  </si>
  <si>
    <t>Yale -8</t>
  </si>
  <si>
    <t>Quinnipiac @ Iona</t>
  </si>
  <si>
    <t>Quinnipiac +4</t>
  </si>
  <si>
    <t>Saint Louis @ Saint Joseph's</t>
  </si>
  <si>
    <t>Saint Louis -2.5</t>
  </si>
  <si>
    <t>Saint Louis Moneyline</t>
  </si>
  <si>
    <t>Siena @ Manhattan</t>
  </si>
  <si>
    <t>Siena -2.5</t>
  </si>
  <si>
    <t>Over 112</t>
  </si>
  <si>
    <t>Georgia Southern @ Louisiana-Monroe</t>
  </si>
  <si>
    <t>Over 135</t>
  </si>
  <si>
    <t>Georgia State @ Louisiana</t>
  </si>
  <si>
    <t>Georgia State +1</t>
  </si>
  <si>
    <t>Georgia State Moneyline</t>
  </si>
  <si>
    <t>Under 165</t>
  </si>
  <si>
    <t>Kent State @ Akron</t>
  </si>
  <si>
    <t>Akron -4</t>
  </si>
  <si>
    <t>Under 162</t>
  </si>
  <si>
    <t>Georgia Southern Moneyline</t>
  </si>
  <si>
    <t>P</t>
  </si>
  <si>
    <t>San Diego Fleet @ San Antonio Commanders</t>
  </si>
  <si>
    <t>Atlanta Legends @ Orlando Appolos</t>
  </si>
  <si>
    <t>Memphis Express @ Birmingham Iron</t>
  </si>
  <si>
    <t>Salt Lake Stallions @ Arizona Hotshots</t>
  </si>
  <si>
    <t>Over 51.5</t>
  </si>
  <si>
    <t>Hornets @ Pacers</t>
  </si>
  <si>
    <t>Pacers -5.5</t>
  </si>
  <si>
    <t>Knicks @ Cavaliers</t>
  </si>
  <si>
    <t>Wizards @ Pistons</t>
  </si>
  <si>
    <t>Mavericks @ Rockets</t>
  </si>
  <si>
    <t>Rockets -10</t>
  </si>
  <si>
    <t>Over 221</t>
  </si>
  <si>
    <t>Hornets @ Pacers
Knicks @ Cavaliers
Nets @ Raptors
Mavericks @ Rockets</t>
  </si>
  <si>
    <t>Pacers Moneyline
Over 209
Under 227
Rockets Moneyline</t>
  </si>
  <si>
    <t>Lehigh @ Bucknell</t>
  </si>
  <si>
    <t>Lehigh +4.5</t>
  </si>
  <si>
    <t>Over 160</t>
  </si>
  <si>
    <t>Virginia @ North Carolina</t>
  </si>
  <si>
    <t>North Carolina Moneyline</t>
  </si>
  <si>
    <t>North Carolina +1</t>
  </si>
  <si>
    <t>Howard @ Bethune-Cookman</t>
  </si>
  <si>
    <t>Howard +4.5</t>
  </si>
  <si>
    <t>Grambling @ Alcorn State</t>
  </si>
  <si>
    <t>Kansas @ Texas Christian</t>
  </si>
  <si>
    <t>Kansas +2</t>
  </si>
  <si>
    <t>Over 149</t>
  </si>
  <si>
    <t>Portland State @ Sacramento State</t>
  </si>
  <si>
    <t>Portland State +4</t>
  </si>
  <si>
    <t>Nets @ Cavaliers</t>
  </si>
  <si>
    <t>Cavaliers +6.5</t>
  </si>
  <si>
    <t>Bucks @ Pacers</t>
  </si>
  <si>
    <t>Bucks -3.5</t>
  </si>
  <si>
    <t>Pistons @ Celtics</t>
  </si>
  <si>
    <t>Celtics -5</t>
  </si>
  <si>
    <t>76ers @ Knicks</t>
  </si>
  <si>
    <t>Wizards @ Raptors</t>
  </si>
  <si>
    <t>Raptors -11</t>
  </si>
  <si>
    <t>Grizzlies @ Bulls</t>
  </si>
  <si>
    <t>Grizzlies +2.5</t>
  </si>
  <si>
    <t>Grizzlies Moneyline</t>
  </si>
  <si>
    <t>Rockets @ Timberwolves</t>
  </si>
  <si>
    <t>Rockets -3</t>
  </si>
  <si>
    <t>Heat @ Mavericks</t>
  </si>
  <si>
    <t>Mavericks -3</t>
  </si>
  <si>
    <t>Kings @ Nuggets</t>
  </si>
  <si>
    <t>Suns @ Clippers</t>
  </si>
  <si>
    <t>Clippers -9</t>
  </si>
  <si>
    <t>Warriors @ Trailblazers</t>
  </si>
  <si>
    <t>Trailblazers +3</t>
  </si>
  <si>
    <t>Pistons @ Celtics
Wizards @ Raptors
Wizards @ Raptors
Kings @ Nuggets
Suns @ Clippers</t>
  </si>
  <si>
    <t>Celtics -5
Raptors Moneyline
Under 233
Under 231
Clippers Moneyline</t>
  </si>
  <si>
    <t>Providence @ Villanova</t>
  </si>
  <si>
    <t>Providence +10.5</t>
  </si>
  <si>
    <t>Clemson @ Miami (FL)</t>
  </si>
  <si>
    <t>Over 126</t>
  </si>
  <si>
    <t>Lafayette @ Navy</t>
  </si>
  <si>
    <t>Lafayette +3</t>
  </si>
  <si>
    <t>Lafayette Moneyline</t>
  </si>
  <si>
    <t>Southern Methodist @ Temple</t>
  </si>
  <si>
    <t>Wake Forest @ Florida State</t>
  </si>
  <si>
    <t>Wake Forest +18.5</t>
  </si>
  <si>
    <t>Illinois State @ Northern Iowa</t>
  </si>
  <si>
    <t>Illinois State +1</t>
  </si>
  <si>
    <t>Illinois State Moneyline</t>
  </si>
  <si>
    <t>Southern California @ Stanford</t>
  </si>
  <si>
    <t>Southern California +1.5</t>
  </si>
  <si>
    <t>Kent State @ Western Michigan</t>
  </si>
  <si>
    <t>Under 150</t>
  </si>
  <si>
    <t>Drexel @ James Madison</t>
  </si>
  <si>
    <t>Drexel +1</t>
  </si>
  <si>
    <t>Over 147</t>
  </si>
  <si>
    <t>Drexel Moneyline</t>
  </si>
  <si>
    <t>Illinois-Chicago @ Cleveland State</t>
  </si>
  <si>
    <t>Robert Morris @ Mount St. Mary's</t>
  </si>
  <si>
    <t>Over 134</t>
  </si>
  <si>
    <t>South Dakota State @ Omaha</t>
  </si>
  <si>
    <t>South Dakota State -3.5</t>
  </si>
  <si>
    <t>Over 165</t>
  </si>
  <si>
    <t>Murray State @ Austin Peay</t>
  </si>
  <si>
    <t>Over 156</t>
  </si>
  <si>
    <t>Virginia @ Virginia Tech</t>
  </si>
  <si>
    <t>North Carolina Central @ Howard</t>
  </si>
  <si>
    <t>Illinois @ Wisconsin</t>
  </si>
  <si>
    <t>Illinois +9.5</t>
  </si>
  <si>
    <t>Texas Southern @ Jackson State</t>
  </si>
  <si>
    <t>Texas Southern -4.5</t>
  </si>
  <si>
    <t>Texas Southern Moneyline</t>
  </si>
  <si>
    <t>Texas Christian @ Oklahoma State</t>
  </si>
  <si>
    <t>Texas Christian -3</t>
  </si>
  <si>
    <t>V1.2</t>
  </si>
  <si>
    <t>Included score skewing with TS%, TRB%, and TOV%</t>
  </si>
  <si>
    <t>Dayton @ Davidson</t>
  </si>
  <si>
    <t>Dayton +3.5</t>
  </si>
  <si>
    <t>Akron @ Bowling Green State</t>
  </si>
  <si>
    <t>Mississippi @ South Carolina</t>
  </si>
  <si>
    <t>Mississippi -2.5</t>
  </si>
  <si>
    <t>Bradley @ Drake</t>
  </si>
  <si>
    <t>Drake Moneyline</t>
  </si>
  <si>
    <t>Drake -4</t>
  </si>
  <si>
    <t>Maryland @ Iowa</t>
  </si>
  <si>
    <t>Nevada-Las Vegas @ Wyoming</t>
  </si>
  <si>
    <t>Iowa -2</t>
  </si>
  <si>
    <t>Dayton +3.5
Over 133
Over 135
Over 143
Drake -4</t>
  </si>
  <si>
    <t>Dayton @ Davidson
Dayton @ Davidson
Akron @ Bowling Green State
Bradley @ Drake
Bradley @ Drake</t>
  </si>
  <si>
    <t>Villanova @ Georgetown</t>
  </si>
  <si>
    <t>Georgetown +5.5</t>
  </si>
  <si>
    <t>American @ Lafayette</t>
  </si>
  <si>
    <t>Fordham @ Richmond</t>
  </si>
  <si>
    <t>Xavier @ Seton Hall</t>
  </si>
  <si>
    <t>Butler @ Marquette</t>
  </si>
  <si>
    <t>Pittsburgh @ Georgia Tech</t>
  </si>
  <si>
    <t>Pittsburgh +2</t>
  </si>
  <si>
    <t>Over 128</t>
  </si>
  <si>
    <t>Colorado @ Washington State</t>
  </si>
  <si>
    <t>Washington State +4</t>
  </si>
  <si>
    <t>Villanova @ Georgetown
Fordham @ Richmond
Xavier @ Seton Hall
Butler @ Marquette
Pittsburgh @ Georgia Tech
Colorado @ Washington State</t>
  </si>
  <si>
    <t>Georgetown +5.5
Over 136
Over 141
Over 145
Over 128
Over 146</t>
  </si>
  <si>
    <t>Parlay</t>
  </si>
  <si>
    <t>Favorite ML</t>
  </si>
  <si>
    <t>Dog ML</t>
  </si>
  <si>
    <t>MF</t>
  </si>
  <si>
    <t>MD</t>
  </si>
  <si>
    <t>Michigan @ Minnesota</t>
  </si>
  <si>
    <t>Over 132</t>
  </si>
  <si>
    <t>Louisiana-Monroe @ Texas State</t>
  </si>
  <si>
    <t>Louisiana-Monroe +5</t>
  </si>
  <si>
    <t>Eastern Washington @ Southern Utah</t>
  </si>
  <si>
    <t>Southern Utah -2.5</t>
  </si>
  <si>
    <t>Connecticut @ Southern Methodist</t>
  </si>
  <si>
    <t>Connecticut +6.5</t>
  </si>
  <si>
    <t>San Francisco @ Brigham Young</t>
  </si>
  <si>
    <t>Over 148</t>
  </si>
  <si>
    <t>Idaho State @ Portland State</t>
  </si>
  <si>
    <t>Idaho State +6</t>
  </si>
  <si>
    <t>Weber State @ Sacramento State</t>
  </si>
  <si>
    <t>Weber State -2</t>
  </si>
  <si>
    <t>Hawaii @ UC-Santa Barbara</t>
  </si>
  <si>
    <t>Hawaii +3.5</t>
  </si>
  <si>
    <t>Oregon State @ UCLA</t>
  </si>
  <si>
    <t>Over 153</t>
  </si>
  <si>
    <t>v1.6</t>
  </si>
  <si>
    <t>Louisiana-Monroe @ Texas State
Connecticut @ Southern Methodist
Weber State @ Sacramento State
Weber State @ Sacramento State
Hawaii @ UC-Santa Barbara</t>
  </si>
  <si>
    <t>Over 142
Connecticut +6.5
Weber State -2
Over 145
Over 134</t>
  </si>
  <si>
    <t>Suns @ Cavaliers</t>
  </si>
  <si>
    <t>Celtics @ Bucks</t>
  </si>
  <si>
    <t>Rockets @ Lakers</t>
  </si>
  <si>
    <t>Lakers +3</t>
  </si>
  <si>
    <t>Kings @ Warriors</t>
  </si>
  <si>
    <t>Kings +12.5</t>
  </si>
  <si>
    <t>Cavaliers +0</t>
  </si>
  <si>
    <t>Trailblazers @ Nets</t>
  </si>
  <si>
    <t>Removed PER effect, Added in regression equation for efg%, ts% and rb%. Changed Off/Def to fluctuate per respective teams averages</t>
  </si>
  <si>
    <t>Over 239</t>
  </si>
  <si>
    <t>Bowling Green State @ Ohio</t>
  </si>
  <si>
    <t>Bowling Green State -4.5</t>
  </si>
  <si>
    <t>Harvard @ Brown</t>
  </si>
  <si>
    <t>Iona @ Manhattan</t>
  </si>
  <si>
    <t>Saint Peter's @ Marist</t>
  </si>
  <si>
    <t>Cornell @ Princeton</t>
  </si>
  <si>
    <t>Cornell +7</t>
  </si>
  <si>
    <t>Green Bay @ Illinois-Chicago</t>
  </si>
  <si>
    <t>Green Bay +4.5</t>
  </si>
  <si>
    <t>Under 159</t>
  </si>
  <si>
    <t>Indiana @ Iowa</t>
  </si>
  <si>
    <t>Indiana +7.5</t>
  </si>
  <si>
    <t>Bulls @ Magic</t>
  </si>
  <si>
    <t>Bulls +8</t>
  </si>
  <si>
    <t>Pelicans @ Pacers</t>
  </si>
  <si>
    <t>Pacers -6.5</t>
  </si>
  <si>
    <t>Spurs @ Raptors</t>
  </si>
  <si>
    <t>Wizards @ Hornets</t>
  </si>
  <si>
    <t>Hornets -5</t>
  </si>
  <si>
    <t>Timberwolves @ Knicks</t>
  </si>
  <si>
    <t>Clippers @ Grizzlies</t>
  </si>
  <si>
    <t>Jazz @ Thunder</t>
  </si>
  <si>
    <t>Jazz +4.5</t>
  </si>
  <si>
    <t>Bulls @ Magic
Spurs @ Raptors
Timberwolves @ Knicks
Jazz @ Thunder</t>
  </si>
  <si>
    <t>Bulls +8
Under 227
Over 221
Jazz +4.5</t>
  </si>
  <si>
    <t>Super Bowl</t>
  </si>
  <si>
    <t>Changed score skewing to use regression coeff. With TS, eFG, TRB and TOV. Skew comes into play to "normalize" MoV closer to regression predicted. Initial score prediction based solely on O-Rtg, Pace and SRS</t>
  </si>
  <si>
    <t>Cash Flow</t>
  </si>
  <si>
    <t>Type</t>
  </si>
  <si>
    <t>Hit F9 to Caculate Odds</t>
  </si>
  <si>
    <t>Individual Lines</t>
  </si>
  <si>
    <t>Duke @ Virginia Tech</t>
  </si>
  <si>
    <t>Duke -4</t>
  </si>
  <si>
    <t>Iowa @ Ohio State</t>
  </si>
  <si>
    <t>Iowa +3</t>
  </si>
  <si>
    <t>Syracuse @ North Carolina</t>
  </si>
  <si>
    <t>Texas A&amp;M @ Louisiana State</t>
  </si>
  <si>
    <t>Wisconsin @ Indiana</t>
  </si>
  <si>
    <t>Wisconsin -1.5</t>
  </si>
  <si>
    <t>Over 124</t>
  </si>
  <si>
    <t>Magic @ Knicks</t>
  </si>
  <si>
    <t>Knicks +7.5</t>
  </si>
  <si>
    <t>Celtics @ Raptors</t>
  </si>
  <si>
    <t>Thunder @ Nuggets</t>
  </si>
  <si>
    <t>Under 238</t>
  </si>
  <si>
    <t>Nuggets -3</t>
  </si>
  <si>
    <t>Rockets @ Hornets</t>
  </si>
  <si>
    <t>Hornets +5</t>
  </si>
  <si>
    <t>Warriors @ Heat</t>
  </si>
  <si>
    <t>Heat +9</t>
  </si>
  <si>
    <t>Timberwolves @ Hawks</t>
  </si>
  <si>
    <t>Under 237</t>
  </si>
  <si>
    <t>Trailblazers @ Celtics</t>
  </si>
  <si>
    <t>Wizards @ Nets</t>
  </si>
  <si>
    <t>Nets -5.5</t>
  </si>
  <si>
    <t>Bulls @ Grizzlies</t>
  </si>
  <si>
    <t>Grizzlies -3</t>
  </si>
  <si>
    <t>Pistons @ Spurs</t>
  </si>
  <si>
    <t>Pacers @ Mavericks</t>
  </si>
  <si>
    <t>Mavericks +1</t>
  </si>
  <si>
    <t>Clippers @ Jazz</t>
  </si>
  <si>
    <t>Bucks @ Kings</t>
  </si>
  <si>
    <t>Timberwolves @ Pacers</t>
  </si>
  <si>
    <t>Pacers -3.5</t>
  </si>
  <si>
    <t>Cavaliers @ Knicks</t>
  </si>
  <si>
    <t>Knicks -3</t>
  </si>
  <si>
    <t>Heat @ Rockets</t>
  </si>
  <si>
    <t>Heat +9.5</t>
  </si>
  <si>
    <t>Jazz @ Nuggets</t>
  </si>
  <si>
    <t>Jazz +7</t>
  </si>
  <si>
    <t>76ers @ Thunder</t>
  </si>
  <si>
    <t>Robert Morris @ Sacred Heart</t>
  </si>
  <si>
    <t>Connecticut @ Wichita State</t>
  </si>
  <si>
    <t>Connecticut +4.5</t>
  </si>
  <si>
    <t>Hofstra @ Drexel</t>
  </si>
  <si>
    <t>Hofstra -7</t>
  </si>
  <si>
    <t>Mercer @ VMI</t>
  </si>
  <si>
    <t>Mercer -5</t>
  </si>
  <si>
    <t>Northeastern @ Delaware</t>
  </si>
  <si>
    <t>Northeastern -4.5</t>
  </si>
  <si>
    <t>Wofford @ Chattanooga</t>
  </si>
  <si>
    <t>Wofford -13</t>
  </si>
  <si>
    <t>Coastal Carolina @ Louisiana</t>
  </si>
  <si>
    <t>Coastal Carolina +4.5</t>
  </si>
  <si>
    <t>Arizona State @ Oregon</t>
  </si>
  <si>
    <t>Arizona State +3</t>
  </si>
  <si>
    <t>Western Illinois @ Denver</t>
  </si>
  <si>
    <t>Western Illinois +3</t>
  </si>
  <si>
    <t>Mavericks @ Nets</t>
  </si>
  <si>
    <t>Nuggets @ Spurs</t>
  </si>
  <si>
    <t>Pelicans @ Jazz</t>
  </si>
  <si>
    <t>Knicks @ Kings</t>
  </si>
  <si>
    <t>Knicks +11.5</t>
  </si>
  <si>
    <t>Clippers @ Lakers</t>
  </si>
  <si>
    <t>Bulls @ Pacers</t>
  </si>
  <si>
    <t>Magic @ 76ers</t>
  </si>
  <si>
    <t>76ers -3.5</t>
  </si>
  <si>
    <t>Rockets @ Raptors</t>
  </si>
  <si>
    <t>Raptors -3</t>
  </si>
  <si>
    <t>Thunder @ Timberwolves</t>
  </si>
  <si>
    <t>Thunder +1</t>
  </si>
  <si>
    <t>Trailblazers @ Grizzlies</t>
  </si>
  <si>
    <t>Grizzlies +6</t>
  </si>
  <si>
    <t>Celtics @ Warriors</t>
  </si>
  <si>
    <t>Celtics +8</t>
  </si>
  <si>
    <t>Xavier @ Butler</t>
  </si>
  <si>
    <t>Xavier +4</t>
  </si>
  <si>
    <t>Bowling Green State @ Akron</t>
  </si>
  <si>
    <t>Virginia Tech @ Florida State</t>
  </si>
  <si>
    <t>Miami (FL) @ Pittsburgh</t>
  </si>
  <si>
    <t>Pittsburgh +6</t>
  </si>
  <si>
    <t>Auburn @ Alabama</t>
  </si>
  <si>
    <t>Auburn -2.5</t>
  </si>
  <si>
    <t>Kentucky @ Mississippi</t>
  </si>
  <si>
    <t>Kentucky -5</t>
  </si>
  <si>
    <t>Utah State @ Colorado State</t>
  </si>
  <si>
    <t>Utah State -7.5</t>
  </si>
  <si>
    <t>Mavericks @ Wizards</t>
  </si>
  <si>
    <t>Mavericks +6.5</t>
  </si>
  <si>
    <t>Heat @ Hornets</t>
  </si>
  <si>
    <t>Heat +3.5</t>
  </si>
  <si>
    <t>Timberwolves @ Pistons</t>
  </si>
  <si>
    <t>Pistons -5.5</t>
  </si>
  <si>
    <t>76ers @ Bulls</t>
  </si>
  <si>
    <t>Jazz @ Pelicans</t>
  </si>
  <si>
    <t>Knicks @ Suns</t>
  </si>
  <si>
    <t>Knicks +4</t>
  </si>
  <si>
    <t>Celtics @ Kings</t>
  </si>
  <si>
    <t>Celtics -2</t>
  </si>
  <si>
    <t>Nuggets @ Lakers</t>
  </si>
  <si>
    <t>Mavericks @ Wizards
Knicks @ Suns
Celtics @ Kings
Nuggets @ Lakers</t>
  </si>
  <si>
    <t>Mavericks +6.5
Knicks +4
Under 228
Under 229</t>
  </si>
  <si>
    <t>Long Island University @ Sacred Heart</t>
  </si>
  <si>
    <t>Long Island University +4.5</t>
  </si>
  <si>
    <t>Marquette @ Seton Hall</t>
  </si>
  <si>
    <t>Marquette -3</t>
  </si>
  <si>
    <t>Missouri @ Georgia</t>
  </si>
  <si>
    <t>Missouri +4</t>
  </si>
  <si>
    <t>Bryant @ Saint Francis (PA)</t>
  </si>
  <si>
    <t>Bryant +8.5</t>
  </si>
  <si>
    <t>Over 152</t>
  </si>
  <si>
    <t>George Washington @ Fordham</t>
  </si>
  <si>
    <t>George Washington +4.5</t>
  </si>
  <si>
    <t>Iowa State @ West Virginia</t>
  </si>
  <si>
    <t>Iowa State -5.5</t>
  </si>
  <si>
    <t>Under 146</t>
  </si>
  <si>
    <t>Southern Mississippi @ Old Dominion</t>
  </si>
  <si>
    <t>Southern Mississippi +6</t>
  </si>
  <si>
    <t>St. Bonaventure @ Davidson</t>
  </si>
  <si>
    <t>Oregon @ Washington State</t>
  </si>
  <si>
    <t>Oregon -6.5</t>
  </si>
  <si>
    <t>Oregon Moneyline</t>
  </si>
  <si>
    <t>Marquette -3
Saint Francis (PA) Moneyline
Iowa State -5.5
Davidson Moneyline
Creighton Moneyline
Oregon -6.5</t>
  </si>
  <si>
    <t>Marquette @ Seton Hall
Bryant @ Saint Francis (PA)
Iowa State @ West Virginia
St. Bonaventure @ Davidson
Providence @ Creighton
Oregon @ Washington State</t>
  </si>
  <si>
    <t>Cavaliers @ 76ers</t>
  </si>
  <si>
    <t>Cavaliers +15</t>
  </si>
  <si>
    <t>Knicks @ Pacers</t>
  </si>
  <si>
    <t>Bucks @ Pelicans</t>
  </si>
  <si>
    <t>Pelicans +11</t>
  </si>
  <si>
    <t>Mavericks +4.5</t>
  </si>
  <si>
    <t>Timberwolves @ Nuggets</t>
  </si>
  <si>
    <t>Nuggets -9</t>
  </si>
  <si>
    <t>Bucks @ Pelicans
Bucks @ Pelicans
Spurs @ Mavericks
Timberwolves @ Nuggets
Timberwolves @ Nuggets</t>
  </si>
  <si>
    <t>Pelicans +11
Under 236
Mavericks +4.5
Nuggets -9
Under 229</t>
  </si>
  <si>
    <t>Magic @ Wizards</t>
  </si>
  <si>
    <t>Magic +2</t>
  </si>
  <si>
    <t>Nets @ Thunder</t>
  </si>
  <si>
    <t>Nets +7</t>
  </si>
  <si>
    <t>Pistons @ Heat</t>
  </si>
  <si>
    <t>Heat -1.5</t>
  </si>
  <si>
    <t>Warriors @ Rockets</t>
  </si>
  <si>
    <t>Warriors +3.5</t>
  </si>
  <si>
    <t>Jazz @ Suns</t>
  </si>
  <si>
    <t>Suns +8.5</t>
  </si>
  <si>
    <t>Jazz @ Suns
Warriors @ Rockets
Magic @ Wizards
Nets @ Thunder
Nets @ Thunder</t>
  </si>
  <si>
    <t>Jazz Moneyline
Warriors +3.5
Under 227
Under 232
Nets +7</t>
  </si>
  <si>
    <t>Cavaliers @ Magic</t>
  </si>
  <si>
    <t>Magic Moneyline</t>
  </si>
  <si>
    <t>Thunder @ Pacers</t>
  </si>
  <si>
    <t>Pacers -1</t>
  </si>
  <si>
    <t>Kings @ Celtics</t>
  </si>
  <si>
    <t>Celtics Moneyline</t>
  </si>
  <si>
    <t>Lakers @ Raptors</t>
  </si>
  <si>
    <t>Timberwolves @ Jazz</t>
  </si>
  <si>
    <t>Jazz -8</t>
  </si>
  <si>
    <t>V1.6</t>
  </si>
  <si>
    <t>wizards</t>
  </si>
  <si>
    <t>pistons</t>
  </si>
  <si>
    <t>bucks</t>
  </si>
  <si>
    <t>heat</t>
  </si>
  <si>
    <t>rockets</t>
  </si>
  <si>
    <t>spurs</t>
  </si>
  <si>
    <t>bulls</t>
  </si>
  <si>
    <t>clippers</t>
  </si>
  <si>
    <t>Hornets @ Wizards</t>
  </si>
  <si>
    <t>Lakers @ Pistons</t>
  </si>
  <si>
    <t>Lakers +11</t>
  </si>
  <si>
    <t>Heat +5</t>
  </si>
  <si>
    <t>Trailblazers @ Pelicans</t>
  </si>
  <si>
    <t>Pelicans +7.5</t>
  </si>
  <si>
    <t>Knicks @ Spurs</t>
  </si>
  <si>
    <t>Knicks +13.5</t>
  </si>
  <si>
    <t>Bulls @ Clippers</t>
  </si>
  <si>
    <t>Bulls +9</t>
  </si>
  <si>
    <t>cavs</t>
  </si>
  <si>
    <t>mavs</t>
  </si>
  <si>
    <t>nuggets</t>
  </si>
  <si>
    <t>magic</t>
  </si>
  <si>
    <t>Maryland @ LSU</t>
  </si>
  <si>
    <t>Wofford @ Kentucky</t>
  </si>
  <si>
    <t>Wofford Moneyline</t>
  </si>
  <si>
    <t>Florida @ Michigan</t>
  </si>
  <si>
    <t>Michigan -6</t>
  </si>
  <si>
    <t>Murray State @ Florida State</t>
  </si>
  <si>
    <t>Florida State -4.5</t>
  </si>
  <si>
    <t>Villanova @ Purdue</t>
  </si>
  <si>
    <t>Purdue -3.5</t>
  </si>
  <si>
    <t>Minnesota @ Michigan State</t>
  </si>
  <si>
    <t>Minnesota +10.5</t>
  </si>
  <si>
    <t>Iowa @ Tennessee</t>
  </si>
  <si>
    <t>Iowa +8</t>
  </si>
  <si>
    <t>Washington @ North Carolina</t>
  </si>
  <si>
    <t>Washington +12</t>
  </si>
  <si>
    <t>Buffaloa @ Texas Tech</t>
  </si>
  <si>
    <t>Texas Tech -3.5</t>
  </si>
  <si>
    <t>Liberty @ Virginia Tech</t>
  </si>
  <si>
    <t>Virginia Tech -8.5</t>
  </si>
  <si>
    <t>Central Florida @ Duke</t>
  </si>
  <si>
    <t>Duke -13.5</t>
  </si>
  <si>
    <t>Oklahoma @ Virginia</t>
  </si>
  <si>
    <t>Oklahoma +10.5</t>
  </si>
  <si>
    <t>Cal Irvine @ Oregon</t>
  </si>
  <si>
    <t>Cal Irvine +5</t>
  </si>
  <si>
    <t>Under 127</t>
  </si>
  <si>
    <t>Magic</t>
  </si>
  <si>
    <t>76ers @ Magic</t>
  </si>
  <si>
    <t>Thunder @ Grizzlies</t>
  </si>
  <si>
    <t>Grizzlies +7</t>
  </si>
  <si>
    <t>Suns +15</t>
  </si>
  <si>
    <t>Nets @ Trailblazers</t>
  </si>
  <si>
    <t>Nets +6.5</t>
  </si>
  <si>
    <t>raptors</t>
  </si>
  <si>
    <t>Cavaliers</t>
  </si>
  <si>
    <t>Spurs</t>
  </si>
  <si>
    <t>Raptors</t>
  </si>
  <si>
    <t>Bulls</t>
  </si>
  <si>
    <t>Heat</t>
  </si>
  <si>
    <t>Bucks</t>
  </si>
  <si>
    <t>Rockets</t>
  </si>
  <si>
    <t>+3.5</t>
  </si>
  <si>
    <t>Clippers</t>
  </si>
  <si>
    <t>Mavericks</t>
  </si>
  <si>
    <t>Nuggets</t>
  </si>
  <si>
    <t>Pistons</t>
  </si>
  <si>
    <t>+7.5</t>
  </si>
  <si>
    <t>Wizards</t>
  </si>
  <si>
    <t>Celtics @ Cavaliers</t>
  </si>
  <si>
    <t>Spurs @ Hornets</t>
  </si>
  <si>
    <t>Hornets +4</t>
  </si>
  <si>
    <t>Magic @ Heat</t>
  </si>
  <si>
    <t>Over 205</t>
  </si>
  <si>
    <t>Heat -4.5</t>
  </si>
  <si>
    <t>Rockets @ Bucks</t>
  </si>
  <si>
    <t>Clippers @ Timberwolves</t>
  </si>
  <si>
    <t>Kings @ Mavericks</t>
  </si>
  <si>
    <t>Mavericks +1.5</t>
  </si>
  <si>
    <t>Wizards @ Lakers</t>
  </si>
  <si>
    <t>Lakers -2</t>
  </si>
  <si>
    <t>warriors</t>
  </si>
  <si>
    <t>grizz</t>
  </si>
  <si>
    <t>pacers</t>
  </si>
  <si>
    <t>thunder</t>
  </si>
  <si>
    <t>blazers</t>
  </si>
  <si>
    <t>jazz</t>
  </si>
  <si>
    <t>knicks</t>
  </si>
  <si>
    <t>Grizzlies</t>
  </si>
  <si>
    <t>Warriors</t>
  </si>
  <si>
    <t>+10.5</t>
  </si>
  <si>
    <t>Thunder</t>
  </si>
  <si>
    <t>Pacers</t>
  </si>
  <si>
    <t>+6.5</t>
  </si>
  <si>
    <t>Trailblazers</t>
  </si>
  <si>
    <t>+9</t>
  </si>
  <si>
    <t>Jazz</t>
  </si>
  <si>
    <t>+16</t>
  </si>
  <si>
    <t>Knicks</t>
  </si>
  <si>
    <t>+12</t>
  </si>
  <si>
    <t>+13</t>
  </si>
  <si>
    <t>Warriors @ Grizzlies</t>
  </si>
  <si>
    <t>Grizzlies +10.5</t>
  </si>
  <si>
    <t>Pacers @ Thunder</t>
  </si>
  <si>
    <t>Over 217</t>
  </si>
  <si>
    <t>Trailblazers @ Bulls</t>
  </si>
  <si>
    <t>Mavericks @ Heat</t>
  </si>
  <si>
    <t>Raptors @ Knicks</t>
  </si>
  <si>
    <t>Clippers @ Bucks</t>
  </si>
  <si>
    <t>Florida State @ Gonzaga</t>
  </si>
  <si>
    <t>Gonzaga -7</t>
  </si>
  <si>
    <t>Texas Tech @ Michigan</t>
  </si>
  <si>
    <t>Michigan -2</t>
  </si>
  <si>
    <t>Lousiana State @ Michigan State</t>
  </si>
  <si>
    <t>Michigan State -6.5</t>
  </si>
  <si>
    <t>Auburn @ North Carolina</t>
  </si>
  <si>
    <t>North Carolina +9.5</t>
  </si>
  <si>
    <t>Houston @ Kentucky</t>
  </si>
  <si>
    <t>Houston +2</t>
  </si>
  <si>
    <t>Texas Tech @ Gonzaga</t>
  </si>
  <si>
    <t>Texas Tech +4.5</t>
  </si>
  <si>
    <t>Purdue @ Virginia</t>
  </si>
  <si>
    <t>Virginia -4.5</t>
  </si>
  <si>
    <t>Auburn @ Kentucky</t>
  </si>
  <si>
    <t>Auburn +4.5</t>
  </si>
  <si>
    <t>Auburn @ Kentucky
Auburn @ Kentucky</t>
  </si>
  <si>
    <t>Auburn +4.5
Over 143</t>
  </si>
  <si>
    <t>Michigan State @ Duke</t>
  </si>
  <si>
    <t>Duke 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</si>
</sst>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4" fillId="2" borderId="0" xfId="0" applyFont="1" applyFill="1"/>
    <xf numFmtId="0" fontId="2" fillId="2" borderId="0" xfId="0" applyFont="1" applyFill="1"/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quotePrefix="1" applyFill="1"/>
    <xf numFmtId="10" fontId="0" fillId="0" borderId="7" xfId="2" applyNumberFormat="1" applyFont="1" applyBorder="1" applyAlignment="1">
      <alignment horizontal="center"/>
    </xf>
    <xf numFmtId="0" fontId="0" fillId="0" borderId="0" xfId="0" quotePrefix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4" fontId="0" fillId="2" borderId="4" xfId="2" applyNumberFormat="1" applyFont="1" applyFill="1" applyBorder="1" applyAlignment="1">
      <alignment horizontal="center" vertical="center"/>
    </xf>
    <xf numFmtId="164" fontId="0" fillId="2" borderId="6" xfId="2" applyNumberFormat="1" applyFont="1" applyFill="1" applyBorder="1" applyAlignment="1">
      <alignment horizontal="center" vertical="center"/>
    </xf>
    <xf numFmtId="164" fontId="0" fillId="2" borderId="5" xfId="2" applyNumberFormat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/>
    </xf>
    <xf numFmtId="164" fontId="0" fillId="2" borderId="6" xfId="2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1" applyNumberFormat="1" applyFont="1" applyAlignment="1">
      <alignment vertical="center"/>
    </xf>
    <xf numFmtId="165" fontId="0" fillId="0" borderId="7" xfId="1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2" borderId="0" xfId="0" applyFill="1" applyAlignment="1">
      <alignment horizontal="center"/>
    </xf>
    <xf numFmtId="9" fontId="4" fillId="2" borderId="0" xfId="2" applyFont="1" applyFill="1"/>
    <xf numFmtId="9" fontId="9" fillId="2" borderId="0" xfId="2" applyFont="1" applyFill="1" applyAlignment="1">
      <alignment horizontal="center"/>
    </xf>
    <xf numFmtId="0" fontId="10" fillId="0" borderId="0" xfId="1" applyNumberFormat="1" applyFont="1" applyAlignment="1">
      <alignment vertical="center"/>
    </xf>
    <xf numFmtId="0" fontId="8" fillId="0" borderId="7" xfId="0" applyFont="1" applyBorder="1" applyAlignment="1">
      <alignment horizontal="center"/>
    </xf>
    <xf numFmtId="44" fontId="0" fillId="0" borderId="0" xfId="1" applyNumberFormat="1" applyFont="1" applyAlignment="1">
      <alignment vertical="center"/>
    </xf>
    <xf numFmtId="0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5" xfId="2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4" fontId="0" fillId="4" borderId="6" xfId="2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0" fillId="5" borderId="6" xfId="2" applyNumberFormat="1" applyFont="1" applyFill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4" fontId="0" fillId="0" borderId="7" xfId="2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1" applyNumberFormat="1" applyFont="1" applyAlignment="1">
      <alignment vertical="center"/>
    </xf>
    <xf numFmtId="0" fontId="4" fillId="0" borderId="0" xfId="0" applyFont="1"/>
    <xf numFmtId="14" fontId="0" fillId="0" borderId="0" xfId="0" applyNumberFormat="1" applyAlignment="1">
      <alignment horizontal="center"/>
    </xf>
    <xf numFmtId="0" fontId="14" fillId="0" borderId="0" xfId="1" applyNumberFormat="1" applyFont="1" applyAlignment="1">
      <alignment vertical="center"/>
    </xf>
    <xf numFmtId="0" fontId="15" fillId="0" borderId="0" xfId="1" applyNumberFormat="1" applyFont="1" applyAlignment="1">
      <alignment vertical="center"/>
    </xf>
    <xf numFmtId="0" fontId="8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7" xfId="2" applyNumberFormat="1" applyFont="1" applyBorder="1" applyAlignment="1">
      <alignment horizontal="center"/>
    </xf>
    <xf numFmtId="0" fontId="8" fillId="10" borderId="11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165" fontId="0" fillId="10" borderId="4" xfId="1" applyNumberFormat="1" applyFont="1" applyFill="1" applyBorder="1" applyAlignment="1">
      <alignment horizontal="center" vertical="center"/>
    </xf>
    <xf numFmtId="164" fontId="0" fillId="10" borderId="5" xfId="2" applyNumberFormat="1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64" fontId="0" fillId="10" borderId="6" xfId="2" applyNumberFormat="1" applyFont="1" applyFill="1" applyBorder="1" applyAlignment="1">
      <alignment horizontal="center" vertical="center"/>
    </xf>
    <xf numFmtId="165" fontId="0" fillId="6" borderId="5" xfId="2" applyNumberFormat="1" applyFont="1" applyFill="1" applyBorder="1" applyAlignment="1">
      <alignment horizontal="center" vertical="center"/>
    </xf>
    <xf numFmtId="165" fontId="0" fillId="4" borderId="5" xfId="2" applyNumberFormat="1" applyFont="1" applyFill="1" applyBorder="1" applyAlignment="1">
      <alignment horizontal="center" vertical="center"/>
    </xf>
    <xf numFmtId="165" fontId="0" fillId="5" borderId="5" xfId="2" applyNumberFormat="1" applyFont="1" applyFill="1" applyBorder="1" applyAlignment="1">
      <alignment horizontal="center" vertical="center"/>
    </xf>
    <xf numFmtId="165" fontId="0" fillId="10" borderId="5" xfId="2" applyNumberFormat="1" applyFon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9" fontId="0" fillId="0" borderId="0" xfId="2" applyFont="1" applyFill="1"/>
    <xf numFmtId="165" fontId="0" fillId="0" borderId="0" xfId="0" applyNumberFormat="1" applyFill="1" applyAlignment="1">
      <alignment horizontal="right"/>
    </xf>
    <xf numFmtId="0" fontId="0" fillId="0" borderId="14" xfId="0" applyBorder="1" applyAlignment="1">
      <alignment horizontal="center"/>
    </xf>
    <xf numFmtId="0" fontId="11" fillId="0" borderId="0" xfId="0" applyFont="1"/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4" fontId="0" fillId="0" borderId="7" xfId="2" applyNumberFormat="1" applyFont="1" applyBorder="1" applyAlignment="1">
      <alignment horizontal="center"/>
    </xf>
    <xf numFmtId="0" fontId="16" fillId="0" borderId="0" xfId="1" applyNumberFormat="1" applyFont="1" applyAlignment="1">
      <alignment vertical="center"/>
    </xf>
    <xf numFmtId="165" fontId="6" fillId="0" borderId="0" xfId="0" applyNumberFormat="1" applyFont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8" fillId="12" borderId="11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165" fontId="0" fillId="12" borderId="4" xfId="1" applyNumberFormat="1" applyFont="1" applyFill="1" applyBorder="1" applyAlignment="1">
      <alignment horizontal="center" vertical="center"/>
    </xf>
    <xf numFmtId="165" fontId="0" fillId="12" borderId="5" xfId="2" applyNumberFormat="1" applyFont="1" applyFill="1" applyBorder="1" applyAlignment="1">
      <alignment horizontal="center" vertical="center"/>
    </xf>
    <xf numFmtId="0" fontId="19" fillId="0" borderId="0" xfId="1" applyNumberFormat="1" applyFont="1" applyAlignment="1">
      <alignment vertical="center"/>
    </xf>
    <xf numFmtId="165" fontId="0" fillId="0" borderId="0" xfId="0" applyNumberFormat="1"/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0" fillId="0" borderId="0" xfId="1" applyNumberFormat="1" applyFont="1" applyAlignment="1">
      <alignment vertical="center"/>
    </xf>
    <xf numFmtId="9" fontId="0" fillId="0" borderId="0" xfId="2" applyFont="1"/>
    <xf numFmtId="1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3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7" xfId="2" applyNumberFormat="1" applyFont="1" applyBorder="1" applyAlignment="1">
      <alignment horizontal="center"/>
    </xf>
    <xf numFmtId="0" fontId="21" fillId="0" borderId="0" xfId="1" applyNumberFormat="1" applyFont="1" applyAlignment="1">
      <alignment vertical="center"/>
    </xf>
    <xf numFmtId="0" fontId="6" fillId="0" borderId="7" xfId="0" applyFont="1" applyBorder="1"/>
    <xf numFmtId="0" fontId="2" fillId="0" borderId="0" xfId="0" applyFont="1" applyAlignment="1">
      <alignment vertical="center"/>
    </xf>
    <xf numFmtId="164" fontId="0" fillId="6" borderId="6" xfId="2" applyNumberFormat="1" applyFont="1" applyFill="1" applyBorder="1" applyAlignment="1">
      <alignment horizontal="center" vertical="center"/>
    </xf>
    <xf numFmtId="164" fontId="0" fillId="12" borderId="6" xfId="2" applyNumberFormat="1" applyFont="1" applyFill="1" applyBorder="1" applyAlignment="1">
      <alignment horizontal="center" vertical="center"/>
    </xf>
    <xf numFmtId="164" fontId="0" fillId="12" borderId="5" xfId="2" applyNumberFormat="1" applyFon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left"/>
    </xf>
    <xf numFmtId="14" fontId="4" fillId="0" borderId="0" xfId="0" applyNumberFormat="1" applyFont="1" applyAlignment="1">
      <alignment horizontal="center"/>
    </xf>
    <xf numFmtId="0" fontId="23" fillId="0" borderId="0" xfId="0" applyFont="1" applyAlignment="1">
      <alignment horizontal="center" wrapText="1"/>
    </xf>
    <xf numFmtId="0" fontId="25" fillId="0" borderId="0" xfId="1" applyNumberFormat="1" applyFont="1" applyAlignment="1">
      <alignment vertical="center"/>
    </xf>
    <xf numFmtId="0" fontId="0" fillId="0" borderId="0" xfId="0" applyAlignment="1">
      <alignment horizontal="right"/>
    </xf>
    <xf numFmtId="9" fontId="0" fillId="0" borderId="0" xfId="2" applyFont="1" applyAlignment="1">
      <alignment horizontal="left"/>
    </xf>
    <xf numFmtId="0" fontId="11" fillId="0" borderId="0" xfId="0" applyFont="1" applyFill="1"/>
    <xf numFmtId="9" fontId="17" fillId="0" borderId="0" xfId="2" applyFont="1"/>
    <xf numFmtId="44" fontId="0" fillId="0" borderId="0" xfId="1" applyNumberFormat="1" applyFont="1" applyAlignment="1">
      <alignment vertical="center" wrapText="1"/>
    </xf>
    <xf numFmtId="0" fontId="12" fillId="3" borderId="8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11" borderId="8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64" fontId="0" fillId="0" borderId="7" xfId="2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3" fillId="0" borderId="5" xfId="2" applyFont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61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21" formatCode="d\-mmm"/>
      <alignment horizontal="left" vertical="center" textRotation="0" wrapText="0" indent="0" justifyLastLine="0" shrinkToFit="0" readingOrder="0"/>
    </dxf>
    <dxf>
      <numFmt numFmtId="21" formatCode="d\-mmm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65" formatCode="&quot;$&quot;#,##0.00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21" formatCode="d\-mmm"/>
      <alignment vertical="center" textRotation="0" indent="0" justifyLastLine="0" shrinkToFit="0" readingOrder="0"/>
    </dxf>
    <dxf>
      <numFmt numFmtId="21" formatCode="d\-mmm"/>
      <alignment horizontal="center" vertical="center" textRotation="0" wrapText="0" indent="0" justifyLastLine="0" shrinkToFit="0" readingOrder="0"/>
    </dxf>
    <dxf>
      <numFmt numFmtId="21" formatCode="d\-mmm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0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0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top style="thin">
          <color auto="1"/>
        </top>
        <vertical/>
        <horizontal/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65" formatCode="&quot;$&quot;#,##0.00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21" formatCode="d\-mmm"/>
      <alignment vertical="center" textRotation="0" indent="0" justifyLastLine="0" shrinkToFit="0" readingOrder="0"/>
    </dxf>
    <dxf>
      <numFmt numFmtId="21" formatCode="d\-mmm"/>
      <alignment horizontal="center" vertical="center" textRotation="0" wrapText="0" indent="0" justifyLastLine="0" shrinkToFit="0" readingOrder="0"/>
    </dxf>
    <dxf>
      <numFmt numFmtId="21" formatCode="d\-mmm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0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0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top style="thin">
          <color auto="1"/>
        </top>
        <vertical/>
        <horizontal/>
      </border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21" formatCode="d\-mmm"/>
      <alignment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1" formatCode="d\-mmm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FL_bets" displayName="NFL_bets" ref="B4:I74" totalsRowShown="0" headerRowDxfId="59" dataDxfId="58">
  <autoFilter ref="B4:I74"/>
  <tableColumns count="8">
    <tableColumn id="1" name="Date" dataDxfId="57"/>
    <tableColumn id="8" name="Week" dataDxfId="56">
      <calculatedColumnFormula>WEEKNUM(NFL_bets[[#This Row],[Date]],12)-WEEKNUM(DATE(2018,9,9),12)+1</calculatedColumnFormula>
    </tableColumn>
    <tableColumn id="2" name="Game" dataDxfId="55"/>
    <tableColumn id="3" name="Bet" dataDxfId="54"/>
    <tableColumn id="5" name="Risk" dataDxfId="53" dataCellStyle="Currency"/>
    <tableColumn id="4" name="Odds" dataDxfId="52" dataCellStyle="Currency"/>
    <tableColumn id="6" name="Result" dataDxfId="51"/>
    <tableColumn id="7" name="Winnings" dataDxfId="5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NBA_Bets" displayName="NBA_Bets" ref="B4:J505" totalsRowShown="0" headerRowDxfId="42" dataDxfId="41">
  <autoFilter ref="B4:J505"/>
  <tableColumns count="9">
    <tableColumn id="1" name="Date" dataDxfId="40"/>
    <tableColumn id="8" name="Version" dataDxfId="39"/>
    <tableColumn id="2" name="Game" dataDxfId="38"/>
    <tableColumn id="3" name="Bet" dataDxfId="37"/>
    <tableColumn id="5" name="Risk" dataDxfId="36" dataCellStyle="Currency"/>
    <tableColumn id="4" name="Odds" dataDxfId="35" dataCellStyle="Currency"/>
    <tableColumn id="6" name="Result" dataDxfId="34"/>
    <tableColumn id="7" name="Winnings" dataDxfId="33" dataCellStyle="Currency">
      <calculatedColumnFormula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calculatedColumnFormula>
    </tableColumn>
    <tableColumn id="9" name="Bet Type" dataDxfId="32">
      <calculatedColumnFormula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NCAA_Bets" displayName="NCAA_Bets" ref="C4:K351" totalsRowShown="0" headerRowDxfId="24" dataDxfId="23">
  <autoFilter ref="C4:K351">
    <filterColumn colId="1">
      <filters>
        <filter val="v1.3"/>
      </filters>
    </filterColumn>
  </autoFilter>
  <tableColumns count="9">
    <tableColumn id="1" name="Date" dataDxfId="22"/>
    <tableColumn id="8" name="Version" dataDxfId="21"/>
    <tableColumn id="2" name="Game" dataDxfId="20"/>
    <tableColumn id="3" name="Bet" dataDxfId="19"/>
    <tableColumn id="5" name="Risk" dataDxfId="18" dataCellStyle="Currency"/>
    <tableColumn id="4" name="Odds" dataDxfId="17" dataCellStyle="Currency"/>
    <tableColumn id="6" name="Result" dataDxfId="16"/>
    <tableColumn id="7" name="Winnings" dataDxfId="15" dataCellStyle="Currency">
      <calculatedColumnFormula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calculatedColumnFormula>
    </tableColumn>
    <tableColumn id="9" name="Bet Type" dataDxfId="14">
      <calculatedColumnFormula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Misc_Bets" displayName="Misc_Bets" ref="B4:H16" totalsRowShown="0" headerRowDxfId="10" dataDxfId="9">
  <autoFilter ref="B4:H16"/>
  <tableColumns count="7">
    <tableColumn id="1" name="Date" dataDxfId="8"/>
    <tableColumn id="2" name="Description" dataDxfId="7"/>
    <tableColumn id="3" name="Bet" dataDxfId="6"/>
    <tableColumn id="5" name="Risk" dataDxfId="5" dataCellStyle="Currency"/>
    <tableColumn id="4" name="Odds" dataDxfId="4" dataCellStyle="Currency"/>
    <tableColumn id="6" name="Result" dataDxfId="3"/>
    <tableColumn id="7" name="Winnings" dataDxfId="2" dataCellStyle="Currency">
      <calculatedColumnFormula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G19" sqref="G19"/>
    </sheetView>
  </sheetViews>
  <sheetFormatPr defaultRowHeight="15" x14ac:dyDescent="0.25"/>
  <cols>
    <col min="1" max="3" width="1.7109375" style="3" customWidth="1"/>
    <col min="4" max="4" width="12.140625" bestFit="1" customWidth="1"/>
    <col min="5" max="5" width="16" bestFit="1" customWidth="1"/>
    <col min="6" max="6" width="15.5703125" bestFit="1" customWidth="1"/>
    <col min="7" max="7" width="18" bestFit="1" customWidth="1"/>
    <col min="8" max="8" width="15.140625" bestFit="1" customWidth="1"/>
    <col min="10" max="10" width="15.140625" bestFit="1" customWidth="1"/>
  </cols>
  <sheetData>
    <row r="1" spans="1:8" ht="15.75" thickBot="1" x14ac:dyDescent="0.3"/>
    <row r="2" spans="1:8" ht="15.75" thickBot="1" x14ac:dyDescent="0.3">
      <c r="D2" s="141" t="s">
        <v>141</v>
      </c>
      <c r="E2" s="142"/>
      <c r="F2" s="142"/>
      <c r="G2" s="142"/>
      <c r="H2" s="143"/>
    </row>
    <row r="3" spans="1:8" s="8" customFormat="1" ht="18" customHeight="1" thickTop="1" x14ac:dyDescent="0.25">
      <c r="A3" s="121"/>
      <c r="B3" s="121"/>
      <c r="C3" s="121"/>
      <c r="D3" s="44" t="s">
        <v>280</v>
      </c>
      <c r="E3" s="45" t="s">
        <v>38</v>
      </c>
      <c r="F3" s="45" t="s">
        <v>39</v>
      </c>
      <c r="G3" s="45" t="s">
        <v>138</v>
      </c>
      <c r="H3" s="46" t="s">
        <v>40</v>
      </c>
    </row>
    <row r="4" spans="1:8" s="8" customFormat="1" ht="18" customHeight="1" thickBot="1" x14ac:dyDescent="0.3">
      <c r="A4" s="121">
        <f>(A7+A10+A13+A16)</f>
        <v>458</v>
      </c>
      <c r="B4" s="121">
        <f>(B7+B10+B13+B16)</f>
        <v>455</v>
      </c>
      <c r="C4" s="121">
        <f>(C7+C10+C13+C16)</f>
        <v>17</v>
      </c>
      <c r="D4" s="47">
        <f>D7+D10+D16+D13</f>
        <v>4207.3500000000004</v>
      </c>
      <c r="E4" s="84">
        <f ca="1">E7+E10+E16+E13</f>
        <v>-106.37674172310571</v>
      </c>
      <c r="F4" s="48">
        <f ca="1">E4/D4</f>
        <v>-2.5283549436844022E-2</v>
      </c>
      <c r="G4" s="49" t="str">
        <f>A4&amp;"-"&amp;B4&amp;"-"&amp;C4</f>
        <v>458-455-17</v>
      </c>
      <c r="H4" s="122">
        <f>A4/(A4+B4)</f>
        <v>0.50164293537787519</v>
      </c>
    </row>
    <row r="5" spans="1:8" ht="15.75" thickBot="1" x14ac:dyDescent="0.3">
      <c r="D5" s="135" t="s">
        <v>139</v>
      </c>
      <c r="E5" s="136"/>
      <c r="F5" s="136"/>
      <c r="G5" s="136"/>
      <c r="H5" s="137"/>
    </row>
    <row r="6" spans="1:8" s="8" customFormat="1" ht="18" customHeight="1" thickTop="1" x14ac:dyDescent="0.25">
      <c r="A6" s="121"/>
      <c r="B6" s="121"/>
      <c r="C6" s="121"/>
      <c r="D6" s="50" t="s">
        <v>280</v>
      </c>
      <c r="E6" s="51" t="str">
        <f>'NFL Bets'!C1</f>
        <v>Net Earnings</v>
      </c>
      <c r="F6" s="51" t="str">
        <f>'NFL Bets'!D1</f>
        <v>Percentage Gain</v>
      </c>
      <c r="G6" s="51" t="str">
        <f>'NFL Bets'!E1</f>
        <v>Cumulative Record</v>
      </c>
      <c r="H6" s="52" t="str">
        <f>'NFL Bets'!G1</f>
        <v>Win Percentage</v>
      </c>
    </row>
    <row r="7" spans="1:8" s="8" customFormat="1" ht="18" customHeight="1" thickBot="1" x14ac:dyDescent="0.3">
      <c r="A7" s="121" t="str">
        <f>LEFT(G7,SEARCH("-",G7)-1)</f>
        <v>37</v>
      </c>
      <c r="B7" s="121" t="str">
        <f>IFERROR(MID(G7,SEARCH("-",G7)+1,SEARCH("-",G7,SEARCH("-",G7)+1)-SEARCH("-",G7)-1),RIGHT(G7,LEN(G7)-SEARCH("-",G7)))</f>
        <v>30</v>
      </c>
      <c r="C7" s="121" t="str">
        <f>IFERROR(RIGHT(G7,LEN(G7)-SEARCH("-",G7,SEARCH("-",G7)+1)),0)</f>
        <v>3</v>
      </c>
      <c r="D7" s="53">
        <f>SUM(NFL_bets[Risk])</f>
        <v>744.32</v>
      </c>
      <c r="E7" s="85">
        <f ca="1">'NFL Bets'!C2</f>
        <v>6.286342932429875</v>
      </c>
      <c r="F7" s="54">
        <f ca="1">'NFL Bets'!D2</f>
        <v>8.4457530798982619E-3</v>
      </c>
      <c r="G7" s="55" t="str">
        <f>'NFL Bets'!E2</f>
        <v>37-30-3</v>
      </c>
      <c r="H7" s="56">
        <f>'NFL Bets'!G2</f>
        <v>0.55223880597014929</v>
      </c>
    </row>
    <row r="8" spans="1:8" ht="15.75" thickBot="1" x14ac:dyDescent="0.3">
      <c r="B8" s="121"/>
      <c r="C8" s="121"/>
      <c r="D8" s="138" t="s">
        <v>140</v>
      </c>
      <c r="E8" s="139"/>
      <c r="F8" s="139"/>
      <c r="G8" s="139"/>
      <c r="H8" s="140"/>
    </row>
    <row r="9" spans="1:8" s="8" customFormat="1" ht="18" customHeight="1" thickTop="1" x14ac:dyDescent="0.25">
      <c r="A9" s="121"/>
      <c r="B9" s="121"/>
      <c r="C9" s="121"/>
      <c r="D9" s="57" t="s">
        <v>280</v>
      </c>
      <c r="E9" s="58" t="str">
        <f>'NBA Bets'!C1</f>
        <v>Net Earnings</v>
      </c>
      <c r="F9" s="58" t="str">
        <f>'NBA Bets'!D1</f>
        <v>Percentage Gain</v>
      </c>
      <c r="G9" s="58" t="str">
        <f>'NBA Bets'!E1</f>
        <v>Cumulative Record</v>
      </c>
      <c r="H9" s="59" t="str">
        <f>'NBA Bets'!F1</f>
        <v>Win Percentage</v>
      </c>
    </row>
    <row r="10" spans="1:8" s="8" customFormat="1" ht="18" customHeight="1" thickBot="1" x14ac:dyDescent="0.3">
      <c r="A10" s="121" t="str">
        <f>LEFT(G10,SEARCH("-",G10)-1)</f>
        <v>246</v>
      </c>
      <c r="B10" s="121" t="str">
        <f>IFERROR(MID(G10,SEARCH("-",G10)+1,SEARCH("-",G10,SEARCH("-",G10)+1)-SEARCH("-",G10)-1),RIGHT(G10,LEN(G10)-SEARCH("-",G10)))</f>
        <v>248</v>
      </c>
      <c r="C10" s="121" t="str">
        <f t="shared" ref="C10:C16" si="0">IFERROR(RIGHT(G10,LEN(G10)-SEARCH("-",G10,SEARCH("-",G10)+1)),0)</f>
        <v>7</v>
      </c>
      <c r="D10" s="60">
        <f>SUM(NBA_Bets[Risk])</f>
        <v>2187.7200000000003</v>
      </c>
      <c r="E10" s="86">
        <f ca="1">'NBA Bets'!C2</f>
        <v>-133.10530856920013</v>
      </c>
      <c r="F10" s="61">
        <f ca="1">'NBA Bets'!D2</f>
        <v>-6.0842022091126886E-2</v>
      </c>
      <c r="G10" s="62" t="str">
        <f>'NBA Bets'!E2</f>
        <v>246-248-7</v>
      </c>
      <c r="H10" s="63">
        <f>'NBA Bets'!F2</f>
        <v>0.49797570850202427</v>
      </c>
    </row>
    <row r="11" spans="1:8" ht="15.75" thickBot="1" x14ac:dyDescent="0.3">
      <c r="B11" s="121"/>
      <c r="C11" s="121"/>
      <c r="D11" s="148" t="s">
        <v>454</v>
      </c>
      <c r="E11" s="149"/>
      <c r="F11" s="149"/>
      <c r="G11" s="149"/>
      <c r="H11" s="150"/>
    </row>
    <row r="12" spans="1:8" ht="15.75" thickTop="1" x14ac:dyDescent="0.25">
      <c r="B12" s="121"/>
      <c r="C12" s="121"/>
      <c r="D12" s="102" t="s">
        <v>280</v>
      </c>
      <c r="E12" s="103" t="str">
        <f>'NCAAB Bets'!D1</f>
        <v>Net Earnings</v>
      </c>
      <c r="F12" s="103" t="str">
        <f>'NCAAB Bets'!E1</f>
        <v>Percentage Gain</v>
      </c>
      <c r="G12" s="103" t="str">
        <f>'NCAAB Bets'!F1</f>
        <v>Cumulative Record</v>
      </c>
      <c r="H12" s="104" t="str">
        <f>'NCAAB Bets'!G1</f>
        <v>Win Percentage</v>
      </c>
    </row>
    <row r="13" spans="1:8" ht="15.75" thickBot="1" x14ac:dyDescent="0.3">
      <c r="A13" s="121" t="str">
        <f>LEFT(G13,SEARCH("-",G13)-1)</f>
        <v>171</v>
      </c>
      <c r="B13" s="121" t="str">
        <f>IFERROR(MID(G13,SEARCH("-",G13)+1,SEARCH("-",G13,SEARCH("-",G13)+1)-SEARCH("-",G13)-1),RIGHT(G13,LEN(G13)-SEARCH("-",G13)))</f>
        <v>169</v>
      </c>
      <c r="C13" s="121" t="str">
        <f t="shared" si="0"/>
        <v>7</v>
      </c>
      <c r="D13" s="105">
        <f>SUM(NCAA_Bets[Risk])</f>
        <v>1194.81</v>
      </c>
      <c r="E13" s="106">
        <f ca="1">'NCAAB Bets'!D2</f>
        <v>39.360884200745886</v>
      </c>
      <c r="F13" s="124">
        <f ca="1">'NCAAB Bets'!E2</f>
        <v>3.2943216244211121E-2</v>
      </c>
      <c r="G13" s="106" t="str">
        <f>'NCAAB Bets'!F2</f>
        <v>171-169-7</v>
      </c>
      <c r="H13" s="123">
        <f>'NCAAB Bets'!G2</f>
        <v>0.50294117647058822</v>
      </c>
    </row>
    <row r="14" spans="1:8" ht="15.75" thickBot="1" x14ac:dyDescent="0.3">
      <c r="B14" s="121"/>
      <c r="C14" s="121"/>
      <c r="D14" s="144" t="s">
        <v>279</v>
      </c>
      <c r="E14" s="145"/>
      <c r="F14" s="145"/>
      <c r="G14" s="145"/>
      <c r="H14" s="146"/>
    </row>
    <row r="15" spans="1:8" ht="15.75" thickTop="1" x14ac:dyDescent="0.25">
      <c r="B15" s="121"/>
      <c r="C15" s="121"/>
      <c r="D15" s="77" t="s">
        <v>280</v>
      </c>
      <c r="E15" s="78" t="str">
        <f>'Misc. Bets'!C1</f>
        <v>Net Earnings</v>
      </c>
      <c r="F15" s="78" t="str">
        <f>'Misc. Bets'!D1</f>
        <v>Percentage Gain</v>
      </c>
      <c r="G15" s="78" t="str">
        <f>'Misc. Bets'!E1</f>
        <v>Cumulative Record</v>
      </c>
      <c r="H15" s="79" t="str">
        <f>'Misc. Bets'!G1</f>
        <v>Win Percentage</v>
      </c>
    </row>
    <row r="16" spans="1:8" ht="15.75" thickBot="1" x14ac:dyDescent="0.3">
      <c r="A16" s="121" t="str">
        <f>LEFT(G16,SEARCH("-",G16)-1)</f>
        <v>4</v>
      </c>
      <c r="B16" s="121" t="str">
        <f>IFERROR(MID(G16,SEARCH("-",G16)+1,SEARCH("-",G16,SEARCH("-",G16)+1)-SEARCH("-",G16)-1),RIGHT(G16,LEN(G16)-SEARCH("-",G16)))</f>
        <v>8</v>
      </c>
      <c r="C16" s="121">
        <f t="shared" si="0"/>
        <v>0</v>
      </c>
      <c r="D16" s="80">
        <f>SUM(Misc_Bets[Risk])</f>
        <v>80.5</v>
      </c>
      <c r="E16" s="87">
        <f ca="1">'Misc. Bets'!C2</f>
        <v>-18.918660287081337</v>
      </c>
      <c r="F16" s="81">
        <f ca="1">'Misc. Bets'!D2</f>
        <v>-0.235014413504116</v>
      </c>
      <c r="G16" s="82" t="str">
        <f>'Misc. Bets'!E2</f>
        <v>4-8</v>
      </c>
      <c r="H16" s="83">
        <f ca="1">'Misc. Bets'!G2</f>
        <v>0.33333333333333331</v>
      </c>
    </row>
    <row r="18" spans="5:10" x14ac:dyDescent="0.25">
      <c r="E18" s="147" t="s">
        <v>409</v>
      </c>
      <c r="F18" s="147"/>
      <c r="G18" s="97">
        <f ca="1">183.07+E4</f>
        <v>76.693258276894284</v>
      </c>
      <c r="I18" s="108"/>
      <c r="J18" s="108"/>
    </row>
    <row r="19" spans="5:10" x14ac:dyDescent="0.25">
      <c r="I19" s="108"/>
    </row>
    <row r="20" spans="5:10" x14ac:dyDescent="0.25">
      <c r="J20" s="108"/>
    </row>
  </sheetData>
  <mergeCells count="6">
    <mergeCell ref="D5:H5"/>
    <mergeCell ref="D8:H8"/>
    <mergeCell ref="D2:H2"/>
    <mergeCell ref="D14:H14"/>
    <mergeCell ref="E18:F18"/>
    <mergeCell ref="D11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74"/>
  <sheetViews>
    <sheetView topLeftCell="J1" workbookViewId="0">
      <selection activeCell="U26" sqref="U26"/>
    </sheetView>
  </sheetViews>
  <sheetFormatPr defaultRowHeight="15" x14ac:dyDescent="0.25"/>
  <cols>
    <col min="1" max="1" width="6.5703125" customWidth="1"/>
    <col min="2" max="2" width="9.7109375" bestFit="1" customWidth="1"/>
    <col min="3" max="3" width="12.7109375" bestFit="1" customWidth="1"/>
    <col min="4" max="4" width="22" bestFit="1" customWidth="1"/>
    <col min="5" max="5" width="18.5703125" bestFit="1" customWidth="1"/>
    <col min="6" max="6" width="15.7109375" bestFit="1" customWidth="1"/>
    <col min="9" max="9" width="11.140625" bestFit="1" customWidth="1"/>
    <col min="10" max="10" width="12.140625" bestFit="1" customWidth="1"/>
    <col min="11" max="11" width="15.5703125" bestFit="1" customWidth="1"/>
  </cols>
  <sheetData>
    <row r="1" spans="2:20" x14ac:dyDescent="0.25">
      <c r="C1" s="32" t="s">
        <v>38</v>
      </c>
      <c r="D1" s="32" t="s">
        <v>39</v>
      </c>
      <c r="E1" s="151" t="s">
        <v>138</v>
      </c>
      <c r="F1" s="151"/>
      <c r="G1" s="151" t="s">
        <v>40</v>
      </c>
      <c r="H1" s="151"/>
    </row>
    <row r="2" spans="2:20" x14ac:dyDescent="0.25">
      <c r="C2" s="31">
        <f ca="1">SUMIF(NFL_bets[Date],"&lt;"&amp;TODAY(),NFL_bets[Winnings])-SUMIF(NFL_bets[Date],"&lt;"&amp;TODAY(),NFL_bets[Risk])</f>
        <v>6.286342932429875</v>
      </c>
      <c r="D2" s="12">
        <f ca="1">C2/SUMIF(NFL_bets[Date],"&lt;"&amp;TODAY(),NFL_bets[Risk])</f>
        <v>8.4457530798982619E-3</v>
      </c>
      <c r="E2" s="152" t="str">
        <f>COUNTIF(NFL_bets[Result],"W")&amp;"-"&amp;COUNTIF(NFL_bets[Result],"L")&amp;IF(COUNTIF(NFL_bets[Result],"Push")=0,"","-"&amp;COUNTIF(NFL_bets[Result],"Push"))</f>
        <v>37-30-3</v>
      </c>
      <c r="F2" s="152"/>
      <c r="G2" s="152">
        <f>COUNTIF(NFL_bets[Result],"W")/(COUNTIF(NFL_bets[Result],"W")+COUNTIF(NFL_bets[Result],"L"))</f>
        <v>0.55223880597014929</v>
      </c>
      <c r="H2" s="152"/>
    </row>
    <row r="3" spans="2:20" ht="3.75" customHeight="1" x14ac:dyDescent="0.25"/>
    <row r="4" spans="2:20" x14ac:dyDescent="0.25">
      <c r="B4" s="1" t="s">
        <v>0</v>
      </c>
      <c r="C4" s="29" t="s">
        <v>136</v>
      </c>
      <c r="D4" s="1" t="s">
        <v>3</v>
      </c>
      <c r="E4" s="1" t="s">
        <v>1</v>
      </c>
      <c r="F4" s="1" t="s">
        <v>2</v>
      </c>
      <c r="G4" s="29" t="s">
        <v>109</v>
      </c>
      <c r="H4" s="1" t="s">
        <v>6</v>
      </c>
      <c r="I4" s="1" t="s">
        <v>5</v>
      </c>
      <c r="M4" s="41">
        <v>13</v>
      </c>
      <c r="N4" s="41">
        <v>14</v>
      </c>
      <c r="O4" s="41">
        <v>15</v>
      </c>
      <c r="P4" s="41">
        <v>16</v>
      </c>
      <c r="Q4" s="41" t="s">
        <v>245</v>
      </c>
      <c r="R4" s="41" t="s">
        <v>338</v>
      </c>
      <c r="S4" s="41" t="s">
        <v>470</v>
      </c>
      <c r="T4" s="41" t="s">
        <v>734</v>
      </c>
    </row>
    <row r="5" spans="2:20" x14ac:dyDescent="0.25">
      <c r="B5" s="6">
        <v>43436</v>
      </c>
      <c r="C5" s="40">
        <f>WEEKNUM(NFL_bets[[#This Row],[Date]],12)-WEEKNUM(DATE(2018,9,9),12)+1</f>
        <v>13</v>
      </c>
      <c r="D5" s="7" t="s">
        <v>10</v>
      </c>
      <c r="E5" s="8" t="s">
        <v>11</v>
      </c>
      <c r="F5" s="9">
        <v>10</v>
      </c>
      <c r="G5" s="30">
        <v>-115</v>
      </c>
      <c r="H5" s="10" t="s">
        <v>7</v>
      </c>
      <c r="I5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  <c r="L5" s="42"/>
      <c r="M5" s="42" t="str">
        <f>"Week "&amp;M4</f>
        <v>Week 13</v>
      </c>
      <c r="N5" s="42" t="str">
        <f>"Week "&amp;N4</f>
        <v>Week 14</v>
      </c>
      <c r="O5" s="42" t="str">
        <f>"Week "&amp;O4</f>
        <v>Week 15</v>
      </c>
      <c r="P5" s="42" t="str">
        <f>"Week "&amp;P4</f>
        <v>Week 16</v>
      </c>
      <c r="Q5" s="42" t="s">
        <v>245</v>
      </c>
      <c r="R5" s="42" t="s">
        <v>338</v>
      </c>
      <c r="S5" s="42" t="s">
        <v>470</v>
      </c>
      <c r="T5" s="42" t="s">
        <v>1046</v>
      </c>
    </row>
    <row r="6" spans="2:20" x14ac:dyDescent="0.25">
      <c r="B6" s="6">
        <v>43436</v>
      </c>
      <c r="C6" s="40">
        <f>WEEKNUM(NFL_bets[[#This Row],[Date]],12)-WEEKNUM(DATE(2018,9,9),12)+1</f>
        <v>13</v>
      </c>
      <c r="D6" s="7" t="s">
        <v>12</v>
      </c>
      <c r="E6" s="8" t="s">
        <v>23</v>
      </c>
      <c r="F6" s="9">
        <v>10</v>
      </c>
      <c r="G6" s="30">
        <v>-115</v>
      </c>
      <c r="H6" s="10" t="s">
        <v>7</v>
      </c>
      <c r="I6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  <c r="L6" s="43" t="s">
        <v>137</v>
      </c>
      <c r="M6" s="43" t="str">
        <f>COUNTIFS(NFL_bets[Week],M4,NFL_bets[Result],"W")&amp;"-"&amp;COUNTIFS(NFL_bets[Week],M4,NFL_bets[Result],"L")&amp;IF(COUNTIFS(NFL_bets[Week],M4,NFL_bets[Result],"Push")=0,"","-"&amp;COUNTIFS(NFL_bets[Week],M4,NFL_bets[Result],"Push"))</f>
        <v>10-7</v>
      </c>
      <c r="N6" s="43" t="str">
        <f>COUNTIFS(NFL_bets[Week],N4,NFL_bets[Result],"W")&amp;"-"&amp;COUNTIFS(NFL_bets[Week],N4,NFL_bets[Result],"L")&amp;IF(COUNTIFS(NFL_bets[Week],N4,NFL_bets[Result],"Push")=0,"","-"&amp;COUNTIFS(NFL_bets[Week],N4,NFL_bets[Result],"Push"))</f>
        <v>5-7-1</v>
      </c>
      <c r="O6" s="43" t="str">
        <f>COUNTIFS(NFL_bets[Week],O4,NFL_bets[Result],"W")&amp;"-"&amp;COUNTIFS(NFL_bets[Week],O4,NFL_bets[Result],"L")&amp;IF(COUNTIFS(NFL_bets[Week],O4,NFL_bets[Result],"Push")=0,"","-"&amp;COUNTIFS(NFL_bets[Week],O4,NFL_bets[Result],"Push"))</f>
        <v>15-8-1</v>
      </c>
      <c r="P6" s="43" t="str">
        <f>COUNTIFS(NFL_bets[Week],P4,NFL_bets[Result],"W")&amp;"-"&amp;COUNTIFS(NFL_bets[Week],P4,NFL_bets[Result],"L")&amp;IF(COUNTIFS(NFL_bets[Week],P4,NFL_bets[Result],"Push")=0,"","-"&amp;COUNTIFS(NFL_bets[Week],P4,NFL_bets[Result],"Push"))</f>
        <v>0-2</v>
      </c>
      <c r="Q6" s="43" t="str">
        <f>COUNTIFS(NFL_bets[Week],Q4,NFL_bets[Result],"W")&amp;"-"&amp;COUNTIFS(NFL_bets[Week],Q4,NFL_bets[Result],"L")&amp;IF(COUNTIFS(NFL_bets[Week],Q4,NFL_bets[Result],"Push")=0,"","-"&amp;COUNTIFS(NFL_bets[Week],Q4,NFL_bets[Result],"Push"))</f>
        <v>2-2-1</v>
      </c>
      <c r="R6" s="43" t="str">
        <f>COUNTIFS(NFL_bets[Week],R4,NFL_bets[Result],"W")&amp;"-"&amp;COUNTIFS(NFL_bets[Week],R4,NFL_bets[Result],"L")&amp;IF(COUNTIFS(NFL_bets[Week],R4,NFL_bets[Result],"Push")=0,"","-"&amp;COUNTIFS(NFL_bets[Week],R4,NFL_bets[Result],"Push"))</f>
        <v>3-3</v>
      </c>
      <c r="S6" s="43" t="str">
        <f>COUNTIFS(NFL_bets[Week],S4,NFL_bets[Result],"W")&amp;"-"&amp;COUNTIFS(NFL_bets[Week],S4,NFL_bets[Result],"L")&amp;IF(COUNTIFS(NFL_bets[Week],S4,NFL_bets[Result],"Push")=0,"","-"&amp;COUNTIFS(NFL_bets[Week],S4,NFL_bets[Result],"Push"))</f>
        <v>1-0</v>
      </c>
      <c r="T6" s="43" t="str">
        <f>COUNTIFS(NFL_bets[Week],T4,NFL_bets[Result],"W")&amp;"-"&amp;COUNTIFS(NFL_bets[Week],T4,NFL_bets[Result],"L")&amp;IF(COUNTIFS(NFL_bets[Week],T4,NFL_bets[Result],"Push")=0,"","-"&amp;COUNTIFS(NFL_bets[Week],T4,NFL_bets[Result],"Push"))</f>
        <v>1-1</v>
      </c>
    </row>
    <row r="7" spans="2:20" x14ac:dyDescent="0.25">
      <c r="B7" s="6">
        <v>43436</v>
      </c>
      <c r="C7" s="40">
        <f>WEEKNUM(NFL_bets[[#This Row],[Date]],12)-WEEKNUM(DATE(2018,9,9),12)+1</f>
        <v>13</v>
      </c>
      <c r="D7" s="7" t="s">
        <v>13</v>
      </c>
      <c r="E7" s="8" t="s">
        <v>24</v>
      </c>
      <c r="F7" s="9">
        <v>10</v>
      </c>
      <c r="G7" s="30">
        <v>-110</v>
      </c>
      <c r="H7" s="10" t="s">
        <v>37</v>
      </c>
      <c r="I7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  <c r="L7" s="43" t="s">
        <v>167</v>
      </c>
      <c r="M7" s="67">
        <f>COUNTIFS(NFL_bets[Week],M4,NFL_bets[Result],"W")/COUNTIF(NFL_bets[Week],M4)</f>
        <v>0.58823529411764708</v>
      </c>
      <c r="N7" s="67">
        <f>COUNTIFS(NFL_bets[Week],N4,NFL_bets[Result],"W")/COUNTIF(NFL_bets[Week],N4)</f>
        <v>0.38461538461538464</v>
      </c>
      <c r="O7" s="67">
        <f>COUNTIFS(NFL_bets[Week],O4,NFL_bets[Result],"W")/COUNTIF(NFL_bets[Week],O4)</f>
        <v>0.625</v>
      </c>
      <c r="P7" s="118">
        <f>COUNTIFS(NFL_bets[Week],P4,NFL_bets[Result],"W")/COUNTIF(NFL_bets[Week],P4)</f>
        <v>0</v>
      </c>
      <c r="Q7" s="76">
        <f>COUNTIFS(NFL_bets[Week],Q4,NFL_bets[Result],"W")/COUNTIF(NFL_bets[Week],Q4)</f>
        <v>0.4</v>
      </c>
      <c r="R7" s="95">
        <f>COUNTIFS(NFL_bets[Week],R4,NFL_bets[Result],"W")/COUNTIF(NFL_bets[Week],R4)</f>
        <v>0.5</v>
      </c>
      <c r="S7" s="118">
        <f>COUNTIFS(NFL_bets[Week],S4,NFL_bets[Result],"W")/COUNTIF(NFL_bets[Week],S4)</f>
        <v>1</v>
      </c>
      <c r="T7" s="118">
        <f>COUNTIFS(NFL_bets[Week],T4,NFL_bets[Result],"W")/COUNTIF(NFL_bets[Week],T4)</f>
        <v>0.5</v>
      </c>
    </row>
    <row r="8" spans="2:20" x14ac:dyDescent="0.25">
      <c r="B8" s="6">
        <v>43436</v>
      </c>
      <c r="C8" s="40">
        <f>WEEKNUM(NFL_bets[[#This Row],[Date]],12)-WEEKNUM(DATE(2018,9,9),12)+1</f>
        <v>13</v>
      </c>
      <c r="D8" s="7" t="s">
        <v>14</v>
      </c>
      <c r="E8" s="8" t="s">
        <v>25</v>
      </c>
      <c r="F8" s="9">
        <v>10</v>
      </c>
      <c r="G8" s="30">
        <v>-110</v>
      </c>
      <c r="H8" s="10" t="s">
        <v>7</v>
      </c>
      <c r="I8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9" spans="2:20" x14ac:dyDescent="0.25">
      <c r="B9" s="6">
        <v>43436</v>
      </c>
      <c r="C9" s="40">
        <f>WEEKNUM(NFL_bets[[#This Row],[Date]],12)-WEEKNUM(DATE(2018,9,9),12)+1</f>
        <v>13</v>
      </c>
      <c r="D9" s="7" t="s">
        <v>14</v>
      </c>
      <c r="E9" s="8" t="s">
        <v>26</v>
      </c>
      <c r="F9" s="9">
        <v>10</v>
      </c>
      <c r="G9" s="30">
        <v>-115</v>
      </c>
      <c r="H9" s="10" t="s">
        <v>37</v>
      </c>
      <c r="I9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18.695652173913043</v>
      </c>
    </row>
    <row r="10" spans="2:20" x14ac:dyDescent="0.25">
      <c r="B10" s="6">
        <v>43436</v>
      </c>
      <c r="C10" s="40">
        <f>WEEKNUM(NFL_bets[[#This Row],[Date]],12)-WEEKNUM(DATE(2018,9,9),12)+1</f>
        <v>13</v>
      </c>
      <c r="D10" s="7" t="s">
        <v>15</v>
      </c>
      <c r="E10" s="8" t="s">
        <v>27</v>
      </c>
      <c r="F10" s="9">
        <v>10</v>
      </c>
      <c r="G10" s="30">
        <v>-110</v>
      </c>
      <c r="H10" s="10" t="s">
        <v>7</v>
      </c>
      <c r="I10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11" spans="2:20" x14ac:dyDescent="0.25">
      <c r="B11" s="6">
        <v>43436</v>
      </c>
      <c r="C11" s="40">
        <f>WEEKNUM(NFL_bets[[#This Row],[Date]],12)-WEEKNUM(DATE(2018,9,9),12)+1</f>
        <v>13</v>
      </c>
      <c r="D11" s="7" t="s">
        <v>16</v>
      </c>
      <c r="E11" s="8" t="s">
        <v>28</v>
      </c>
      <c r="F11" s="9">
        <v>10</v>
      </c>
      <c r="G11" s="30">
        <v>-110</v>
      </c>
      <c r="H11" s="10" t="s">
        <v>37</v>
      </c>
      <c r="I11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12" spans="2:20" x14ac:dyDescent="0.25">
      <c r="B12" s="6">
        <v>43436</v>
      </c>
      <c r="C12" s="40">
        <f>WEEKNUM(NFL_bets[[#This Row],[Date]],12)-WEEKNUM(DATE(2018,9,9),12)+1</f>
        <v>13</v>
      </c>
      <c r="D12" s="7" t="s">
        <v>16</v>
      </c>
      <c r="E12" s="8" t="s">
        <v>29</v>
      </c>
      <c r="F12" s="9">
        <v>10</v>
      </c>
      <c r="G12" s="30">
        <v>-115</v>
      </c>
      <c r="H12" s="10" t="s">
        <v>37</v>
      </c>
      <c r="I12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18.695652173913043</v>
      </c>
    </row>
    <row r="13" spans="2:20" x14ac:dyDescent="0.25">
      <c r="B13" s="6">
        <v>43436</v>
      </c>
      <c r="C13" s="40">
        <f>WEEKNUM(NFL_bets[[#This Row],[Date]],12)-WEEKNUM(DATE(2018,9,9),12)+1</f>
        <v>13</v>
      </c>
      <c r="D13" s="7" t="s">
        <v>17</v>
      </c>
      <c r="E13" s="8" t="s">
        <v>30</v>
      </c>
      <c r="F13" s="9">
        <v>10</v>
      </c>
      <c r="G13" s="30">
        <v>-115</v>
      </c>
      <c r="H13" s="10" t="s">
        <v>7</v>
      </c>
      <c r="I13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14" spans="2:20" x14ac:dyDescent="0.25">
      <c r="B14" s="6">
        <v>43436</v>
      </c>
      <c r="C14" s="40">
        <f>WEEKNUM(NFL_bets[[#This Row],[Date]],12)-WEEKNUM(DATE(2018,9,9),12)+1</f>
        <v>13</v>
      </c>
      <c r="D14" s="7" t="s">
        <v>18</v>
      </c>
      <c r="E14" s="8" t="s">
        <v>31</v>
      </c>
      <c r="F14" s="9">
        <v>10</v>
      </c>
      <c r="G14" s="30">
        <v>-110</v>
      </c>
      <c r="H14" s="10" t="s">
        <v>37</v>
      </c>
      <c r="I14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15" spans="2:20" x14ac:dyDescent="0.25">
      <c r="B15" s="6">
        <v>43436</v>
      </c>
      <c r="C15" s="40">
        <f>WEEKNUM(NFL_bets[[#This Row],[Date]],12)-WEEKNUM(DATE(2018,9,9),12)+1</f>
        <v>13</v>
      </c>
      <c r="D15" s="7" t="s">
        <v>18</v>
      </c>
      <c r="E15" s="8" t="s">
        <v>32</v>
      </c>
      <c r="F15" s="9">
        <v>10</v>
      </c>
      <c r="G15" s="30">
        <v>-110</v>
      </c>
      <c r="H15" s="10" t="s">
        <v>7</v>
      </c>
      <c r="I15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16" spans="2:20" x14ac:dyDescent="0.25">
      <c r="B16" s="6">
        <v>43436</v>
      </c>
      <c r="C16" s="40">
        <f>WEEKNUM(NFL_bets[[#This Row],[Date]],12)-WEEKNUM(DATE(2018,9,9),12)+1</f>
        <v>13</v>
      </c>
      <c r="D16" s="7" t="s">
        <v>19</v>
      </c>
      <c r="E16" s="8" t="s">
        <v>33</v>
      </c>
      <c r="F16" s="9">
        <v>10</v>
      </c>
      <c r="G16" s="30">
        <v>-110</v>
      </c>
      <c r="H16" s="10" t="s">
        <v>37</v>
      </c>
      <c r="I16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17" spans="2:9" x14ac:dyDescent="0.25">
      <c r="B17" s="6">
        <v>43436</v>
      </c>
      <c r="C17" s="40">
        <f>WEEKNUM(NFL_bets[[#This Row],[Date]],12)-WEEKNUM(DATE(2018,9,9),12)+1</f>
        <v>13</v>
      </c>
      <c r="D17" s="7" t="s">
        <v>20</v>
      </c>
      <c r="E17" s="8" t="s">
        <v>34</v>
      </c>
      <c r="F17" s="9">
        <v>10</v>
      </c>
      <c r="G17" s="30">
        <v>-110</v>
      </c>
      <c r="H17" s="10" t="s">
        <v>37</v>
      </c>
      <c r="I17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18" spans="2:9" x14ac:dyDescent="0.25">
      <c r="B18" s="6">
        <v>43436</v>
      </c>
      <c r="C18" s="40">
        <f>WEEKNUM(NFL_bets[[#This Row],[Date]],12)-WEEKNUM(DATE(2018,9,9),12)+1</f>
        <v>13</v>
      </c>
      <c r="D18" s="7" t="s">
        <v>20</v>
      </c>
      <c r="E18" s="8" t="s">
        <v>35</v>
      </c>
      <c r="F18" s="9">
        <v>10</v>
      </c>
      <c r="G18" s="30">
        <v>-115</v>
      </c>
      <c r="H18" s="10" t="s">
        <v>7</v>
      </c>
      <c r="I18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19" spans="2:9" x14ac:dyDescent="0.25">
      <c r="B19" s="6">
        <v>43436</v>
      </c>
      <c r="C19" s="40">
        <f>WEEKNUM(NFL_bets[[#This Row],[Date]],12)-WEEKNUM(DATE(2018,9,9),12)+1</f>
        <v>13</v>
      </c>
      <c r="D19" s="7" t="s">
        <v>21</v>
      </c>
      <c r="E19" s="8" t="s">
        <v>36</v>
      </c>
      <c r="F19" s="9">
        <v>10</v>
      </c>
      <c r="G19" s="30">
        <v>-105</v>
      </c>
      <c r="H19" s="10" t="s">
        <v>37</v>
      </c>
      <c r="I19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19.523809523809526</v>
      </c>
    </row>
    <row r="20" spans="2:9" x14ac:dyDescent="0.25">
      <c r="B20" s="6">
        <v>43436</v>
      </c>
      <c r="C20" s="40">
        <f>WEEKNUM(NFL_bets[[#This Row],[Date]],12)-WEEKNUM(DATE(2018,9,9),12)+1</f>
        <v>13</v>
      </c>
      <c r="D20" s="7" t="s">
        <v>22</v>
      </c>
      <c r="E20" s="8" t="s">
        <v>4</v>
      </c>
      <c r="F20" s="9">
        <v>10</v>
      </c>
      <c r="G20" s="30">
        <v>-110</v>
      </c>
      <c r="H20" s="10" t="s">
        <v>37</v>
      </c>
      <c r="I20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21" spans="2:9" x14ac:dyDescent="0.25">
      <c r="B21" s="6">
        <v>43437</v>
      </c>
      <c r="C21" s="40">
        <f>WEEKNUM(NFL_bets[[#This Row],[Date]],12)-WEEKNUM(DATE(2018,9,9),12)+1</f>
        <v>13</v>
      </c>
      <c r="D21" s="7" t="s">
        <v>41</v>
      </c>
      <c r="E21" s="8" t="s">
        <v>42</v>
      </c>
      <c r="F21" s="9">
        <v>10</v>
      </c>
      <c r="G21" s="30">
        <v>-115</v>
      </c>
      <c r="H21" s="10" t="s">
        <v>37</v>
      </c>
      <c r="I21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18.695652173913043</v>
      </c>
    </row>
    <row r="22" spans="2:9" x14ac:dyDescent="0.25">
      <c r="B22" s="6">
        <v>43440</v>
      </c>
      <c r="C22" s="40">
        <f>WEEKNUM(NFL_bets[[#This Row],[Date]],12)-WEEKNUM(DATE(2018,9,9),12)+1</f>
        <v>14</v>
      </c>
      <c r="D22" s="7" t="s">
        <v>51</v>
      </c>
      <c r="E22" s="8" t="s">
        <v>52</v>
      </c>
      <c r="F22" s="9">
        <v>20</v>
      </c>
      <c r="G22" s="30">
        <v>-110</v>
      </c>
      <c r="H22" s="10" t="s">
        <v>7</v>
      </c>
      <c r="I22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23" spans="2:9" x14ac:dyDescent="0.25">
      <c r="B23" s="6">
        <v>43443</v>
      </c>
      <c r="C23" s="40">
        <f>WEEKNUM(NFL_bets[[#This Row],[Date]],12)-WEEKNUM(DATE(2018,9,9),12)+1</f>
        <v>14</v>
      </c>
      <c r="D23" s="8" t="s">
        <v>63</v>
      </c>
      <c r="E23" s="8" t="s">
        <v>64</v>
      </c>
      <c r="F23" s="9">
        <v>20</v>
      </c>
      <c r="G23" s="30">
        <v>-110</v>
      </c>
      <c r="H23" s="10" t="s">
        <v>7</v>
      </c>
      <c r="I23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24" spans="2:9" x14ac:dyDescent="0.25">
      <c r="B24" s="6">
        <v>43443</v>
      </c>
      <c r="C24" s="40">
        <f>WEEKNUM(NFL_bets[[#This Row],[Date]],12)-WEEKNUM(DATE(2018,9,9),12)+1</f>
        <v>14</v>
      </c>
      <c r="D24" s="8" t="s">
        <v>65</v>
      </c>
      <c r="E24" s="8" t="s">
        <v>66</v>
      </c>
      <c r="F24" s="9">
        <v>20</v>
      </c>
      <c r="G24" s="30">
        <v>-110</v>
      </c>
      <c r="H24" s="10" t="s">
        <v>7</v>
      </c>
      <c r="I24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25" spans="2:9" x14ac:dyDescent="0.25">
      <c r="B25" s="6">
        <v>43443</v>
      </c>
      <c r="C25" s="40">
        <f>WEEKNUM(NFL_bets[[#This Row],[Date]],12)-WEEKNUM(DATE(2018,9,9),12)+1</f>
        <v>14</v>
      </c>
      <c r="D25" s="8" t="s">
        <v>55</v>
      </c>
      <c r="E25" s="8" t="s">
        <v>56</v>
      </c>
      <c r="F25" s="9">
        <v>20</v>
      </c>
      <c r="G25" s="30">
        <v>-115</v>
      </c>
      <c r="H25" s="10" t="s">
        <v>69</v>
      </c>
      <c r="I25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20</v>
      </c>
    </row>
    <row r="26" spans="2:9" x14ac:dyDescent="0.25">
      <c r="B26" s="6">
        <v>43443</v>
      </c>
      <c r="C26" s="40">
        <f>WEEKNUM(NFL_bets[[#This Row],[Date]],12)-WEEKNUM(DATE(2018,9,9),12)+1</f>
        <v>14</v>
      </c>
      <c r="D26" s="8" t="s">
        <v>57</v>
      </c>
      <c r="E26" s="8" t="s">
        <v>32</v>
      </c>
      <c r="F26" s="9">
        <v>20</v>
      </c>
      <c r="G26" s="30">
        <v>-115</v>
      </c>
      <c r="H26" s="10" t="s">
        <v>7</v>
      </c>
      <c r="I26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27" spans="2:9" x14ac:dyDescent="0.25">
      <c r="B27" s="6">
        <v>43443</v>
      </c>
      <c r="C27" s="40">
        <f>WEEKNUM(NFL_bets[[#This Row],[Date]],12)-WEEKNUM(DATE(2018,9,9),12)+1</f>
        <v>14</v>
      </c>
      <c r="D27" s="8" t="s">
        <v>57</v>
      </c>
      <c r="E27" s="8" t="s">
        <v>67</v>
      </c>
      <c r="F27" s="9">
        <v>20</v>
      </c>
      <c r="G27" s="30">
        <v>-110</v>
      </c>
      <c r="H27" s="10" t="s">
        <v>37</v>
      </c>
      <c r="I27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38.181818181818187</v>
      </c>
    </row>
    <row r="28" spans="2:9" x14ac:dyDescent="0.25">
      <c r="B28" s="6">
        <v>43443</v>
      </c>
      <c r="C28" s="40">
        <f>WEEKNUM(NFL_bets[[#This Row],[Date]],12)-WEEKNUM(DATE(2018,9,9),12)+1</f>
        <v>14</v>
      </c>
      <c r="D28" s="8" t="s">
        <v>58</v>
      </c>
      <c r="E28" s="8" t="s">
        <v>59</v>
      </c>
      <c r="F28" s="9">
        <v>20</v>
      </c>
      <c r="G28" s="30">
        <v>-110</v>
      </c>
      <c r="H28" s="10" t="s">
        <v>37</v>
      </c>
      <c r="I28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38.181818181818187</v>
      </c>
    </row>
    <row r="29" spans="2:9" x14ac:dyDescent="0.25">
      <c r="B29" s="6">
        <v>43443</v>
      </c>
      <c r="C29" s="40">
        <f>WEEKNUM(NFL_bets[[#This Row],[Date]],12)-WEEKNUM(DATE(2018,9,9),12)+1</f>
        <v>14</v>
      </c>
      <c r="D29" s="8" t="s">
        <v>60</v>
      </c>
      <c r="E29" s="8" t="s">
        <v>61</v>
      </c>
      <c r="F29" s="9">
        <v>20</v>
      </c>
      <c r="G29" s="30">
        <v>-110</v>
      </c>
      <c r="H29" s="10" t="s">
        <v>7</v>
      </c>
      <c r="I29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30" spans="2:9" x14ac:dyDescent="0.25">
      <c r="B30" s="6">
        <v>43443</v>
      </c>
      <c r="C30" s="40">
        <f>WEEKNUM(NFL_bets[[#This Row],[Date]],12)-WEEKNUM(DATE(2018,9,9),12)+1</f>
        <v>14</v>
      </c>
      <c r="D30" s="8" t="s">
        <v>62</v>
      </c>
      <c r="E30" s="8" t="s">
        <v>68</v>
      </c>
      <c r="F30" s="9">
        <v>20</v>
      </c>
      <c r="G30" s="30">
        <v>-110</v>
      </c>
      <c r="H30" s="10" t="s">
        <v>7</v>
      </c>
      <c r="I30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31" spans="2:9" x14ac:dyDescent="0.25">
      <c r="B31" s="6">
        <v>43443</v>
      </c>
      <c r="C31" s="40">
        <f>WEEKNUM(NFL_bets[[#This Row],[Date]],12)-WEEKNUM(DATE(2018,9,9),12)+1</f>
        <v>14</v>
      </c>
      <c r="D31" s="7" t="s">
        <v>70</v>
      </c>
      <c r="E31" s="8" t="s">
        <v>71</v>
      </c>
      <c r="F31" s="9">
        <v>10</v>
      </c>
      <c r="G31" s="30">
        <v>-110</v>
      </c>
      <c r="H31" s="10" t="s">
        <v>37</v>
      </c>
      <c r="I31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32" spans="2:9" x14ac:dyDescent="0.25">
      <c r="B32" s="6">
        <v>43443</v>
      </c>
      <c r="C32" s="40">
        <f>WEEKNUM(NFL_bets[[#This Row],[Date]],12)-WEEKNUM(DATE(2018,9,9),12)+1</f>
        <v>14</v>
      </c>
      <c r="D32" s="7" t="s">
        <v>72</v>
      </c>
      <c r="E32" s="8" t="s">
        <v>73</v>
      </c>
      <c r="F32" s="9">
        <v>10</v>
      </c>
      <c r="G32" s="30">
        <v>-105</v>
      </c>
      <c r="H32" s="10" t="s">
        <v>37</v>
      </c>
      <c r="I32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19.523809523809526</v>
      </c>
    </row>
    <row r="33" spans="2:13" x14ac:dyDescent="0.25">
      <c r="B33" s="6">
        <v>43443</v>
      </c>
      <c r="C33" s="40">
        <f>WEEKNUM(NFL_bets[[#This Row],[Date]],12)-WEEKNUM(DATE(2018,9,9),12)+1</f>
        <v>14</v>
      </c>
      <c r="D33" s="7" t="s">
        <v>72</v>
      </c>
      <c r="E33" s="8" t="s">
        <v>81</v>
      </c>
      <c r="F33" s="9">
        <v>10</v>
      </c>
      <c r="G33" s="30">
        <v>-115</v>
      </c>
      <c r="H33" s="10" t="s">
        <v>7</v>
      </c>
      <c r="I33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34" spans="2:13" x14ac:dyDescent="0.25">
      <c r="B34" s="6">
        <v>43444</v>
      </c>
      <c r="C34" s="40">
        <f>WEEKNUM(NFL_bets[[#This Row],[Date]],12)-WEEKNUM(DATE(2018,9,9),12)+1</f>
        <v>14</v>
      </c>
      <c r="D34" s="7" t="s">
        <v>75</v>
      </c>
      <c r="E34" s="8" t="s">
        <v>76</v>
      </c>
      <c r="F34" s="9">
        <v>10</v>
      </c>
      <c r="G34" s="30">
        <v>-115</v>
      </c>
      <c r="H34" s="10" t="s">
        <v>37</v>
      </c>
      <c r="I34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18.695652173913043</v>
      </c>
    </row>
    <row r="35" spans="2:13" x14ac:dyDescent="0.25">
      <c r="B35" s="6">
        <v>43447</v>
      </c>
      <c r="C35" s="40">
        <f>WEEKNUM(NFL_bets[[#This Row],[Date]],12)-WEEKNUM(DATE(2018,9,9),12)+1</f>
        <v>15</v>
      </c>
      <c r="D35" s="7" t="s">
        <v>77</v>
      </c>
      <c r="E35" s="8" t="s">
        <v>78</v>
      </c>
      <c r="F35" s="9">
        <v>10</v>
      </c>
      <c r="G35" s="30">
        <v>-110</v>
      </c>
      <c r="H35" s="10" t="s">
        <v>37</v>
      </c>
      <c r="I35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36" spans="2:13" x14ac:dyDescent="0.25">
      <c r="B36" s="6">
        <v>43447</v>
      </c>
      <c r="C36" s="40">
        <f>WEEKNUM(NFL_bets[[#This Row],[Date]],12)-WEEKNUM(DATE(2018,9,9),12)+1</f>
        <v>15</v>
      </c>
      <c r="D36" s="7" t="s">
        <v>77</v>
      </c>
      <c r="E36" s="8" t="s">
        <v>79</v>
      </c>
      <c r="F36" s="9">
        <v>10</v>
      </c>
      <c r="G36" s="30">
        <v>-115</v>
      </c>
      <c r="H36" s="10" t="s">
        <v>37</v>
      </c>
      <c r="I36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18.695652173913043</v>
      </c>
    </row>
    <row r="37" spans="2:13" x14ac:dyDescent="0.25">
      <c r="B37" s="6">
        <v>43449</v>
      </c>
      <c r="C37" s="40">
        <f>WEEKNUM(NFL_bets[[#This Row],[Date]],12)-WEEKNUM(DATE(2018,9,9),12)+1</f>
        <v>15</v>
      </c>
      <c r="D37" t="s">
        <v>80</v>
      </c>
      <c r="E37" t="s">
        <v>81</v>
      </c>
      <c r="F37" s="9">
        <v>10</v>
      </c>
      <c r="G37" s="30">
        <v>-115</v>
      </c>
      <c r="H37" s="10" t="s">
        <v>7</v>
      </c>
      <c r="I37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38" spans="2:13" x14ac:dyDescent="0.25">
      <c r="B38" s="6">
        <v>43449</v>
      </c>
      <c r="C38" s="40">
        <f>WEEKNUM(NFL_bets[[#This Row],[Date]],12)-WEEKNUM(DATE(2018,9,9),12)+1</f>
        <v>15</v>
      </c>
      <c r="D38" t="s">
        <v>80</v>
      </c>
      <c r="E38" t="s">
        <v>82</v>
      </c>
      <c r="F38" s="9">
        <v>10</v>
      </c>
      <c r="G38" s="30">
        <v>-115</v>
      </c>
      <c r="H38" s="10" t="s">
        <v>69</v>
      </c>
      <c r="I38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10</v>
      </c>
    </row>
    <row r="39" spans="2:13" x14ac:dyDescent="0.25">
      <c r="B39" s="6">
        <v>43449</v>
      </c>
      <c r="C39" s="40">
        <f>WEEKNUM(NFL_bets[[#This Row],[Date]],12)-WEEKNUM(DATE(2018,9,9),12)+1</f>
        <v>15</v>
      </c>
      <c r="D39" t="s">
        <v>83</v>
      </c>
      <c r="E39" t="s">
        <v>84</v>
      </c>
      <c r="F39" s="9">
        <v>10</v>
      </c>
      <c r="G39" s="30">
        <v>-110</v>
      </c>
      <c r="H39" s="10" t="s">
        <v>37</v>
      </c>
      <c r="I39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40" spans="2:13" x14ac:dyDescent="0.25">
      <c r="B40" s="6">
        <v>43450</v>
      </c>
      <c r="C40" s="40">
        <f>WEEKNUM(NFL_bets[[#This Row],[Date]],12)-WEEKNUM(DATE(2018,9,9),12)+1</f>
        <v>15</v>
      </c>
      <c r="D40" s="7" t="s">
        <v>85</v>
      </c>
      <c r="E40" s="8" t="s">
        <v>86</v>
      </c>
      <c r="F40" s="9">
        <v>10</v>
      </c>
      <c r="G40" s="30">
        <v>-115</v>
      </c>
      <c r="H40" s="10" t="s">
        <v>7</v>
      </c>
      <c r="I40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41" spans="2:13" x14ac:dyDescent="0.25">
      <c r="B41" s="6">
        <v>43450</v>
      </c>
      <c r="C41" s="40">
        <f>WEEKNUM(NFL_bets[[#This Row],[Date]],12)-WEEKNUM(DATE(2018,9,9),12)+1</f>
        <v>15</v>
      </c>
      <c r="D41" s="7" t="s">
        <v>85</v>
      </c>
      <c r="E41" s="8" t="s">
        <v>74</v>
      </c>
      <c r="F41" s="9">
        <v>10</v>
      </c>
      <c r="G41" s="30">
        <v>-120</v>
      </c>
      <c r="H41" s="10" t="s">
        <v>37</v>
      </c>
      <c r="I41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18.333333333333332</v>
      </c>
    </row>
    <row r="42" spans="2:13" x14ac:dyDescent="0.25">
      <c r="B42" s="6">
        <v>43450</v>
      </c>
      <c r="C42" s="40">
        <f>WEEKNUM(NFL_bets[[#This Row],[Date]],12)-WEEKNUM(DATE(2018,9,9),12)+1</f>
        <v>15</v>
      </c>
      <c r="D42" s="7" t="s">
        <v>87</v>
      </c>
      <c r="E42" s="8" t="s">
        <v>29</v>
      </c>
      <c r="F42" s="9">
        <v>10</v>
      </c>
      <c r="G42" s="30">
        <v>-115</v>
      </c>
      <c r="H42" s="10" t="s">
        <v>37</v>
      </c>
      <c r="I42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18.695652173913043</v>
      </c>
    </row>
    <row r="43" spans="2:13" x14ac:dyDescent="0.25">
      <c r="B43" s="6">
        <v>43450</v>
      </c>
      <c r="C43" s="40">
        <f>WEEKNUM(NFL_bets[[#This Row],[Date]],12)-WEEKNUM(DATE(2018,9,9),12)+1</f>
        <v>15</v>
      </c>
      <c r="D43" s="7" t="s">
        <v>88</v>
      </c>
      <c r="E43" s="8" t="s">
        <v>89</v>
      </c>
      <c r="F43" s="9">
        <v>10</v>
      </c>
      <c r="G43" s="30">
        <v>-120</v>
      </c>
      <c r="H43" s="10" t="s">
        <v>37</v>
      </c>
      <c r="I43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18.333333333333332</v>
      </c>
    </row>
    <row r="44" spans="2:13" x14ac:dyDescent="0.25">
      <c r="B44" s="6">
        <v>43450</v>
      </c>
      <c r="C44" s="40">
        <f>WEEKNUM(NFL_bets[[#This Row],[Date]],12)-WEEKNUM(DATE(2018,9,9),12)+1</f>
        <v>15</v>
      </c>
      <c r="D44" s="7" t="s">
        <v>90</v>
      </c>
      <c r="E44" s="8" t="s">
        <v>42</v>
      </c>
      <c r="F44" s="9">
        <v>10</v>
      </c>
      <c r="G44" s="30">
        <v>-115</v>
      </c>
      <c r="H44" s="10" t="s">
        <v>7</v>
      </c>
      <c r="I44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45" spans="2:13" x14ac:dyDescent="0.25">
      <c r="B45" s="6">
        <v>43450</v>
      </c>
      <c r="C45" s="40">
        <f>WEEKNUM(NFL_bets[[#This Row],[Date]],12)-WEEKNUM(DATE(2018,9,9),12)+1</f>
        <v>15</v>
      </c>
      <c r="D45" s="7" t="s">
        <v>90</v>
      </c>
      <c r="E45" s="8" t="s">
        <v>91</v>
      </c>
      <c r="F45" s="9">
        <v>10</v>
      </c>
      <c r="G45" s="30">
        <v>-105</v>
      </c>
      <c r="H45" s="10" t="s">
        <v>37</v>
      </c>
      <c r="I45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19.523809523809526</v>
      </c>
    </row>
    <row r="46" spans="2:13" x14ac:dyDescent="0.25">
      <c r="B46" s="6">
        <v>43450</v>
      </c>
      <c r="C46" s="40">
        <f>WEEKNUM(NFL_bets[[#This Row],[Date]],12)-WEEKNUM(DATE(2018,9,9),12)+1</f>
        <v>15</v>
      </c>
      <c r="D46" s="7" t="s">
        <v>92</v>
      </c>
      <c r="E46" s="8" t="s">
        <v>93</v>
      </c>
      <c r="F46" s="9">
        <v>10</v>
      </c>
      <c r="G46" s="30">
        <v>-120</v>
      </c>
      <c r="H46" s="10" t="s">
        <v>37</v>
      </c>
      <c r="I46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18.333333333333332</v>
      </c>
    </row>
    <row r="47" spans="2:13" x14ac:dyDescent="0.25">
      <c r="B47" s="6">
        <v>43450</v>
      </c>
      <c r="C47" s="40">
        <f>WEEKNUM(NFL_bets[[#This Row],[Date]],12)-WEEKNUM(DATE(2018,9,9),12)+1</f>
        <v>15</v>
      </c>
      <c r="D47" s="7" t="s">
        <v>94</v>
      </c>
      <c r="E47" s="8" t="s">
        <v>30</v>
      </c>
      <c r="F47" s="9">
        <v>10</v>
      </c>
      <c r="G47" s="30">
        <v>-110</v>
      </c>
      <c r="H47" s="10" t="s">
        <v>7</v>
      </c>
      <c r="I47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48" spans="2:13" x14ac:dyDescent="0.25">
      <c r="B48" s="6">
        <v>43450</v>
      </c>
      <c r="C48" s="40">
        <f>WEEKNUM(NFL_bets[[#This Row],[Date]],12)-WEEKNUM(DATE(2018,9,9),12)+1</f>
        <v>15</v>
      </c>
      <c r="D48" s="7" t="s">
        <v>95</v>
      </c>
      <c r="E48" s="8" t="s">
        <v>26</v>
      </c>
      <c r="F48" s="9">
        <v>10</v>
      </c>
      <c r="G48" s="30">
        <v>-115</v>
      </c>
      <c r="H48" s="10" t="s">
        <v>37</v>
      </c>
      <c r="I48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18.695652173913043</v>
      </c>
      <c r="M48" s="13"/>
    </row>
    <row r="49" spans="2:9" x14ac:dyDescent="0.25">
      <c r="B49" s="6">
        <v>43450</v>
      </c>
      <c r="C49" s="40">
        <f>WEEKNUM(NFL_bets[[#This Row],[Date]],12)-WEEKNUM(DATE(2018,9,9),12)+1</f>
        <v>15</v>
      </c>
      <c r="D49" s="7" t="s">
        <v>96</v>
      </c>
      <c r="E49" s="8" t="s">
        <v>100</v>
      </c>
      <c r="F49" s="9">
        <v>10</v>
      </c>
      <c r="G49" s="30">
        <v>-110</v>
      </c>
      <c r="H49" s="10" t="s">
        <v>37</v>
      </c>
      <c r="I49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50" spans="2:9" x14ac:dyDescent="0.25">
      <c r="B50" s="6">
        <v>43450</v>
      </c>
      <c r="C50" s="40">
        <f>WEEKNUM(NFL_bets[[#This Row],[Date]],12)-WEEKNUM(DATE(2018,9,9),12)+1</f>
        <v>15</v>
      </c>
      <c r="D50" s="7" t="s">
        <v>96</v>
      </c>
      <c r="E50" s="8" t="s">
        <v>101</v>
      </c>
      <c r="F50" s="9">
        <v>10</v>
      </c>
      <c r="G50" s="30">
        <v>-115</v>
      </c>
      <c r="H50" s="10" t="s">
        <v>37</v>
      </c>
      <c r="I50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18.695652173913043</v>
      </c>
    </row>
    <row r="51" spans="2:9" x14ac:dyDescent="0.25">
      <c r="B51" s="6">
        <v>43450</v>
      </c>
      <c r="C51" s="40">
        <f>WEEKNUM(NFL_bets[[#This Row],[Date]],12)-WEEKNUM(DATE(2018,9,9),12)+1</f>
        <v>15</v>
      </c>
      <c r="D51" s="7" t="s">
        <v>97</v>
      </c>
      <c r="E51" s="8" t="s">
        <v>98</v>
      </c>
      <c r="F51" s="9">
        <v>10</v>
      </c>
      <c r="G51" s="30">
        <v>-110</v>
      </c>
      <c r="H51" s="10" t="s">
        <v>37</v>
      </c>
      <c r="I51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52" spans="2:9" x14ac:dyDescent="0.25">
      <c r="B52" s="6">
        <v>43450</v>
      </c>
      <c r="C52" s="40">
        <f>WEEKNUM(NFL_bets[[#This Row],[Date]],12)-WEEKNUM(DATE(2018,9,9),12)+1</f>
        <v>15</v>
      </c>
      <c r="D52" s="7" t="s">
        <v>97</v>
      </c>
      <c r="E52" s="8" t="s">
        <v>102</v>
      </c>
      <c r="F52" s="9">
        <v>10</v>
      </c>
      <c r="G52" s="30">
        <v>-110</v>
      </c>
      <c r="H52" s="10" t="s">
        <v>7</v>
      </c>
      <c r="I52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53" spans="2:9" x14ac:dyDescent="0.25">
      <c r="B53" s="6">
        <v>43450</v>
      </c>
      <c r="C53" s="40">
        <f>WEEKNUM(NFL_bets[[#This Row],[Date]],12)-WEEKNUM(DATE(2018,9,9),12)+1</f>
        <v>15</v>
      </c>
      <c r="D53" s="7" t="s">
        <v>99</v>
      </c>
      <c r="E53" s="8" t="s">
        <v>104</v>
      </c>
      <c r="F53" s="9">
        <v>10</v>
      </c>
      <c r="G53" s="30">
        <v>-115</v>
      </c>
      <c r="H53" s="10" t="s">
        <v>7</v>
      </c>
      <c r="I53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54" spans="2:9" x14ac:dyDescent="0.25">
      <c r="B54" s="6">
        <v>43450</v>
      </c>
      <c r="C54" s="40">
        <f>WEEKNUM(NFL_bets[[#This Row],[Date]],12)-WEEKNUM(DATE(2018,9,9),12)+1</f>
        <v>15</v>
      </c>
      <c r="D54" s="7" t="s">
        <v>99</v>
      </c>
      <c r="E54" s="8" t="s">
        <v>103</v>
      </c>
      <c r="F54" s="9">
        <v>10</v>
      </c>
      <c r="G54" s="30">
        <v>-120</v>
      </c>
      <c r="H54" s="10" t="s">
        <v>37</v>
      </c>
      <c r="I54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18.333333333333332</v>
      </c>
    </row>
    <row r="55" spans="2:9" x14ac:dyDescent="0.25">
      <c r="B55" s="6">
        <v>43450</v>
      </c>
      <c r="C55" s="40">
        <f>WEEKNUM(NFL_bets[[#This Row],[Date]],12)-WEEKNUM(DATE(2018,9,9),12)+1</f>
        <v>15</v>
      </c>
      <c r="D55" s="7" t="s">
        <v>99</v>
      </c>
      <c r="E55" s="8" t="s">
        <v>110</v>
      </c>
      <c r="F55" s="9">
        <v>10</v>
      </c>
      <c r="G55" s="30">
        <v>130</v>
      </c>
      <c r="H55" s="10" t="s">
        <v>37</v>
      </c>
      <c r="I55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23</v>
      </c>
    </row>
    <row r="56" spans="2:9" x14ac:dyDescent="0.25">
      <c r="B56" s="6">
        <v>43450</v>
      </c>
      <c r="C56" s="40">
        <f>WEEKNUM(NFL_bets[[#This Row],[Date]],12)-WEEKNUM(DATE(2018,9,9),12)+1</f>
        <v>15</v>
      </c>
      <c r="D56" s="7" t="s">
        <v>105</v>
      </c>
      <c r="E56" s="8" t="s">
        <v>4</v>
      </c>
      <c r="F56" s="9">
        <v>10</v>
      </c>
      <c r="G56" s="30">
        <v>-110</v>
      </c>
      <c r="H56" s="10" t="s">
        <v>37</v>
      </c>
      <c r="I56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57" spans="2:9" x14ac:dyDescent="0.25">
      <c r="B57" s="6">
        <v>43450</v>
      </c>
      <c r="C57" s="40">
        <f>WEEKNUM(NFL_bets[[#This Row],[Date]],12)-WEEKNUM(DATE(2018,9,9),12)+1</f>
        <v>15</v>
      </c>
      <c r="D57" s="7" t="s">
        <v>105</v>
      </c>
      <c r="E57" s="8" t="s">
        <v>106</v>
      </c>
      <c r="F57" s="9">
        <v>10</v>
      </c>
      <c r="G57" s="30">
        <v>-110</v>
      </c>
      <c r="H57" s="10" t="s">
        <v>7</v>
      </c>
      <c r="I57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58" spans="2:9" x14ac:dyDescent="0.25">
      <c r="B58" s="6">
        <v>43451</v>
      </c>
      <c r="C58" s="40">
        <f>WEEKNUM(NFL_bets[[#This Row],[Date]],12)-WEEKNUM(DATE(2018,9,9),12)+1</f>
        <v>15</v>
      </c>
      <c r="D58" s="7" t="s">
        <v>107</v>
      </c>
      <c r="E58" s="8" t="s">
        <v>108</v>
      </c>
      <c r="F58" s="9">
        <v>10</v>
      </c>
      <c r="G58" s="30">
        <v>-105</v>
      </c>
      <c r="H58" s="10" t="s">
        <v>7</v>
      </c>
      <c r="I58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59" spans="2:9" x14ac:dyDescent="0.25">
      <c r="B59" s="6">
        <v>43456</v>
      </c>
      <c r="C59" s="40">
        <f>WEEKNUM(NFL_bets[[#This Row],[Date]],12)-WEEKNUM(DATE(2018,9,9),12)+1</f>
        <v>16</v>
      </c>
      <c r="D59" s="7" t="s">
        <v>165</v>
      </c>
      <c r="E59" s="8" t="s">
        <v>98</v>
      </c>
      <c r="F59" s="9">
        <v>10</v>
      </c>
      <c r="G59" s="30">
        <v>-105</v>
      </c>
      <c r="H59" s="10" t="s">
        <v>7</v>
      </c>
      <c r="I59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60" spans="2:9" x14ac:dyDescent="0.25">
      <c r="B60" s="6">
        <v>43457</v>
      </c>
      <c r="C60" s="40">
        <f>WEEKNUM(NFL_bets[[#This Row],[Date]],12)-WEEKNUM(DATE(2018,9,9),12)+1</f>
        <v>16</v>
      </c>
      <c r="D60" s="7" t="s">
        <v>166</v>
      </c>
      <c r="E60" s="8" t="s">
        <v>59</v>
      </c>
      <c r="F60" s="9">
        <v>10</v>
      </c>
      <c r="G60" s="30">
        <v>-110</v>
      </c>
      <c r="H60" s="10" t="s">
        <v>7</v>
      </c>
      <c r="I60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61" spans="2:9" x14ac:dyDescent="0.25">
      <c r="B61" s="6">
        <v>43470</v>
      </c>
      <c r="C61" s="40" t="s">
        <v>245</v>
      </c>
      <c r="D61" s="7" t="s">
        <v>65</v>
      </c>
      <c r="E61" s="8" t="s">
        <v>238</v>
      </c>
      <c r="F61" s="9">
        <v>10</v>
      </c>
      <c r="G61" s="73">
        <v>-110</v>
      </c>
      <c r="H61" s="10" t="s">
        <v>7</v>
      </c>
      <c r="I61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62" spans="2:9" x14ac:dyDescent="0.25">
      <c r="B62" s="6">
        <v>43470</v>
      </c>
      <c r="C62" s="40" t="s">
        <v>245</v>
      </c>
      <c r="D62" s="7" t="s">
        <v>239</v>
      </c>
      <c r="E62" s="8" t="s">
        <v>240</v>
      </c>
      <c r="F62" s="9">
        <v>10</v>
      </c>
      <c r="G62" s="73">
        <v>-110</v>
      </c>
      <c r="H62" s="10" t="s">
        <v>37</v>
      </c>
      <c r="I62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63" spans="2:9" x14ac:dyDescent="0.25">
      <c r="B63" s="6">
        <v>43470</v>
      </c>
      <c r="C63" s="40" t="s">
        <v>245</v>
      </c>
      <c r="D63" s="7" t="s">
        <v>239</v>
      </c>
      <c r="E63" s="8" t="s">
        <v>241</v>
      </c>
      <c r="F63" s="9">
        <v>10</v>
      </c>
      <c r="G63" s="73">
        <v>-110</v>
      </c>
      <c r="H63" s="10" t="s">
        <v>69</v>
      </c>
      <c r="I63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10</v>
      </c>
    </row>
    <row r="64" spans="2:9" x14ac:dyDescent="0.25">
      <c r="B64" s="6">
        <v>43471</v>
      </c>
      <c r="C64" s="40" t="s">
        <v>245</v>
      </c>
      <c r="D64" s="7" t="s">
        <v>242</v>
      </c>
      <c r="E64" s="8" t="s">
        <v>243</v>
      </c>
      <c r="F64" s="9">
        <v>10</v>
      </c>
      <c r="G64" s="73">
        <v>-110</v>
      </c>
      <c r="H64" s="10" t="s">
        <v>7</v>
      </c>
      <c r="I64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65" spans="2:9" x14ac:dyDescent="0.25">
      <c r="B65" s="6">
        <v>43471</v>
      </c>
      <c r="C65" s="40" t="s">
        <v>245</v>
      </c>
      <c r="D65" s="7" t="s">
        <v>242</v>
      </c>
      <c r="E65" s="8" t="s">
        <v>244</v>
      </c>
      <c r="F65" s="9">
        <v>10</v>
      </c>
      <c r="G65" s="73">
        <v>105</v>
      </c>
      <c r="H65" s="10" t="s">
        <v>37</v>
      </c>
      <c r="I65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20.5</v>
      </c>
    </row>
    <row r="66" spans="2:9" x14ac:dyDescent="0.25">
      <c r="B66" s="6">
        <v>43477</v>
      </c>
      <c r="C66" s="40" t="s">
        <v>338</v>
      </c>
      <c r="D66" s="7" t="s">
        <v>375</v>
      </c>
      <c r="E66" s="8" t="s">
        <v>376</v>
      </c>
      <c r="F66" s="9">
        <v>0</v>
      </c>
      <c r="G66" s="30">
        <v>-110</v>
      </c>
      <c r="H66" s="10" t="s">
        <v>7</v>
      </c>
      <c r="I66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67" spans="2:9" x14ac:dyDescent="0.25">
      <c r="B67" s="6">
        <v>43477</v>
      </c>
      <c r="C67" s="40" t="s">
        <v>338</v>
      </c>
      <c r="D67" s="7" t="s">
        <v>377</v>
      </c>
      <c r="E67" s="8" t="s">
        <v>378</v>
      </c>
      <c r="F67" s="9">
        <v>0</v>
      </c>
      <c r="G67" s="30">
        <v>-110</v>
      </c>
      <c r="H67" s="10" t="s">
        <v>37</v>
      </c>
      <c r="I67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68" spans="2:9" x14ac:dyDescent="0.25">
      <c r="B68" s="6">
        <v>43477</v>
      </c>
      <c r="C68" s="40" t="s">
        <v>338</v>
      </c>
      <c r="D68" s="7" t="s">
        <v>377</v>
      </c>
      <c r="E68" s="8" t="s">
        <v>379</v>
      </c>
      <c r="F68" s="9">
        <v>0</v>
      </c>
      <c r="G68" s="30">
        <v>-110</v>
      </c>
      <c r="H68" s="10" t="s">
        <v>37</v>
      </c>
      <c r="I68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69" spans="2:9" x14ac:dyDescent="0.25">
      <c r="B69" s="6">
        <v>43478</v>
      </c>
      <c r="C69" s="40" t="s">
        <v>338</v>
      </c>
      <c r="D69" s="7" t="s">
        <v>380</v>
      </c>
      <c r="E69" s="8" t="s">
        <v>68</v>
      </c>
      <c r="F69" s="9">
        <v>0</v>
      </c>
      <c r="G69" s="30">
        <v>-115</v>
      </c>
      <c r="H69" s="10" t="s">
        <v>37</v>
      </c>
      <c r="I69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70" spans="2:9" x14ac:dyDescent="0.25">
      <c r="B70" s="6">
        <v>43478</v>
      </c>
      <c r="C70" s="40" t="s">
        <v>338</v>
      </c>
      <c r="D70" s="7" t="s">
        <v>381</v>
      </c>
      <c r="E70" s="8" t="s">
        <v>56</v>
      </c>
      <c r="F70" s="9">
        <v>0</v>
      </c>
      <c r="G70" s="30">
        <v>-110</v>
      </c>
      <c r="H70" s="10" t="s">
        <v>7</v>
      </c>
      <c r="I70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71" spans="2:9" x14ac:dyDescent="0.25">
      <c r="B71" s="6">
        <v>43478</v>
      </c>
      <c r="C71" s="40" t="s">
        <v>338</v>
      </c>
      <c r="D71" s="7" t="s">
        <v>381</v>
      </c>
      <c r="E71" s="8" t="s">
        <v>382</v>
      </c>
      <c r="F71" s="9">
        <v>0</v>
      </c>
      <c r="G71" s="30">
        <v>-105</v>
      </c>
      <c r="H71" s="10" t="s">
        <v>7</v>
      </c>
      <c r="I71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  <row r="72" spans="2:9" x14ac:dyDescent="0.25">
      <c r="B72" s="6">
        <v>43485</v>
      </c>
      <c r="C72" s="40" t="s">
        <v>470</v>
      </c>
      <c r="D72" s="7" t="s">
        <v>471</v>
      </c>
      <c r="E72" s="8" t="s">
        <v>472</v>
      </c>
      <c r="F72" s="9">
        <v>10</v>
      </c>
      <c r="G72" s="107">
        <v>-110</v>
      </c>
      <c r="H72" s="10" t="s">
        <v>37</v>
      </c>
      <c r="I72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19.090909090909093</v>
      </c>
    </row>
    <row r="73" spans="2:9" x14ac:dyDescent="0.25">
      <c r="B73" s="6">
        <v>43499</v>
      </c>
      <c r="C73" s="40" t="s">
        <v>734</v>
      </c>
      <c r="D73" s="7" t="s">
        <v>735</v>
      </c>
      <c r="E73" s="8" t="s">
        <v>472</v>
      </c>
      <c r="F73" s="9">
        <v>22</v>
      </c>
      <c r="G73" s="111">
        <v>-110</v>
      </c>
      <c r="H73" s="10" t="s">
        <v>37</v>
      </c>
      <c r="I73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42</v>
      </c>
    </row>
    <row r="74" spans="2:9" x14ac:dyDescent="0.25">
      <c r="B74" s="6">
        <v>43499</v>
      </c>
      <c r="C74" s="40" t="s">
        <v>734</v>
      </c>
      <c r="D74" s="7" t="s">
        <v>735</v>
      </c>
      <c r="E74" s="8" t="s">
        <v>736</v>
      </c>
      <c r="F74" s="9">
        <v>12.32</v>
      </c>
      <c r="G74" s="111">
        <v>244</v>
      </c>
      <c r="H74" s="10" t="s">
        <v>7</v>
      </c>
      <c r="I74" s="9">
        <f>IF(NFL_bets[[#This Row],[Result]]="L",0,IF(NFL_bets[[#This Row],[Result]]="Push",NFL_bets[[#This Row],[Risk]],IF(NFL_bets[[#This Row],[Result]]="W",IF(NFL_bets[[#This Row],[Odds]]&gt;0,NFL_bets[[#This Row],[Odds]]/100*NFL_bets[[#This Row],[Risk]]+NFL_bets[[#This Row],[Risk]],(NFL_bets[[#This Row],[Risk]]/NFL_bets[[#This Row],[Odds]]*-100)+NFL_bets[[#This Row],[Risk]]),"")))</f>
        <v>0</v>
      </c>
    </row>
  </sheetData>
  <mergeCells count="4">
    <mergeCell ref="E1:F1"/>
    <mergeCell ref="E2:F2"/>
    <mergeCell ref="G2:H2"/>
    <mergeCell ref="G1:H1"/>
  </mergeCells>
  <conditionalFormatting sqref="B5:I74">
    <cfRule type="expression" dxfId="60" priority="1">
      <formula>IF($C5=$C4,0,1)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0"/>
  <sheetViews>
    <sheetView topLeftCell="A474" zoomScaleNormal="100" workbookViewId="0">
      <selection activeCell="E505" sqref="E505"/>
    </sheetView>
  </sheetViews>
  <sheetFormatPr defaultRowHeight="15" x14ac:dyDescent="0.25"/>
  <cols>
    <col min="1" max="1" width="1.5703125" style="70" customWidth="1"/>
    <col min="2" max="2" width="9.7109375" bestFit="1" customWidth="1"/>
    <col min="3" max="3" width="12.7109375" bestFit="1" customWidth="1"/>
    <col min="4" max="4" width="25.7109375" bestFit="1" customWidth="1"/>
    <col min="5" max="5" width="21.5703125" customWidth="1"/>
    <col min="6" max="6" width="9.7109375" bestFit="1" customWidth="1"/>
    <col min="7" max="7" width="11.140625" bestFit="1" customWidth="1"/>
    <col min="10" max="10" width="11.85546875" customWidth="1"/>
    <col min="11" max="11" width="15.5703125" style="29" bestFit="1" customWidth="1"/>
    <col min="12" max="12" width="10.7109375" style="29" bestFit="1" customWidth="1"/>
    <col min="13" max="13" width="10.7109375" style="94" customWidth="1"/>
    <col min="14" max="14" width="7.140625" style="29" bestFit="1" customWidth="1"/>
    <col min="15" max="15" width="7.140625" style="94" customWidth="1"/>
    <col min="16" max="16" width="8.28515625" bestFit="1" customWidth="1"/>
    <col min="17" max="17" width="7.7109375" bestFit="1" customWidth="1"/>
    <col min="19" max="19" width="3" customWidth="1"/>
    <col min="20" max="20" width="12" bestFit="1" customWidth="1"/>
    <col min="21" max="21" width="15.7109375" customWidth="1"/>
    <col min="23" max="23" width="12.7109375" bestFit="1" customWidth="1"/>
    <col min="27" max="27" width="11" bestFit="1" customWidth="1"/>
  </cols>
  <sheetData>
    <row r="1" spans="1:28" x14ac:dyDescent="0.25">
      <c r="C1" s="33" t="s">
        <v>38</v>
      </c>
      <c r="D1" s="33" t="s">
        <v>39</v>
      </c>
      <c r="E1" s="38" t="s">
        <v>138</v>
      </c>
      <c r="F1" s="151" t="s">
        <v>40</v>
      </c>
      <c r="G1" s="151"/>
    </row>
    <row r="2" spans="1:28" x14ac:dyDescent="0.25">
      <c r="C2" s="31">
        <f ca="1">SUMIF(NBA_Bets[Date],"&lt;"&amp;TODAY(),NBA_Bets[Winnings])-SUMIF(NBA_Bets[Date],"&lt;"&amp;TODAY(),NBA_Bets[Risk])</f>
        <v>-133.10530856920013</v>
      </c>
      <c r="D2" s="12">
        <f ca="1">C2/SUMIF(NBA_Bets[Date],"&lt;"&amp;TODAY(),NBA_Bets[Risk])</f>
        <v>-6.0842022091126886E-2</v>
      </c>
      <c r="E2" s="12" t="str">
        <f>COUNTIF(NBA_Bets[Result],"W")&amp;"-"&amp;COUNTIF(NBA_Bets[Result],"L")&amp;IF(COUNTIF(NBA_Bets[Result],"Push")=0,"","-"&amp;COUNTIF(NBA_Bets[Result],"Push"))</f>
        <v>246-248-7</v>
      </c>
      <c r="F2" s="152">
        <f>COUNTIF(NBA_Bets[Result],"W")/(COUNTIF(NBA_Bets[Result],"W")+COUNTIF(NBA_Bets[Result],"L"))</f>
        <v>0.49797570850202427</v>
      </c>
      <c r="G2" s="152"/>
      <c r="T2" t="s">
        <v>365</v>
      </c>
      <c r="U2" t="s">
        <v>1206</v>
      </c>
    </row>
    <row r="3" spans="1:28" ht="3.75" customHeight="1" x14ac:dyDescent="0.25"/>
    <row r="4" spans="1:28" x14ac:dyDescent="0.25">
      <c r="B4" s="29" t="s">
        <v>0</v>
      </c>
      <c r="C4" s="94" t="s">
        <v>365</v>
      </c>
      <c r="D4" s="29" t="s">
        <v>3</v>
      </c>
      <c r="E4" s="29" t="s">
        <v>1</v>
      </c>
      <c r="F4" s="29" t="s">
        <v>2</v>
      </c>
      <c r="G4" s="29" t="s">
        <v>109</v>
      </c>
      <c r="H4" s="29" t="s">
        <v>6</v>
      </c>
      <c r="I4" s="29" t="s">
        <v>5</v>
      </c>
      <c r="J4" s="94" t="s">
        <v>508</v>
      </c>
      <c r="K4"/>
      <c r="L4" s="91" t="s">
        <v>0</v>
      </c>
      <c r="M4" s="117" t="s">
        <v>365</v>
      </c>
      <c r="N4" s="153" t="s">
        <v>137</v>
      </c>
      <c r="O4" s="153"/>
      <c r="P4" s="153" t="s">
        <v>1048</v>
      </c>
      <c r="Q4" s="154"/>
      <c r="T4" s="43" t="s">
        <v>1049</v>
      </c>
      <c r="U4" s="43" t="s">
        <v>137</v>
      </c>
      <c r="V4" s="153" t="s">
        <v>1048</v>
      </c>
      <c r="W4" s="154"/>
      <c r="Y4" t="s">
        <v>365</v>
      </c>
      <c r="Z4" t="s">
        <v>137</v>
      </c>
      <c r="AA4" t="s">
        <v>756</v>
      </c>
      <c r="AB4" t="s">
        <v>367</v>
      </c>
    </row>
    <row r="5" spans="1:28" x14ac:dyDescent="0.25">
      <c r="A5" s="70">
        <f t="shared" ref="A5:A36" si="0">IF(B5=B4,A4,A4+1)</f>
        <v>1</v>
      </c>
      <c r="B5" s="6">
        <v>43451</v>
      </c>
      <c r="C5" s="6" t="s">
        <v>298</v>
      </c>
      <c r="D5" s="7" t="s">
        <v>112</v>
      </c>
      <c r="E5" s="8" t="s">
        <v>113</v>
      </c>
      <c r="F5" s="66">
        <v>5</v>
      </c>
      <c r="G5" s="37">
        <v>-110</v>
      </c>
      <c r="H5" s="10" t="s">
        <v>37</v>
      </c>
      <c r="I5" s="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5"/>
      <c r="L5" s="71">
        <f t="shared" ref="L5:L36" si="1">IFERROR(VLOOKUP(ROW()-4,A:B,2,0),0)</f>
        <v>43451</v>
      </c>
      <c r="M5" s="71" t="str">
        <f>IFERROR(VLOOKUP(L5,NBA_Bets[[Date]:[Version]],2,0),"")</f>
        <v>v1.0</v>
      </c>
      <c r="N5" s="130" t="str">
        <f>COUNTIFS(NBA_Bets[Date],L5,NBA_Bets[Result],"W")&amp;"-"&amp;COUNTIFS(NBA_Bets[Date],L5,NBA_Bets[Result],"L")&amp;IF(COUNTIFS(NBA_Bets[Date],L5,NBA_Bets[Result],"Push")&gt;0,"-"&amp;COUNTIFS(NBA_Bets[Date],L5,NBA_Bets[Result],"Push"),"")</f>
        <v>4-6</v>
      </c>
      <c r="O5" s="131">
        <f>IFERROR(COUNTIFS(NBA_Bets[Date],L5,NBA_Bets[Result],"W")/(COUNTIFS(NBA_Bets[Date],L5,NBA_Bets[Result],"W")+COUNTIFS(NBA_Bets[Date],L5,NBA_Bets[Result],"L")),"")</f>
        <v>0.4</v>
      </c>
      <c r="P5" s="90">
        <f>SUMIF(NBA_Bets[Date],L5,NBA_Bets[Winnings])-SUMIF(NBA_Bets[Date],L5,NBA_Bets[Risk])</f>
        <v>-11.061264822134383</v>
      </c>
      <c r="Q5" s="89" t="str">
        <f>IFERROR("("&amp;ROUND((SUMIF(NBA_Bets[Date],L5,NBA_Bets[Winnings])-SUMIF(NBA_Bets[Date],L5,NBA_Bets[Risk]))/SUMIF(NBA_Bets[Date],L5,NBA_Bets[Risk]),2)*100&amp;"%)","")</f>
        <v>(-22%)</v>
      </c>
      <c r="S5" s="3" t="s">
        <v>505</v>
      </c>
      <c r="T5" s="120" t="s">
        <v>47</v>
      </c>
      <c r="U5" s="43" t="str">
        <f>IFERROR(IF($U$2="All",COUNTIFS(NBA_Bets[Bet Type],S5,NBA_Bets[Result],"W")&amp;"-"&amp;COUNTIFS(NBA_Bets[Bet Type],S5,NBA_Bets[Result],"L")&amp;IF(COUNTIFS(NBA_Bets[Bet Type],S5,NBA_Bets[Result],"Push")&gt;0,"-"&amp;COUNTIFS(NBA_Bets[Bet Type],S5,NBA_Bets[Result],"Push"),"")&amp;" ("&amp;ROUND(COUNTIFS(NBA_Bets[Bet Type],S5,NBA_Bets[Result],"W")/(COUNTIFS(NBA_Bets[Bet Type],S5,NBA_Bets[Result],"W")+COUNTIFS(NBA_Bets[Bet Type],S5,NBA_Bets[Result],"L"))*100,1)&amp;"%)",COUNTIFS(NBA_Bets[Version],$U$2,NBA_Bets[Bet Type],S5,NBA_Bets[Result],"W")&amp;"-"&amp;COUNTIFS(NBA_Bets[Version],$U$2,NBA_Bets[Bet Type],S5,NBA_Bets[Result],"L")&amp;IF(COUNTIFS(NBA_Bets[Version],$U$2,NBA_Bets[Bet Type],S5,NBA_Bets[Result],"Push")&gt;0,"-"&amp;COUNTIFS(NBA_Bets[Version],$U$2,NBA_Bets[Bet Type],S5,NBA_Bets[Result],"Push"),"")&amp;" ("&amp;ROUND(COUNTIFS(NBA_Bets[Version],$U$2,NBA_Bets[Bet Type],S5,NBA_Bets[Result],"W")/(COUNTIFS(NBA_Bets[Version],$U$2,NBA_Bets[Bet Type],S5,NBA_Bets[Result],"W")+COUNTIFS(NBA_Bets[Version],$U$2,NBA_Bets[Bet Type],S5,NBA_Bets[Result],"L"))*100,1)&amp;"%)"),"No Bets")</f>
        <v>34-24 (58.6%)</v>
      </c>
      <c r="V5" s="125">
        <f>IF($U$2="All",SUMIF(NBA_Bets[Bet Type],S5,NBA_Bets[Winnings])-SUMIF(NBA_Bets[Bet Type],S5,NCAA_Bets[Risk]),SUMIFS(NBA_Bets[Winnings],NBA_Bets[Bet Type],S5,NBA_Bets[Version],$U$2)-SUMIFS(NBA_Bets[Risk],NBA_Bets[Bet Type],S5,NBA_Bets[Version],$U$2))</f>
        <v>31.562064746847341</v>
      </c>
      <c r="W5" s="126" t="str">
        <f>IF($U$2="All",IFERROR("("&amp;ROUND((SUMIF(NBA_Bets[Bet Type],S5,NBA_Bets[Winnings])-SUMIF(NBA_Bets[Bet Type],S5,NBA_Bets[Risk]))/SUMIF(NBA_Bets[Bet Type],S5,NBA_Bets[Risk]),2)*100&amp;"%)",""),IFERROR("("&amp;ROUND((SUMIFS(NBA_Bets[Winnings],NBA_Bets[Bet Type],S5,NBA_Bets[Version],$U$2)-SUMIFS(NBA_Bets[Risk],NBA_Bets[Bet Type],S5,NBA_Bets[Version],$U$2))/SUMIFS(NBA_Bets[Risk],NBA_Bets[Bet Type],S5,NBA_Bets[Version],$U$2),2)*100&amp;"%)",""))</f>
        <v>(13%)</v>
      </c>
      <c r="Y5" t="s">
        <v>298</v>
      </c>
      <c r="Z5" t="str">
        <f>COUNTIFS(NBA_Bets[Version],Y5,NBA_Bets[Result],"W")&amp;"-"&amp;COUNTIFS(NBA_Bets[Version],Y5,NBA_Bets[Result],"L")&amp;IF(COUNTIFS(NBA_Bets[Version],Y5,NBA_Bets[Result],"Push")&gt;0,"-"&amp;COUNTIFS(NBA_Bets[Version],Y5,NBA_Bets[Result],"Push"),"")</f>
        <v>4-6</v>
      </c>
      <c r="AA5" s="112">
        <f>COUNTIFS(NBA_Bets[Version],Y5,NBA_Bets[Result],"W")/(COUNTIFS(NBA_Bets[Version],Y5,NBA_Bets[Result],"L")+COUNTIFS(NBA_Bets[Version],Y5,NBA_Bets[Result],"W"))</f>
        <v>0.4</v>
      </c>
      <c r="AB5" t="s">
        <v>368</v>
      </c>
    </row>
    <row r="6" spans="1:28" x14ac:dyDescent="0.25">
      <c r="A6" s="70">
        <f t="shared" si="0"/>
        <v>1</v>
      </c>
      <c r="B6" s="6">
        <v>43451</v>
      </c>
      <c r="C6" s="6" t="s">
        <v>298</v>
      </c>
      <c r="D6" s="7" t="s">
        <v>112</v>
      </c>
      <c r="E6" s="8" t="s">
        <v>114</v>
      </c>
      <c r="F6" s="66">
        <v>5</v>
      </c>
      <c r="G6" s="37">
        <v>-110</v>
      </c>
      <c r="H6" s="10" t="s">
        <v>7</v>
      </c>
      <c r="I6" s="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6"/>
      <c r="L6" s="71">
        <f t="shared" si="1"/>
        <v>43452</v>
      </c>
      <c r="M6" s="71" t="str">
        <f>IFERROR(VLOOKUP(L6,NBA_Bets[[Date]:[Version]],2,0),"")</f>
        <v>v1.1</v>
      </c>
      <c r="N6" s="130" t="str">
        <f>COUNTIFS(NBA_Bets[Date],L6,NBA_Bets[Result],"W")&amp;"-"&amp;COUNTIFS(NBA_Bets[Date],L6,NBA_Bets[Result],"L")&amp;IF(COUNTIFS(NBA_Bets[Date],L6,NBA_Bets[Result],"Push")&gt;0,"-"&amp;COUNTIFS(NBA_Bets[Date],L6,NBA_Bets[Result],"Push"),"")</f>
        <v>3-2</v>
      </c>
      <c r="O6" s="131">
        <f>IFERROR(COUNTIFS(NBA_Bets[Date],L6,NBA_Bets[Result],"W")/(COUNTIFS(NBA_Bets[Date],L6,NBA_Bets[Result],"W")+COUNTIFS(NBA_Bets[Date],L6,NBA_Bets[Result],"L")),"")</f>
        <v>0.6</v>
      </c>
      <c r="P6" s="90">
        <f>SUMIF(NBA_Bets[Date],L6,NBA_Bets[Winnings])-SUMIF(NBA_Bets[Date],L6,NBA_Bets[Risk])</f>
        <v>3.2411067193675898</v>
      </c>
      <c r="Q6" s="89" t="str">
        <f>IFERROR("("&amp;ROUND((SUMIF(NBA_Bets[Date],L6,NBA_Bets[Winnings])-SUMIF(NBA_Bets[Date],L6,NBA_Bets[Risk]))/SUMIF(NBA_Bets[Date],L6,NBA_Bets[Risk]),2)*100&amp;"%)","")</f>
        <v>(13%)</v>
      </c>
      <c r="S6" s="3" t="s">
        <v>507</v>
      </c>
      <c r="T6" s="120" t="s">
        <v>48</v>
      </c>
      <c r="U6" s="43" t="str">
        <f>IFERROR(IF($U$2="All",COUNTIFS(NBA_Bets[Bet Type],S6,NBA_Bets[Result],"W")&amp;"-"&amp;COUNTIFS(NBA_Bets[Bet Type],S6,NBA_Bets[Result],"L")&amp;IF(COUNTIFS(NBA_Bets[Bet Type],S6,NBA_Bets[Result],"Push")&gt;0,"-"&amp;COUNTIFS(NBA_Bets[Bet Type],S6,NBA_Bets[Result],"Push"),"")&amp;" ("&amp;ROUND(COUNTIFS(NBA_Bets[Bet Type],S6,NBA_Bets[Result],"W")/(COUNTIFS(NBA_Bets[Bet Type],S6,NBA_Bets[Result],"W")+COUNTIFS(NBA_Bets[Bet Type],S6,NBA_Bets[Result],"L"))*100,1)&amp;"%)",COUNTIFS(NBA_Bets[Version],$U$2,NBA_Bets[Bet Type],S6,NBA_Bets[Result],"W")&amp;"-"&amp;COUNTIFS(NBA_Bets[Version],$U$2,NBA_Bets[Bet Type],S6,NBA_Bets[Result],"L")&amp;IF(COUNTIFS(NBA_Bets[Version],$U$2,NBA_Bets[Bet Type],S6,NBA_Bets[Result],"Push")&gt;0,"-"&amp;COUNTIFS(NBA_Bets[Version],$U$2,NBA_Bets[Bet Type],S6,NBA_Bets[Result],"Push"),"")&amp;" ("&amp;ROUND(COUNTIFS(NBA_Bets[Version],$U$2,NBA_Bets[Bet Type],S6,NBA_Bets[Result],"W")/(COUNTIFS(NBA_Bets[Version],$U$2,NBA_Bets[Bet Type],S6,NBA_Bets[Result],"W")+COUNTIFS(NBA_Bets[Version],$U$2,NBA_Bets[Bet Type],S6,NBA_Bets[Result],"L"))*100,1)&amp;"%)"),"No Bets")</f>
        <v>6-10-1 (37.5%)</v>
      </c>
      <c r="V6" s="125">
        <f>IF($U$2="All",SUMIF(NBA_Bets[Bet Type],S6,NBA_Bets[Winnings])-SUMIF(NBA_Bets[Bet Type],S6,NCAA_Bets[Risk]),SUMIFS(NBA_Bets[Winnings],NBA_Bets[Bet Type],S6,NBA_Bets[Version],$U$2)-SUMIFS(NBA_Bets[Risk],NBA_Bets[Bet Type],S6,NBA_Bets[Version],$U$2))</f>
        <v>-26.725296442687743</v>
      </c>
      <c r="W6" s="126" t="str">
        <f>IF($U$2="All",IFERROR("("&amp;ROUND((SUMIF(NBA_Bets[Bet Type],S6,NBA_Bets[Winnings])-SUMIF(NBA_Bets[Bet Type],S6,NBA_Bets[Risk]))/SUMIF(NBA_Bets[Bet Type],S6,NBA_Bets[Risk]),2)*100&amp;"%)",""),IFERROR("("&amp;ROUND((SUMIFS(NBA_Bets[Winnings],NBA_Bets[Bet Type],S6,NBA_Bets[Version],$U$2)-SUMIFS(NBA_Bets[Risk],NBA_Bets[Bet Type],S6,NBA_Bets[Version],$U$2))/SUMIFS(NBA_Bets[Risk],NBA_Bets[Bet Type],S6,NBA_Bets[Version],$U$2),2)*100&amp;"%)",""))</f>
        <v>(-32%)</v>
      </c>
      <c r="Y6" t="s">
        <v>299</v>
      </c>
      <c r="Z6" t="str">
        <f>COUNTIFS(NBA_Bets[Version],Y6,NBA_Bets[Result],"W")&amp;"-"&amp;COUNTIFS(NBA_Bets[Version],Y6,NBA_Bets[Result],"L")&amp;IF(COUNTIFS(NBA_Bets[Version],Y6,NBA_Bets[Result],"Push")&gt;0,"-"&amp;COUNTIFS(NBA_Bets[Version],Y6,NBA_Bets[Result],"Push"),"")</f>
        <v>19-28</v>
      </c>
      <c r="AA6" s="112">
        <f>COUNTIFS(NBA_Bets[Version],Y6,NBA_Bets[Result],"W")/(COUNTIFS(NBA_Bets[Version],Y6,NBA_Bets[Result],"L")+COUNTIFS(NBA_Bets[Version],Y6,NBA_Bets[Result],"W"))</f>
        <v>0.40425531914893614</v>
      </c>
      <c r="AB6" t="s">
        <v>369</v>
      </c>
    </row>
    <row r="7" spans="1:28" x14ac:dyDescent="0.25">
      <c r="A7" s="70">
        <f t="shared" si="0"/>
        <v>1</v>
      </c>
      <c r="B7" s="6">
        <v>43451</v>
      </c>
      <c r="C7" s="6" t="s">
        <v>298</v>
      </c>
      <c r="D7" s="7" t="s">
        <v>115</v>
      </c>
      <c r="E7" s="8" t="s">
        <v>116</v>
      </c>
      <c r="F7" s="66">
        <v>5</v>
      </c>
      <c r="G7" s="37">
        <v>-115</v>
      </c>
      <c r="H7" s="10" t="s">
        <v>7</v>
      </c>
      <c r="I7" s="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7"/>
      <c r="L7" s="71">
        <f t="shared" si="1"/>
        <v>43453</v>
      </c>
      <c r="M7" s="71" t="str">
        <f>IFERROR(VLOOKUP(L7,NBA_Bets[[Date]:[Version]],2,0),"")</f>
        <v>v1.1</v>
      </c>
      <c r="N7" s="130" t="str">
        <f>COUNTIFS(NBA_Bets[Date],L7,NBA_Bets[Result],"W")&amp;"-"&amp;COUNTIFS(NBA_Bets[Date],L7,NBA_Bets[Result],"L")&amp;IF(COUNTIFS(NBA_Bets[Date],L7,NBA_Bets[Result],"Push")&gt;0,"-"&amp;COUNTIFS(NBA_Bets[Date],L7,NBA_Bets[Result],"Push"),"")</f>
        <v>5-6</v>
      </c>
      <c r="O7" s="131">
        <f>IFERROR(COUNTIFS(NBA_Bets[Date],L7,NBA_Bets[Result],"W")/(COUNTIFS(NBA_Bets[Date],L7,NBA_Bets[Result],"W")+COUNTIFS(NBA_Bets[Date],L7,NBA_Bets[Result],"L")),"")</f>
        <v>0.45454545454545453</v>
      </c>
      <c r="P7" s="90">
        <f>SUMIF(NBA_Bets[Date],L7,NBA_Bets[Winnings])-SUMIF(NBA_Bets[Date],L7,NBA_Bets[Risk])</f>
        <v>-8.6420101637492905</v>
      </c>
      <c r="Q7" s="89" t="str">
        <f>IFERROR("("&amp;ROUND((SUMIF(NBA_Bets[Date],L7,NBA_Bets[Winnings])-SUMIF(NBA_Bets[Date],L7,NBA_Bets[Risk]))/SUMIF(NBA_Bets[Date],L7,NBA_Bets[Risk]),2)*100&amp;"%)","")</f>
        <v>(-8%)</v>
      </c>
      <c r="S7" s="3" t="s">
        <v>506</v>
      </c>
      <c r="T7" s="120" t="s">
        <v>49</v>
      </c>
      <c r="U7" s="43" t="str">
        <f>IFERROR(IF($U$2="All",COUNTIFS(NBA_Bets[Bet Type],S7,NBA_Bets[Result],"W")&amp;"-"&amp;COUNTIFS(NBA_Bets[Bet Type],S7,NBA_Bets[Result],"L")&amp;IF(COUNTIFS(NBA_Bets[Bet Type],S7,NBA_Bets[Result],"Push")&gt;0,"-"&amp;COUNTIFS(NBA_Bets[Bet Type],S7,NBA_Bets[Result],"Push"),"")&amp;" ("&amp;ROUND(COUNTIFS(NBA_Bets[Bet Type],S7,NBA_Bets[Result],"W")/(COUNTIFS(NBA_Bets[Bet Type],S7,NBA_Bets[Result],"W")+COUNTIFS(NBA_Bets[Bet Type],S7,NBA_Bets[Result],"L"))*100,1)&amp;"%)",COUNTIFS(NBA_Bets[Version],$U$2,NBA_Bets[Bet Type],S7,NBA_Bets[Result],"W")&amp;"-"&amp;COUNTIFS(NBA_Bets[Version],$U$2,NBA_Bets[Bet Type],S7,NBA_Bets[Result],"L")&amp;IF(COUNTIFS(NBA_Bets[Version],$U$2,NBA_Bets[Bet Type],S7,NBA_Bets[Result],"Push")&gt;0,"-"&amp;COUNTIFS(NBA_Bets[Version],$U$2,NBA_Bets[Bet Type],S7,NBA_Bets[Result],"Push"),"")&amp;" ("&amp;ROUND(COUNTIFS(NBA_Bets[Version],$U$2,NBA_Bets[Bet Type],S7,NBA_Bets[Result],"W")/(COUNTIFS(NBA_Bets[Version],$U$2,NBA_Bets[Bet Type],S7,NBA_Bets[Result],"W")+COUNTIFS(NBA_Bets[Version],$U$2,NBA_Bets[Bet Type],S7,NBA_Bets[Result],"L"))*100,1)&amp;"%)"),"No Bets")</f>
        <v>13-6-1 (68.4%)</v>
      </c>
      <c r="V7" s="125">
        <f>IF($U$2="All",SUMIF(NBA_Bets[Bet Type],S7,NBA_Bets[Winnings])-SUMIF(NBA_Bets[Bet Type],S7,NCAA_Bets[Risk]),SUMIFS(NBA_Bets[Winnings],NBA_Bets[Bet Type],S7,NBA_Bets[Version],$U$2)-SUMIFS(NBA_Bets[Risk],NBA_Bets[Bet Type],S7,NBA_Bets[Version],$U$2))</f>
        <v>32.507575757575765</v>
      </c>
      <c r="W7" s="126" t="str">
        <f>IF($U$2="All",IFERROR("("&amp;ROUND((SUMIF(NBA_Bets[Bet Type],S7,NBA_Bets[Winnings])-SUMIF(NBA_Bets[Bet Type],S7,NBA_Bets[Risk]))/SUMIF(NBA_Bets[Bet Type],S7,NBA_Bets[Risk]),2)*100&amp;"%)",""),IFERROR("("&amp;ROUND((SUMIFS(NBA_Bets[Winnings],NBA_Bets[Bet Type],S7,NBA_Bets[Version],$U$2)-SUMIFS(NBA_Bets[Risk],NBA_Bets[Bet Type],S7,NBA_Bets[Version],$U$2))/SUMIFS(NBA_Bets[Risk],NBA_Bets[Bet Type],S7,NBA_Bets[Version],$U$2),2)*100&amp;"%)",""))</f>
        <v>(41%)</v>
      </c>
      <c r="Y7" t="s">
        <v>300</v>
      </c>
      <c r="Z7" t="str">
        <f>COUNTIFS(NBA_Bets[Version],Y7,NBA_Bets[Result],"W")&amp;"-"&amp;COUNTIFS(NBA_Bets[Version],Y7,NBA_Bets[Result],"L")&amp;IF(COUNTIFS(NBA_Bets[Version],Y7,NBA_Bets[Result],"Push")&gt;0,"-"&amp;COUNTIFS(NBA_Bets[Version],Y7,NBA_Bets[Result],"Push"),"")</f>
        <v>20-16</v>
      </c>
      <c r="AA7" s="112">
        <f>COUNTIFS(NBA_Bets[Version],Y7,NBA_Bets[Result],"W")/(COUNTIFS(NBA_Bets[Version],Y7,NBA_Bets[Result],"L")+COUNTIFS(NBA_Bets[Version],Y7,NBA_Bets[Result],"W"))</f>
        <v>0.55555555555555558</v>
      </c>
      <c r="AB7" t="s">
        <v>372</v>
      </c>
    </row>
    <row r="8" spans="1:28" x14ac:dyDescent="0.25">
      <c r="A8" s="70">
        <f t="shared" si="0"/>
        <v>1</v>
      </c>
      <c r="B8" s="6">
        <v>43451</v>
      </c>
      <c r="C8" s="6" t="s">
        <v>298</v>
      </c>
      <c r="D8" s="7" t="s">
        <v>115</v>
      </c>
      <c r="E8" s="8" t="s">
        <v>117</v>
      </c>
      <c r="F8" s="66">
        <v>5</v>
      </c>
      <c r="G8" s="37">
        <v>-115</v>
      </c>
      <c r="H8" s="10" t="s">
        <v>7</v>
      </c>
      <c r="I8" s="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8"/>
      <c r="L8" s="71">
        <f t="shared" si="1"/>
        <v>43454</v>
      </c>
      <c r="M8" s="71" t="str">
        <f>IFERROR(VLOOKUP(L8,NBA_Bets[[Date]:[Version]],2,0),"")</f>
        <v>v1.1</v>
      </c>
      <c r="N8" s="130" t="str">
        <f>COUNTIFS(NBA_Bets[Date],L8,NBA_Bets[Result],"W")&amp;"-"&amp;COUNTIFS(NBA_Bets[Date],L8,NBA_Bets[Result],"L")&amp;IF(COUNTIFS(NBA_Bets[Date],L8,NBA_Bets[Result],"Push")&gt;0,"-"&amp;COUNTIFS(NBA_Bets[Date],L8,NBA_Bets[Result],"Push"),"")</f>
        <v>1-1</v>
      </c>
      <c r="O8" s="131">
        <f>IFERROR(COUNTIFS(NBA_Bets[Date],L8,NBA_Bets[Result],"W")/(COUNTIFS(NBA_Bets[Date],L8,NBA_Bets[Result],"W")+COUNTIFS(NBA_Bets[Date],L8,NBA_Bets[Result],"L")),"")</f>
        <v>0.5</v>
      </c>
      <c r="P8" s="90">
        <f>SUMIF(NBA_Bets[Date],L8,NBA_Bets[Winnings])-SUMIF(NBA_Bets[Date],L8,NBA_Bets[Risk])</f>
        <v>-1.304347826086957</v>
      </c>
      <c r="Q8" s="89" t="str">
        <f>IFERROR("("&amp;ROUND((SUMIF(NBA_Bets[Date],L8,NBA_Bets[Winnings])-SUMIF(NBA_Bets[Date],L8,NBA_Bets[Risk]))/SUMIF(NBA_Bets[Date],L8,NBA_Bets[Risk]),2)*100&amp;"%)","")</f>
        <v>(-7%)</v>
      </c>
      <c r="S8" s="3" t="s">
        <v>469</v>
      </c>
      <c r="T8" s="120" t="s">
        <v>429</v>
      </c>
      <c r="U8" s="43" t="str">
        <f>IFERROR(IF($U$2="All",COUNTIFS(NBA_Bets[Bet Type],S8,NBA_Bets[Result],"W")&amp;"-"&amp;COUNTIFS(NBA_Bets[Bet Type],S8,NBA_Bets[Result],"L")&amp;IF(COUNTIFS(NBA_Bets[Bet Type],S8,NBA_Bets[Result],"Push")&gt;0,"-"&amp;COUNTIFS(NBA_Bets[Bet Type],S8,NBA_Bets[Result],"Push"),"")&amp;" ("&amp;ROUND(COUNTIFS(NBA_Bets[Bet Type],S8,NBA_Bets[Result],"W")/(COUNTIFS(NBA_Bets[Bet Type],S8,NBA_Bets[Result],"W")+COUNTIFS(NBA_Bets[Bet Type],S8,NBA_Bets[Result],"L"))*100,1)&amp;"%)",COUNTIFS(NBA_Bets[Version],$U$2,NBA_Bets[Bet Type],S8,NBA_Bets[Result],"W")&amp;"-"&amp;COUNTIFS(NBA_Bets[Version],$U$2,NBA_Bets[Bet Type],S8,NBA_Bets[Result],"L")&amp;IF(COUNTIFS(NBA_Bets[Version],$U$2,NBA_Bets[Bet Type],S8,NBA_Bets[Result],"Push")&gt;0,"-"&amp;COUNTIFS(NBA_Bets[Version],$U$2,NBA_Bets[Bet Type],S8,NBA_Bets[Result],"Push"),"")&amp;" ("&amp;ROUND(COUNTIFS(NBA_Bets[Version],$U$2,NBA_Bets[Bet Type],S8,NBA_Bets[Result],"W")/(COUNTIFS(NBA_Bets[Version],$U$2,NBA_Bets[Bet Type],S8,NBA_Bets[Result],"W")+COUNTIFS(NBA_Bets[Version],$U$2,NBA_Bets[Bet Type],S8,NBA_Bets[Result],"L"))*100,1)&amp;"%)"),"No Bets")</f>
        <v>20-20-1 (50%)</v>
      </c>
      <c r="V8" s="125">
        <f>IF($U$2="All",SUMIF(NBA_Bets[Bet Type],S8,NBA_Bets[Winnings])-SUMIF(NBA_Bets[Bet Type],S8,NCAA_Bets[Risk]),SUMIFS(NBA_Bets[Winnings],NBA_Bets[Bet Type],S8,NBA_Bets[Version],$U$2)-SUMIFS(NBA_Bets[Risk],NBA_Bets[Bet Type],S8,NBA_Bets[Version],$U$2))</f>
        <v>-34.92885375494069</v>
      </c>
      <c r="W8" s="126" t="str">
        <f>IF($U$2="All",IFERROR("("&amp;ROUND((SUMIF(NBA_Bets[Bet Type],S8,NBA_Bets[Winnings])-SUMIF(NBA_Bets[Bet Type],S8,NBA_Bets[Risk]))/SUMIF(NBA_Bets[Bet Type],S8,NBA_Bets[Risk]),2)*100&amp;"%)",""),IFERROR("("&amp;ROUND((SUMIFS(NBA_Bets[Winnings],NBA_Bets[Bet Type],S8,NBA_Bets[Version],$U$2)-SUMIFS(NBA_Bets[Risk],NBA_Bets[Bet Type],S8,NBA_Bets[Version],$U$2))/SUMIFS(NBA_Bets[Risk],NBA_Bets[Bet Type],S8,NBA_Bets[Version],$U$2),2)*100&amp;"%)",""))</f>
        <v>(-19%)</v>
      </c>
      <c r="Y8" t="s">
        <v>297</v>
      </c>
      <c r="Z8" t="str">
        <f>COUNTIFS(NBA_Bets[Version],Y8,NBA_Bets[Result],"W")&amp;"-"&amp;COUNTIFS(NBA_Bets[Version],Y8,NBA_Bets[Result],"L")&amp;IF(COUNTIFS(NBA_Bets[Version],Y8,NBA_Bets[Result],"Push")&gt;0,"-"&amp;COUNTIFS(NBA_Bets[Version],Y8,NBA_Bets[Result],"Push"),"")</f>
        <v>33-16</v>
      </c>
      <c r="AA8" s="112">
        <f>COUNTIFS(NBA_Bets[Version],Y8,NBA_Bets[Result],"W")/(COUNTIFS(NBA_Bets[Version],Y8,NBA_Bets[Result],"L")+COUNTIFS(NBA_Bets[Version],Y8,NBA_Bets[Result],"W"))</f>
        <v>0.67346938775510201</v>
      </c>
      <c r="AB8" t="s">
        <v>370</v>
      </c>
    </row>
    <row r="9" spans="1:28" x14ac:dyDescent="0.25">
      <c r="A9" s="70">
        <f t="shared" si="0"/>
        <v>1</v>
      </c>
      <c r="B9" s="6">
        <v>43451</v>
      </c>
      <c r="C9" s="6" t="s">
        <v>298</v>
      </c>
      <c r="D9" s="7" t="s">
        <v>118</v>
      </c>
      <c r="E9" s="8" t="s">
        <v>119</v>
      </c>
      <c r="F9" s="66">
        <v>5</v>
      </c>
      <c r="G9" s="37">
        <v>-110</v>
      </c>
      <c r="H9" s="10" t="s">
        <v>7</v>
      </c>
      <c r="I9" s="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9"/>
      <c r="L9" s="71">
        <f t="shared" si="1"/>
        <v>43455</v>
      </c>
      <c r="M9" s="71" t="str">
        <f>IFERROR(VLOOKUP(L9,NBA_Bets[[Date]:[Version]],2,0),"")</f>
        <v>v1.1</v>
      </c>
      <c r="N9" s="130" t="str">
        <f>COUNTIFS(NBA_Bets[Date],L9,NBA_Bets[Result],"W")&amp;"-"&amp;COUNTIFS(NBA_Bets[Date],L9,NBA_Bets[Result],"L")&amp;IF(COUNTIFS(NBA_Bets[Date],L9,NBA_Bets[Result],"Push")&gt;0,"-"&amp;COUNTIFS(NBA_Bets[Date],L9,NBA_Bets[Result],"Push"),"")</f>
        <v>9-8</v>
      </c>
      <c r="O9" s="131">
        <f>IFERROR(COUNTIFS(NBA_Bets[Date],L9,NBA_Bets[Result],"W")/(COUNTIFS(NBA_Bets[Date],L9,NBA_Bets[Result],"W")+COUNTIFS(NBA_Bets[Date],L9,NBA_Bets[Result],"L")),"")</f>
        <v>0.52941176470588236</v>
      </c>
      <c r="P9" s="90">
        <f>SUMIF(NBA_Bets[Date],L9,NBA_Bets[Winnings])-SUMIF(NBA_Bets[Date],L9,NBA_Bets[Risk])</f>
        <v>0.9279126670431026</v>
      </c>
      <c r="Q9" s="89" t="str">
        <f>IFERROR("("&amp;ROUND((SUMIF(NBA_Bets[Date],L9,NBA_Bets[Winnings])-SUMIF(NBA_Bets[Date],L9,NBA_Bets[Risk]))/SUMIF(NBA_Bets[Date],L9,NBA_Bets[Risk]),2)*100&amp;"%)","")</f>
        <v>(1%)</v>
      </c>
      <c r="S9" s="3" t="s">
        <v>988</v>
      </c>
      <c r="T9" s="120" t="s">
        <v>986</v>
      </c>
      <c r="U9" s="43" t="str">
        <f>IFERROR(IF($U$2="All",COUNTIFS(NBA_Bets[Bet Type],S9,NBA_Bets[Result],"W")&amp;"-"&amp;COUNTIFS(NBA_Bets[Bet Type],S9,NBA_Bets[Result],"L")&amp;IF(COUNTIFS(NBA_Bets[Bet Type],S9,NBA_Bets[Result],"Push")&gt;0,"-"&amp;COUNTIFS(NBA_Bets[Bet Type],S9,NBA_Bets[Result],"Push"),"")&amp;" ("&amp;ROUND(COUNTIFS(NBA_Bets[Bet Type],S9,NBA_Bets[Result],"W")/(COUNTIFS(NBA_Bets[Bet Type],S9,NBA_Bets[Result],"W")+COUNTIFS(NBA_Bets[Bet Type],S9,NBA_Bets[Result],"L"))*100,1)&amp;"%)",COUNTIFS(NBA_Bets[Version],$U$2,NBA_Bets[Bet Type],S9,NBA_Bets[Result],"W")&amp;"-"&amp;COUNTIFS(NBA_Bets[Version],$U$2,NBA_Bets[Bet Type],S9,NBA_Bets[Result],"L")&amp;IF(COUNTIFS(NBA_Bets[Version],$U$2,NBA_Bets[Bet Type],S9,NBA_Bets[Result],"Push")&gt;0,"-"&amp;COUNTIFS(NBA_Bets[Version],$U$2,NBA_Bets[Bet Type],S9,NBA_Bets[Result],"Push"),"")&amp;" ("&amp;ROUND(COUNTIFS(NBA_Bets[Version],$U$2,NBA_Bets[Bet Type],S9,NBA_Bets[Result],"W")/(COUNTIFS(NBA_Bets[Version],$U$2,NBA_Bets[Bet Type],S9,NBA_Bets[Result],"W")+COUNTIFS(NBA_Bets[Version],$U$2,NBA_Bets[Bet Type],S9,NBA_Bets[Result],"L"))*100,1)&amp;"%)"),"No Bets")</f>
        <v>6-0 (100%)</v>
      </c>
      <c r="V9" s="125">
        <f>IF($U$2="All",SUMIF(NBA_Bets[Bet Type],S9,NBA_Bets[Winnings])-SUMIF(NBA_Bets[Bet Type],S9,NCAA_Bets[Risk]),SUMIFS(NBA_Bets[Winnings],NBA_Bets[Bet Type],S9,NBA_Bets[Version],$U$2)-SUMIFS(NBA_Bets[Risk],NBA_Bets[Bet Type],S9,NBA_Bets[Version],$U$2))</f>
        <v>6.4209726443769028</v>
      </c>
      <c r="W9" s="126" t="str">
        <f>IF($U$2="All",IFERROR("("&amp;ROUND((SUMIF(NBA_Bets[Bet Type],S9,NBA_Bets[Winnings])-SUMIF(NBA_Bets[Bet Type],S9,NBA_Bets[Risk]))/SUMIF(NBA_Bets[Bet Type],S9,NBA_Bets[Risk]),2)*100&amp;"%)",""),IFERROR("("&amp;ROUND((SUMIFS(NBA_Bets[Winnings],NBA_Bets[Bet Type],S9,NBA_Bets[Version],$U$2)-SUMIFS(NBA_Bets[Risk],NBA_Bets[Bet Type],S9,NBA_Bets[Version],$U$2))/SUMIFS(NBA_Bets[Risk],NBA_Bets[Bet Type],S9,NBA_Bets[Version],$U$2),2)*100&amp;"%)",""))</f>
        <v>(21%)</v>
      </c>
      <c r="Y9" t="s">
        <v>366</v>
      </c>
      <c r="Z9" t="str">
        <f>COUNTIFS(NBA_Bets[Version],Y9,NBA_Bets[Result],"W")&amp;"-"&amp;COUNTIFS(NBA_Bets[Version],Y9,NBA_Bets[Result],"L")&amp;IF(COUNTIFS(NBA_Bets[Version],Y9,NBA_Bets[Result],"Push")&gt;0,"-"&amp;COUNTIFS(NBA_Bets[Version],Y9,NBA_Bets[Result],"Push"),"")</f>
        <v>17-30-3</v>
      </c>
      <c r="AA9" s="112">
        <f>COUNTIFS(NBA_Bets[Version],Y9,NBA_Bets[Result],"W")/(COUNTIFS(NBA_Bets[Version],Y9,NBA_Bets[Result],"L")+COUNTIFS(NBA_Bets[Version],Y9,NBA_Bets[Result],"W"))</f>
        <v>0.36170212765957449</v>
      </c>
      <c r="AB9" t="s">
        <v>371</v>
      </c>
    </row>
    <row r="10" spans="1:28" x14ac:dyDescent="0.25">
      <c r="A10" s="70">
        <f t="shared" si="0"/>
        <v>1</v>
      </c>
      <c r="B10" s="6">
        <v>43451</v>
      </c>
      <c r="C10" s="6" t="s">
        <v>298</v>
      </c>
      <c r="D10" s="7" t="s">
        <v>120</v>
      </c>
      <c r="E10" s="8" t="s">
        <v>121</v>
      </c>
      <c r="F10" s="66">
        <v>5</v>
      </c>
      <c r="G10" s="37">
        <v>-105</v>
      </c>
      <c r="H10" s="10" t="s">
        <v>7</v>
      </c>
      <c r="I10" s="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0"/>
      <c r="L10" s="71">
        <f t="shared" si="1"/>
        <v>43456</v>
      </c>
      <c r="M10" s="71" t="str">
        <f>IFERROR(VLOOKUP(L10,NBA_Bets[[Date]:[Version]],2,0),"")</f>
        <v>v1.1</v>
      </c>
      <c r="N10" s="130" t="str">
        <f>COUNTIFS(NBA_Bets[Date],L10,NBA_Bets[Result],"W")&amp;"-"&amp;COUNTIFS(NBA_Bets[Date],L10,NBA_Bets[Result],"L")&amp;IF(COUNTIFS(NBA_Bets[Date],L10,NBA_Bets[Result],"Push")&gt;0,"-"&amp;COUNTIFS(NBA_Bets[Date],L10,NBA_Bets[Result],"Push"),"")</f>
        <v>1-11</v>
      </c>
      <c r="O10" s="131">
        <f>IFERROR(COUNTIFS(NBA_Bets[Date],L10,NBA_Bets[Result],"W")/(COUNTIFS(NBA_Bets[Date],L10,NBA_Bets[Result],"W")+COUNTIFS(NBA_Bets[Date],L10,NBA_Bets[Result],"L")),"")</f>
        <v>8.3333333333333329E-2</v>
      </c>
      <c r="P10" s="90">
        <f>SUMIF(NBA_Bets[Date],L10,NBA_Bets[Winnings])-SUMIF(NBA_Bets[Date],L10,NBA_Bets[Risk])</f>
        <v>-50.652173913043477</v>
      </c>
      <c r="Q10" s="89" t="str">
        <f>IFERROR("("&amp;ROUND((SUMIF(NBA_Bets[Date],L10,NBA_Bets[Winnings])-SUMIF(NBA_Bets[Date],L10,NBA_Bets[Risk]))/SUMIF(NBA_Bets[Date],L10,NBA_Bets[Risk]),2)*100&amp;"%)","")</f>
        <v>(-84%)</v>
      </c>
      <c r="S10" s="3" t="s">
        <v>989</v>
      </c>
      <c r="T10" s="120" t="s">
        <v>987</v>
      </c>
      <c r="U10" s="43" t="str">
        <f>IFERROR(IF($U$2="All",COUNTIFS(NBA_Bets[Bet Type],S10,NBA_Bets[Result],"W")&amp;"-"&amp;COUNTIFS(NBA_Bets[Bet Type],S10,NBA_Bets[Result],"L")&amp;IF(COUNTIFS(NBA_Bets[Bet Type],S10,NBA_Bets[Result],"Push")&gt;0,"-"&amp;COUNTIFS(NBA_Bets[Bet Type],S10,NBA_Bets[Result],"Push"),"")&amp;" ("&amp;ROUND(COUNTIFS(NBA_Bets[Bet Type],S10,NBA_Bets[Result],"W")/(COUNTIFS(NBA_Bets[Bet Type],S10,NBA_Bets[Result],"W")+COUNTIFS(NBA_Bets[Bet Type],S10,NBA_Bets[Result],"L"))*100,1)&amp;"%)",COUNTIFS(NBA_Bets[Version],$U$2,NBA_Bets[Bet Type],S10,NBA_Bets[Result],"W")&amp;"-"&amp;COUNTIFS(NBA_Bets[Version],$U$2,NBA_Bets[Bet Type],S10,NBA_Bets[Result],"L")&amp;IF(COUNTIFS(NBA_Bets[Version],$U$2,NBA_Bets[Bet Type],S10,NBA_Bets[Result],"Push")&gt;0,"-"&amp;COUNTIFS(NBA_Bets[Version],$U$2,NBA_Bets[Bet Type],S10,NBA_Bets[Result],"Push"),"")&amp;" ("&amp;ROUND(COUNTIFS(NBA_Bets[Version],$U$2,NBA_Bets[Bet Type],S10,NBA_Bets[Result],"W")/(COUNTIFS(NBA_Bets[Version],$U$2,NBA_Bets[Bet Type],S10,NBA_Bets[Result],"W")+COUNTIFS(NBA_Bets[Version],$U$2,NBA_Bets[Bet Type],S10,NBA_Bets[Result],"L"))*100,1)&amp;"%)"),"No Bets")</f>
        <v>No Bets</v>
      </c>
      <c r="V10" s="125">
        <f>IF($U$2="All",SUMIF(NBA_Bets[Bet Type],S10,NBA_Bets[Winnings])-SUMIF(NBA_Bets[Bet Type],S10,NCAA_Bets[Risk]),SUMIFS(NBA_Bets[Winnings],NBA_Bets[Bet Type],S10,NBA_Bets[Version],$U$2)-SUMIFS(NBA_Bets[Risk],NBA_Bets[Bet Type],S10,NBA_Bets[Version],$U$2))</f>
        <v>0</v>
      </c>
      <c r="W10" s="126" t="str">
        <f>IF($U$2="All",IFERROR("("&amp;ROUND((SUMIF(NBA_Bets[Bet Type],S10,NBA_Bets[Winnings])-SUMIF(NBA_Bets[Bet Type],S10,NBA_Bets[Risk]))/SUMIF(NBA_Bets[Bet Type],S10,NBA_Bets[Risk]),2)*100&amp;"%)",""),IFERROR("("&amp;ROUND((SUMIFS(NBA_Bets[Winnings],NBA_Bets[Bet Type],S10,NBA_Bets[Version],$U$2)-SUMIFS(NBA_Bets[Risk],NBA_Bets[Bet Type],S10,NBA_Bets[Version],$U$2))/SUMIFS(NBA_Bets[Risk],NBA_Bets[Bet Type],S10,NBA_Bets[Version],$U$2),2)*100&amp;"%)",""))</f>
        <v/>
      </c>
      <c r="Y10" t="s">
        <v>427</v>
      </c>
      <c r="Z10" t="str">
        <f>COUNTIFS(NBA_Bets[Version],Y10,NBA_Bets[Result],"W")&amp;"-"&amp;COUNTIFS(NBA_Bets[Version],Y10,NBA_Bets[Result],"L")&amp;IF(COUNTIFS(NBA_Bets[Version],Y10,NBA_Bets[Result],"Push")&gt;0,"-"&amp;COUNTIFS(NBA_Bets[Version],Y10,NBA_Bets[Result],"Push"),"")</f>
        <v>30-27</v>
      </c>
      <c r="AA10" s="112">
        <f>COUNTIFS(NBA_Bets[Version],Y10,NBA_Bets[Result],"W")/(COUNTIFS(NBA_Bets[Version],Y10,NBA_Bets[Result],"L")+COUNTIFS(NBA_Bets[Version],Y10,NBA_Bets[Result],"W"))</f>
        <v>0.52631578947368418</v>
      </c>
      <c r="AB10" t="s">
        <v>428</v>
      </c>
    </row>
    <row r="11" spans="1:28" x14ac:dyDescent="0.25">
      <c r="A11" s="70">
        <f t="shared" si="0"/>
        <v>1</v>
      </c>
      <c r="B11" s="6">
        <v>43451</v>
      </c>
      <c r="C11" s="6" t="s">
        <v>298</v>
      </c>
      <c r="D11" s="7" t="s">
        <v>122</v>
      </c>
      <c r="E11" s="8" t="s">
        <v>123</v>
      </c>
      <c r="F11" s="66">
        <v>5</v>
      </c>
      <c r="G11" s="37">
        <v>-110</v>
      </c>
      <c r="H11" s="10" t="s">
        <v>7</v>
      </c>
      <c r="I11" s="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1"/>
      <c r="L11" s="71">
        <f t="shared" si="1"/>
        <v>43467</v>
      </c>
      <c r="M11" s="71" t="str">
        <f>IFERROR(VLOOKUP(L11,NBA_Bets[[Date]:[Version]],2,0),"")</f>
        <v>v1.2</v>
      </c>
      <c r="N11" s="130" t="str">
        <f>COUNTIFS(NBA_Bets[Date],L11,NBA_Bets[Result],"W")&amp;"-"&amp;COUNTIFS(NBA_Bets[Date],L11,NBA_Bets[Result],"L")&amp;IF(COUNTIFS(NBA_Bets[Date],L11,NBA_Bets[Result],"Push")&gt;0,"-"&amp;COUNTIFS(NBA_Bets[Date],L11,NBA_Bets[Result],"Push"),"")</f>
        <v>7-5</v>
      </c>
      <c r="O11" s="131">
        <f>IFERROR(COUNTIFS(NBA_Bets[Date],L11,NBA_Bets[Result],"W")/(COUNTIFS(NBA_Bets[Date],L11,NBA_Bets[Result],"W")+COUNTIFS(NBA_Bets[Date],L11,NBA_Bets[Result],"L")),"")</f>
        <v>0.58333333333333337</v>
      </c>
      <c r="P11" s="90">
        <f>SUMIF(NBA_Bets[Date],L11,NBA_Bets[Winnings])-SUMIF(NBA_Bets[Date],L11,NBA_Bets[Risk])</f>
        <v>6.4417466591379764</v>
      </c>
      <c r="Q11" s="89" t="str">
        <f>IFERROR("("&amp;ROUND((SUMIF(NBA_Bets[Date],L11,NBA_Bets[Winnings])-SUMIF(NBA_Bets[Date],L11,NBA_Bets[Risk]))/SUMIF(NBA_Bets[Date],L11,NBA_Bets[Risk]),2)*100&amp;"%)","")</f>
        <v>(11%)</v>
      </c>
      <c r="S11" s="3" t="s">
        <v>867</v>
      </c>
      <c r="T11" s="120" t="s">
        <v>985</v>
      </c>
      <c r="U11" s="43" t="str">
        <f>IFERROR(IF($U$2="All",COUNTIFS(NBA_Bets[Bet Type],S11,NBA_Bets[Result],"W")&amp;"-"&amp;COUNTIFS(NBA_Bets[Bet Type],S11,NBA_Bets[Result],"L")&amp;IF(COUNTIFS(NBA_Bets[Bet Type],S11,NBA_Bets[Result],"Push")&gt;0,"-"&amp;COUNTIFS(NBA_Bets[Bet Type],S11,NBA_Bets[Result],"Push"),"")&amp;" ("&amp;ROUND(COUNTIFS(NBA_Bets[Bet Type],S11,NBA_Bets[Result],"W")/(COUNTIFS(NBA_Bets[Bet Type],S11,NBA_Bets[Result],"W")+COUNTIFS(NBA_Bets[Bet Type],S11,NBA_Bets[Result],"L"))*100,1)&amp;"%)",COUNTIFS(NBA_Bets[Version],$U$2,NBA_Bets[Bet Type],S11,NBA_Bets[Result],"W")&amp;"-"&amp;COUNTIFS(NBA_Bets[Version],$U$2,NBA_Bets[Bet Type],S11,NBA_Bets[Result],"L")&amp;IF(COUNTIFS(NBA_Bets[Version],$U$2,NBA_Bets[Bet Type],S11,NBA_Bets[Result],"Push")&gt;0,"-"&amp;COUNTIFS(NBA_Bets[Version],$U$2,NBA_Bets[Bet Type],S11,NBA_Bets[Result],"Push"),"")&amp;" ("&amp;ROUND(COUNTIFS(NBA_Bets[Version],$U$2,NBA_Bets[Bet Type],S11,NBA_Bets[Result],"W")/(COUNTIFS(NBA_Bets[Version],$U$2,NBA_Bets[Bet Type],S11,NBA_Bets[Result],"W")+COUNTIFS(NBA_Bets[Version],$U$2,NBA_Bets[Bet Type],S11,NBA_Bets[Result],"L"))*100,1)&amp;"%)"),"No Bets")</f>
        <v>0-4 (0%)</v>
      </c>
      <c r="V11" s="125">
        <f>IF($U$2="All",SUMIF(NBA_Bets[Bet Type],S11,NBA_Bets[Winnings])-SUMIF(NBA_Bets[Bet Type],S11,NCAA_Bets[Risk]),SUMIFS(NBA_Bets[Winnings],NBA_Bets[Bet Type],S11,NBA_Bets[Version],$U$2)-SUMIFS(NBA_Bets[Risk],NBA_Bets[Bet Type],S11,NBA_Bets[Version],$U$2))</f>
        <v>-7.96</v>
      </c>
      <c r="W11" s="126" t="str">
        <f>IF($U$2="All",IFERROR("("&amp;ROUND((SUMIF(NBA_Bets[Bet Type],S11,NBA_Bets[Winnings])-SUMIF(NBA_Bets[Bet Type],S11,NBA_Bets[Risk]))/SUMIF(NBA_Bets[Bet Type],S11,NBA_Bets[Risk]),2)*100&amp;"%)",""),IFERROR("("&amp;ROUND((SUMIFS(NBA_Bets[Winnings],NBA_Bets[Bet Type],S11,NBA_Bets[Version],$U$2)-SUMIFS(NBA_Bets[Risk],NBA_Bets[Bet Type],S11,NBA_Bets[Version],$U$2))/SUMIFS(NBA_Bets[Risk],NBA_Bets[Bet Type],S11,NBA_Bets[Version],$U$2),2)*100&amp;"%)",""))</f>
        <v>(-100%)</v>
      </c>
      <c r="Y11" t="s">
        <v>669</v>
      </c>
      <c r="Z11" t="str">
        <f>COUNTIFS(NBA_Bets[Version],Y11,NBA_Bets[Result],"W")&amp;"-"&amp;COUNTIFS(NBA_Bets[Version],Y11,NBA_Bets[Result],"L")&amp;IF(COUNTIFS(NBA_Bets[Version],Y11,NBA_Bets[Result],"Push")&gt;0,"-"&amp;COUNTIFS(NBA_Bets[Version],Y11,NBA_Bets[Result],"Push"),"")</f>
        <v>10-20</v>
      </c>
      <c r="AA11" s="112">
        <f>COUNTIFS(NBA_Bets[Version],Y11,NBA_Bets[Result],"W")/(COUNTIFS(NBA_Bets[Version],Y11,NBA_Bets[Result],"L")+COUNTIFS(NBA_Bets[Version],Y11,NBA_Bets[Result],"W"))</f>
        <v>0.33333333333333331</v>
      </c>
      <c r="AB11" t="s">
        <v>670</v>
      </c>
    </row>
    <row r="12" spans="1:28" x14ac:dyDescent="0.25">
      <c r="A12" s="70">
        <f t="shared" si="0"/>
        <v>1</v>
      </c>
      <c r="B12" s="6">
        <v>43451</v>
      </c>
      <c r="C12" s="6" t="s">
        <v>298</v>
      </c>
      <c r="D12" s="7" t="s">
        <v>122</v>
      </c>
      <c r="E12" s="8" t="s">
        <v>124</v>
      </c>
      <c r="F12" s="66">
        <v>5</v>
      </c>
      <c r="G12" s="37">
        <v>-110</v>
      </c>
      <c r="H12" s="10" t="s">
        <v>37</v>
      </c>
      <c r="I12" s="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2"/>
      <c r="L12" s="71">
        <f t="shared" si="1"/>
        <v>43468</v>
      </c>
      <c r="M12" s="71" t="str">
        <f>IFERROR(VLOOKUP(L12,NBA_Bets[[Date]:[Version]],2,0),"")</f>
        <v>v1.2</v>
      </c>
      <c r="N12" s="130" t="str">
        <f>COUNTIFS(NBA_Bets[Date],L12,NBA_Bets[Result],"W")&amp;"-"&amp;COUNTIFS(NBA_Bets[Date],L12,NBA_Bets[Result],"L")&amp;IF(COUNTIFS(NBA_Bets[Date],L12,NBA_Bets[Result],"Push")&gt;0,"-"&amp;COUNTIFS(NBA_Bets[Date],L12,NBA_Bets[Result],"Push"),"")</f>
        <v>3-2</v>
      </c>
      <c r="O12" s="131">
        <f>IFERROR(COUNTIFS(NBA_Bets[Date],L12,NBA_Bets[Result],"W")/(COUNTIFS(NBA_Bets[Date],L12,NBA_Bets[Result],"W")+COUNTIFS(NBA_Bets[Date],L12,NBA_Bets[Result],"L")),"")</f>
        <v>0.6</v>
      </c>
      <c r="P12" s="90">
        <f>SUMIF(NBA_Bets[Date],L12,NBA_Bets[Winnings])-SUMIF(NBA_Bets[Date],L12,NBA_Bets[Risk])</f>
        <v>3.2411067193675933</v>
      </c>
      <c r="Q12" s="89" t="str">
        <f>IFERROR("("&amp;ROUND((SUMIF(NBA_Bets[Date],L12,NBA_Bets[Winnings])-SUMIF(NBA_Bets[Date],L12,NBA_Bets[Risk]))/SUMIF(NBA_Bets[Date],L12,NBA_Bets[Risk]),2)*100&amp;"%)","")</f>
        <v>(13%)</v>
      </c>
      <c r="Y12" t="s">
        <v>769</v>
      </c>
      <c r="Z12" t="str">
        <f>COUNTIFS(NBA_Bets[Version],Y12,NBA_Bets[Result],"W")&amp;"-"&amp;COUNTIFS(NBA_Bets[Version],Y12,NBA_Bets[Result],"L")&amp;IF(COUNTIFS(NBA_Bets[Version],Y12,NBA_Bets[Result],"Push")&gt;0,"-"&amp;COUNTIFS(NBA_Bets[Version],Y12,NBA_Bets[Result],"Push"),"")</f>
        <v>13-11</v>
      </c>
      <c r="AA12" s="112">
        <f>COUNTIFS(NBA_Bets[Version],Y12,NBA_Bets[Result],"W")/(COUNTIFS(NBA_Bets[Version],Y12,NBA_Bets[Result],"L")+COUNTIFS(NBA_Bets[Version],Y12,NBA_Bets[Result],"W"))</f>
        <v>0.54166666666666663</v>
      </c>
      <c r="AB12" t="s">
        <v>770</v>
      </c>
    </row>
    <row r="13" spans="1:28" x14ac:dyDescent="0.25">
      <c r="A13" s="70">
        <f t="shared" si="0"/>
        <v>1</v>
      </c>
      <c r="B13" s="6">
        <v>43451</v>
      </c>
      <c r="C13" s="6" t="s">
        <v>298</v>
      </c>
      <c r="D13" s="7" t="s">
        <v>125</v>
      </c>
      <c r="E13" s="8" t="s">
        <v>126</v>
      </c>
      <c r="F13" s="66">
        <v>5</v>
      </c>
      <c r="G13" s="37">
        <v>-115</v>
      </c>
      <c r="H13" s="10" t="s">
        <v>37</v>
      </c>
      <c r="I13" s="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1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3"/>
      <c r="L13" s="71">
        <f t="shared" si="1"/>
        <v>43469</v>
      </c>
      <c r="M13" s="71" t="str">
        <f>IFERROR(VLOOKUP(L13,NBA_Bets[[Date]:[Version]],2,0),"")</f>
        <v>v1.2</v>
      </c>
      <c r="N13" s="130" t="str">
        <f>COUNTIFS(NBA_Bets[Date],L13,NBA_Bets[Result],"W")&amp;"-"&amp;COUNTIFS(NBA_Bets[Date],L13,NBA_Bets[Result],"L")&amp;IF(COUNTIFS(NBA_Bets[Date],L13,NBA_Bets[Result],"Push")&gt;0,"-"&amp;COUNTIFS(NBA_Bets[Date],L13,NBA_Bets[Result],"Push"),"")</f>
        <v>10-9</v>
      </c>
      <c r="O13" s="131">
        <f>IFERROR(COUNTIFS(NBA_Bets[Date],L13,NBA_Bets[Result],"W")/(COUNTIFS(NBA_Bets[Date],L13,NBA_Bets[Result],"W")+COUNTIFS(NBA_Bets[Date],L13,NBA_Bets[Result],"L")),"")</f>
        <v>0.52631578947368418</v>
      </c>
      <c r="P13" s="90">
        <f>SUMIF(NBA_Bets[Date],L13,NBA_Bets[Winnings])-SUMIF(NBA_Bets[Date],L13,NBA_Bets[Risk])</f>
        <v>1.5022629399585625</v>
      </c>
      <c r="Q13" s="89" t="str">
        <f>IFERROR("("&amp;ROUND((SUMIF(NBA_Bets[Date],L13,NBA_Bets[Winnings])-SUMIF(NBA_Bets[Date],L13,NBA_Bets[Risk]))/SUMIF(NBA_Bets[Date],L13,NBA_Bets[Risk]),2)*100&amp;"%)","")</f>
        <v>(3%)</v>
      </c>
      <c r="Y13" t="s">
        <v>822</v>
      </c>
      <c r="Z13" t="str">
        <f>COUNTIFS(NBA_Bets[Version],Y13,NBA_Bets[Result],"W")&amp;"-"&amp;COUNTIFS(NBA_Bets[Version],Y13,NBA_Bets[Result],"L")&amp;IF(COUNTIFS(NBA_Bets[Version],Y13,NBA_Bets[Result],"Push")&gt;0,"-"&amp;COUNTIFS(NBA_Bets[Version],Y13,NBA_Bets[Result],"Push"),"")</f>
        <v>4-7-1</v>
      </c>
      <c r="AA13" s="112">
        <f>COUNTIFS(NBA_Bets[Version],Y13,NBA_Bets[Result],"W")/(COUNTIFS(NBA_Bets[Version],Y13,NBA_Bets[Result],"L")+COUNTIFS(NBA_Bets[Version],Y13,NBA_Bets[Result],"W"))</f>
        <v>0.36363636363636365</v>
      </c>
      <c r="AB13" t="s">
        <v>823</v>
      </c>
    </row>
    <row r="14" spans="1:28" x14ac:dyDescent="0.25">
      <c r="A14" s="70">
        <f t="shared" si="0"/>
        <v>1</v>
      </c>
      <c r="B14" s="6">
        <v>43451</v>
      </c>
      <c r="C14" s="6" t="s">
        <v>298</v>
      </c>
      <c r="D14" s="7" t="s">
        <v>125</v>
      </c>
      <c r="E14" s="8" t="s">
        <v>127</v>
      </c>
      <c r="F14" s="66">
        <v>5</v>
      </c>
      <c r="G14" s="30">
        <v>110</v>
      </c>
      <c r="H14" s="10" t="s">
        <v>37</v>
      </c>
      <c r="I14" s="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10.5</v>
      </c>
      <c r="J1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14"/>
      <c r="L14" s="71">
        <f t="shared" si="1"/>
        <v>43472</v>
      </c>
      <c r="M14" s="71" t="str">
        <f>IFERROR(VLOOKUP(L14,NBA_Bets[[Date]:[Version]],2,0),"")</f>
        <v>v1.3</v>
      </c>
      <c r="N14" s="130" t="str">
        <f>COUNTIFS(NBA_Bets[Date],L14,NBA_Bets[Result],"W")&amp;"-"&amp;COUNTIFS(NBA_Bets[Date],L14,NBA_Bets[Result],"L")&amp;IF(COUNTIFS(NBA_Bets[Date],L14,NBA_Bets[Result],"Push")&gt;0,"-"&amp;COUNTIFS(NBA_Bets[Date],L14,NBA_Bets[Result],"Push"),"")</f>
        <v>11-3</v>
      </c>
      <c r="O14" s="131">
        <f>IFERROR(COUNTIFS(NBA_Bets[Date],L14,NBA_Bets[Result],"W")/(COUNTIFS(NBA_Bets[Date],L14,NBA_Bets[Result],"W")+COUNTIFS(NBA_Bets[Date],L14,NBA_Bets[Result],"L")),"")</f>
        <v>0.7857142857142857</v>
      </c>
      <c r="P14" s="88">
        <f>SUMIF(NBA_Bets[Date],L14,NBA_Bets[Winnings])-SUMIF(NBA_Bets[Date],L14,NBA_Bets[Risk])</f>
        <v>44.958639186900058</v>
      </c>
      <c r="Q14" s="89" t="str">
        <f>IFERROR("("&amp;ROUND((SUMIF(NBA_Bets[Date],L14,NBA_Bets[Winnings])-SUMIF(NBA_Bets[Date],L14,NBA_Bets[Risk]))/SUMIF(NBA_Bets[Date],L14,NBA_Bets[Risk]),2)*100&amp;"%)","")</f>
        <v>(64%)</v>
      </c>
      <c r="Y14" t="s">
        <v>836</v>
      </c>
      <c r="Z14" t="str">
        <f>COUNTIFS(NBA_Bets[Version],Y14,NBA_Bets[Result],"W")&amp;"-"&amp;COUNTIFS(NBA_Bets[Version],Y14,NBA_Bets[Result],"L")&amp;IF(COUNTIFS(NBA_Bets[Version],Y14,NBA_Bets[Result],"Push")&gt;0,"-"&amp;COUNTIFS(NBA_Bets[Version],Y14,NBA_Bets[Result],"Push"),"")</f>
        <v>17-22</v>
      </c>
      <c r="AA14" s="112">
        <f>COUNTIFS(NBA_Bets[Version],Y14,NBA_Bets[Result],"W")/(COUNTIFS(NBA_Bets[Version],Y14,NBA_Bets[Result],"L")+COUNTIFS(NBA_Bets[Version],Y14,NBA_Bets[Result],"W"))</f>
        <v>0.4358974358974359</v>
      </c>
      <c r="AB14" t="s">
        <v>837</v>
      </c>
    </row>
    <row r="15" spans="1:28" x14ac:dyDescent="0.25">
      <c r="A15" s="70">
        <f t="shared" si="0"/>
        <v>2</v>
      </c>
      <c r="B15" s="6">
        <v>43452</v>
      </c>
      <c r="C15" s="6" t="s">
        <v>299</v>
      </c>
      <c r="D15" s="7" t="s">
        <v>128</v>
      </c>
      <c r="E15" s="8" t="s">
        <v>129</v>
      </c>
      <c r="F15" s="66">
        <v>5</v>
      </c>
      <c r="G15" s="30">
        <v>-110</v>
      </c>
      <c r="H15" s="10" t="s">
        <v>7</v>
      </c>
      <c r="I1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5"/>
      <c r="L15" s="71">
        <f t="shared" si="1"/>
        <v>43473</v>
      </c>
      <c r="M15" s="71" t="str">
        <f>IFERROR(VLOOKUP(L15,NBA_Bets[[Date]:[Version]],2,0),"")</f>
        <v>v1.3</v>
      </c>
      <c r="N15" s="130" t="str">
        <f>COUNTIFS(NBA_Bets[Date],L15,NBA_Bets[Result],"W")&amp;"-"&amp;COUNTIFS(NBA_Bets[Date],L15,NBA_Bets[Result],"L")&amp;IF(COUNTIFS(NBA_Bets[Date],L15,NBA_Bets[Result],"Push")&gt;0,"-"&amp;COUNTIFS(NBA_Bets[Date],L15,NBA_Bets[Result],"Push"),"")</f>
        <v>7-5</v>
      </c>
      <c r="O15" s="131">
        <f>IFERROR(COUNTIFS(NBA_Bets[Date],L15,NBA_Bets[Result],"W")/(COUNTIFS(NBA_Bets[Date],L15,NBA_Bets[Result],"W")+COUNTIFS(NBA_Bets[Date],L15,NBA_Bets[Result],"L")),"")</f>
        <v>0.58333333333333337</v>
      </c>
      <c r="P15" s="88">
        <f>SUMIF(NBA_Bets[Date],L15,NBA_Bets[Winnings])-SUMIF(NBA_Bets[Date],L15,NBA_Bets[Risk])</f>
        <v>7.5079992471296748</v>
      </c>
      <c r="Q15" s="89" t="str">
        <f>IFERROR("("&amp;ROUND((SUMIF(NBA_Bets[Date],L15,NBA_Bets[Winnings])-SUMIF(NBA_Bets[Date],L15,NBA_Bets[Risk]))/SUMIF(NBA_Bets[Date],L15,NBA_Bets[Risk]),2)*100&amp;"%)","")</f>
        <v>(13%)</v>
      </c>
      <c r="Y15" t="s">
        <v>1008</v>
      </c>
      <c r="Z15" t="str">
        <f>COUNTIFS(NBA_Bets[Version],Y15,NBA_Bets[Result],"W")&amp;"-"&amp;COUNTIFS(NBA_Bets[Version],Y15,NBA_Bets[Result],"L")&amp;IF(COUNTIFS(NBA_Bets[Version],Y15,NBA_Bets[Result],"Push")&gt;0,"-"&amp;COUNTIFS(NBA_Bets[Version],Y15,NBA_Bets[Result],"Push"),"")</f>
        <v>79-64-3</v>
      </c>
      <c r="AA15" s="112">
        <f>COUNTIFS(NBA_Bets[Version],Y15,NBA_Bets[Result],"W")/(COUNTIFS(NBA_Bets[Version],Y15,NBA_Bets[Result],"L")+COUNTIFS(NBA_Bets[Version],Y15,NBA_Bets[Result],"W"))</f>
        <v>0.55244755244755239</v>
      </c>
      <c r="AB15" t="s">
        <v>1019</v>
      </c>
    </row>
    <row r="16" spans="1:28" x14ac:dyDescent="0.25">
      <c r="A16" s="70">
        <f t="shared" si="0"/>
        <v>2</v>
      </c>
      <c r="B16" s="6">
        <v>43452</v>
      </c>
      <c r="C16" s="6" t="s">
        <v>299</v>
      </c>
      <c r="D16" s="7" t="s">
        <v>130</v>
      </c>
      <c r="E16" s="8" t="s">
        <v>131</v>
      </c>
      <c r="F16" s="66">
        <v>5</v>
      </c>
      <c r="G16" s="30">
        <v>-115</v>
      </c>
      <c r="H16" s="10" t="s">
        <v>37</v>
      </c>
      <c r="I1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1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6"/>
      <c r="L16" s="71">
        <f t="shared" si="1"/>
        <v>43474</v>
      </c>
      <c r="M16" s="71" t="str">
        <f>IFERROR(VLOOKUP(L16,NBA_Bets[[Date]:[Version]],2,0),"")</f>
        <v>v1.3</v>
      </c>
      <c r="N16" s="130" t="str">
        <f>COUNTIFS(NBA_Bets[Date],L16,NBA_Bets[Result],"W")&amp;"-"&amp;COUNTIFS(NBA_Bets[Date],L16,NBA_Bets[Result],"L")&amp;IF(COUNTIFS(NBA_Bets[Date],L16,NBA_Bets[Result],"Push")&gt;0,"-"&amp;COUNTIFS(NBA_Bets[Date],L16,NBA_Bets[Result],"Push"),"")</f>
        <v>10-4</v>
      </c>
      <c r="O16" s="131">
        <f>IFERROR(COUNTIFS(NBA_Bets[Date],L16,NBA_Bets[Result],"W")/(COUNTIFS(NBA_Bets[Date],L16,NBA_Bets[Result],"W")+COUNTIFS(NBA_Bets[Date],L16,NBA_Bets[Result],"L")),"")</f>
        <v>0.7142857142857143</v>
      </c>
      <c r="P16" s="88">
        <f>SUMIF(NBA_Bets[Date],L16,NBA_Bets[Winnings])-SUMIF(NBA_Bets[Date],L16,NBA_Bets[Risk])</f>
        <v>25.078110295501617</v>
      </c>
      <c r="Q16" s="89" t="str">
        <f>IFERROR("("&amp;ROUND((SUMIF(NBA_Bets[Date],L16,NBA_Bets[Winnings])-SUMIF(NBA_Bets[Date],L16,NBA_Bets[Risk]))/SUMIF(NBA_Bets[Date],L16,NBA_Bets[Risk]),2)*100&amp;"%)","")</f>
        <v>(36%)</v>
      </c>
    </row>
    <row r="17" spans="1:17" x14ac:dyDescent="0.25">
      <c r="A17" s="70">
        <f t="shared" si="0"/>
        <v>2</v>
      </c>
      <c r="B17" s="6">
        <v>43452</v>
      </c>
      <c r="C17" s="6" t="s">
        <v>299</v>
      </c>
      <c r="D17" s="7" t="s">
        <v>130</v>
      </c>
      <c r="E17" s="8" t="s">
        <v>132</v>
      </c>
      <c r="F17" s="66">
        <v>5</v>
      </c>
      <c r="G17" s="30">
        <v>-110</v>
      </c>
      <c r="H17" s="10" t="s">
        <v>7</v>
      </c>
      <c r="I1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7"/>
      <c r="L17" s="71">
        <f t="shared" si="1"/>
        <v>43475</v>
      </c>
      <c r="M17" s="71" t="str">
        <f>IFERROR(VLOOKUP(L17,NBA_Bets[[Date]:[Version]],2,0),"")</f>
        <v>v1.3</v>
      </c>
      <c r="N17" s="130" t="str">
        <f>COUNTIFS(NBA_Bets[Date],L17,NBA_Bets[Result],"W")&amp;"-"&amp;COUNTIFS(NBA_Bets[Date],L17,NBA_Bets[Result],"L")&amp;IF(COUNTIFS(NBA_Bets[Date],L17,NBA_Bets[Result],"Push")&gt;0,"-"&amp;COUNTIFS(NBA_Bets[Date],L17,NBA_Bets[Result],"Push"),"")</f>
        <v>5-4</v>
      </c>
      <c r="O17" s="131">
        <f>IFERROR(COUNTIFS(NBA_Bets[Date],L17,NBA_Bets[Result],"W")/(COUNTIFS(NBA_Bets[Date],L17,NBA_Bets[Result],"W")+COUNTIFS(NBA_Bets[Date],L17,NBA_Bets[Result],"L")),"")</f>
        <v>0.55555555555555558</v>
      </c>
      <c r="P17" s="88">
        <f>SUMIF(NBA_Bets[Date],L17,NBA_Bets[Winnings])-SUMIF(NBA_Bets[Date],L17,NBA_Bets[Risk])</f>
        <v>7.729437229437238</v>
      </c>
      <c r="Q17" s="89" t="str">
        <f>IFERROR("("&amp;ROUND((SUMIF(NBA_Bets[Date],L17,NBA_Bets[Winnings])-SUMIF(NBA_Bets[Date],L17,NBA_Bets[Risk]))/SUMIF(NBA_Bets[Date],L17,NBA_Bets[Risk]),2)*100&amp;"%)","")</f>
        <v>(9%)</v>
      </c>
    </row>
    <row r="18" spans="1:17" x14ac:dyDescent="0.25">
      <c r="A18" s="70">
        <f t="shared" si="0"/>
        <v>2</v>
      </c>
      <c r="B18" s="6">
        <v>43452</v>
      </c>
      <c r="C18" s="6" t="s">
        <v>299</v>
      </c>
      <c r="D18" s="7" t="s">
        <v>133</v>
      </c>
      <c r="E18" s="8" t="s">
        <v>134</v>
      </c>
      <c r="F18" s="66">
        <v>5</v>
      </c>
      <c r="G18" s="30">
        <v>-115</v>
      </c>
      <c r="H18" s="10" t="s">
        <v>37</v>
      </c>
      <c r="I1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1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8"/>
      <c r="L18" s="71">
        <f t="shared" si="1"/>
        <v>43476</v>
      </c>
      <c r="M18" s="71" t="str">
        <f>IFERROR(VLOOKUP(L18,NBA_Bets[[Date]:[Version]],2,0),"")</f>
        <v>v1.4</v>
      </c>
      <c r="N18" s="130" t="str">
        <f>COUNTIFS(NBA_Bets[Date],L18,NBA_Bets[Result],"W")&amp;"-"&amp;COUNTIFS(NBA_Bets[Date],L18,NBA_Bets[Result],"L")&amp;IF(COUNTIFS(NBA_Bets[Date],L18,NBA_Bets[Result],"Push")&gt;0,"-"&amp;COUNTIFS(NBA_Bets[Date],L18,NBA_Bets[Result],"Push"),"")</f>
        <v>5-8</v>
      </c>
      <c r="O18" s="131">
        <f>IFERROR(COUNTIFS(NBA_Bets[Date],L18,NBA_Bets[Result],"W")/(COUNTIFS(NBA_Bets[Date],L18,NBA_Bets[Result],"W")+COUNTIFS(NBA_Bets[Date],L18,NBA_Bets[Result],"L")),"")</f>
        <v>0.38461538461538464</v>
      </c>
      <c r="P18" s="88">
        <f>SUMIF(NBA_Bets[Date],L18,NBA_Bets[Winnings])-SUMIF(NBA_Bets[Date],L18,NBA_Bets[Risk])</f>
        <v>-34.470167513645777</v>
      </c>
      <c r="Q18" s="89" t="str">
        <f>IFERROR("("&amp;ROUND((SUMIF(NBA_Bets[Date],L18,NBA_Bets[Winnings])-SUMIF(NBA_Bets[Date],L18,NBA_Bets[Risk]))/SUMIF(NBA_Bets[Date],L18,NBA_Bets[Risk]),2)*100&amp;"%)","")</f>
        <v>(-27%)</v>
      </c>
    </row>
    <row r="19" spans="1:17" x14ac:dyDescent="0.25">
      <c r="A19" s="70">
        <f t="shared" si="0"/>
        <v>2</v>
      </c>
      <c r="B19" s="6">
        <v>43452</v>
      </c>
      <c r="C19" s="6" t="s">
        <v>299</v>
      </c>
      <c r="D19" s="7" t="s">
        <v>133</v>
      </c>
      <c r="E19" s="8" t="s">
        <v>135</v>
      </c>
      <c r="F19" s="66">
        <v>5</v>
      </c>
      <c r="G19" s="30">
        <v>-110</v>
      </c>
      <c r="H19" s="10" t="s">
        <v>37</v>
      </c>
      <c r="I1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9"/>
      <c r="L19" s="71">
        <f t="shared" si="1"/>
        <v>43479</v>
      </c>
      <c r="M19" s="71" t="str">
        <f>IFERROR(VLOOKUP(L19,NBA_Bets[[Date]:[Version]],2,0),"")</f>
        <v>v1.4</v>
      </c>
      <c r="N19" s="130" t="str">
        <f>COUNTIFS(NBA_Bets[Date],L19,NBA_Bets[Result],"W")&amp;"-"&amp;COUNTIFS(NBA_Bets[Date],L19,NBA_Bets[Result],"L")&amp;IF(COUNTIFS(NBA_Bets[Date],L19,NBA_Bets[Result],"Push")&gt;0,"-"&amp;COUNTIFS(NBA_Bets[Date],L19,NBA_Bets[Result],"Push"),"")</f>
        <v>6-6</v>
      </c>
      <c r="O19" s="131">
        <f>IFERROR(COUNTIFS(NBA_Bets[Date],L19,NBA_Bets[Result],"W")/(COUNTIFS(NBA_Bets[Date],L19,NBA_Bets[Result],"W")+COUNTIFS(NBA_Bets[Date],L19,NBA_Bets[Result],"L")),"")</f>
        <v>0.5</v>
      </c>
      <c r="P19" s="88">
        <f>SUMIF(NBA_Bets[Date],L19,NBA_Bets[Winnings])-SUMIF(NBA_Bets[Date],L19,NBA_Bets[Risk])</f>
        <v>-2.5078110295501546</v>
      </c>
      <c r="Q19" s="89" t="str">
        <f>IFERROR("("&amp;ROUND((SUMIF(NBA_Bets[Date],L19,NBA_Bets[Winnings])-SUMIF(NBA_Bets[Date],L19,NBA_Bets[Risk]))/SUMIF(NBA_Bets[Date],L19,NBA_Bets[Risk]),2)*100&amp;"%)","")</f>
        <v>(-2%)</v>
      </c>
    </row>
    <row r="20" spans="1:17" x14ac:dyDescent="0.25">
      <c r="A20" s="70">
        <f t="shared" si="0"/>
        <v>3</v>
      </c>
      <c r="B20" s="6">
        <v>43453</v>
      </c>
      <c r="C20" s="6" t="s">
        <v>299</v>
      </c>
      <c r="D20" s="7" t="s">
        <v>142</v>
      </c>
      <c r="E20" s="8" t="s">
        <v>143</v>
      </c>
      <c r="F20" s="66">
        <v>10</v>
      </c>
      <c r="G20" s="30">
        <v>-105</v>
      </c>
      <c r="H20" s="64" t="s">
        <v>37</v>
      </c>
      <c r="I20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19.523809523809526</v>
      </c>
      <c r="J2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0" s="9"/>
      <c r="L20" s="71">
        <f t="shared" si="1"/>
        <v>43480</v>
      </c>
      <c r="M20" s="71" t="str">
        <f>IFERROR(VLOOKUP(L20,NBA_Bets[[Date]:[Version]],2,0),"")</f>
        <v>v1.4</v>
      </c>
      <c r="N20" s="130" t="str">
        <f>COUNTIFS(NBA_Bets[Date],L20,NBA_Bets[Result],"W")&amp;"-"&amp;COUNTIFS(NBA_Bets[Date],L20,NBA_Bets[Result],"L")&amp;IF(COUNTIFS(NBA_Bets[Date],L20,NBA_Bets[Result],"Push")&gt;0,"-"&amp;COUNTIFS(NBA_Bets[Date],L20,NBA_Bets[Result],"Push"),"")</f>
        <v>3-6-1</v>
      </c>
      <c r="O20" s="131">
        <f>IFERROR(COUNTIFS(NBA_Bets[Date],L20,NBA_Bets[Result],"W")/(COUNTIFS(NBA_Bets[Date],L20,NBA_Bets[Result],"W")+COUNTIFS(NBA_Bets[Date],L20,NBA_Bets[Result],"L")),"")</f>
        <v>0.33333333333333331</v>
      </c>
      <c r="P20" s="88">
        <f>SUMIF(NBA_Bets[Date],L20,NBA_Bets[Winnings])-SUMIF(NBA_Bets[Date],L20,NBA_Bets[Risk])</f>
        <v>-32.72727272727272</v>
      </c>
      <c r="Q20" s="89" t="str">
        <f>IFERROR("("&amp;ROUND((SUMIF(NBA_Bets[Date],L20,NBA_Bets[Winnings])-SUMIF(NBA_Bets[Date],L20,NBA_Bets[Risk]))/SUMIF(NBA_Bets[Date],L20,NBA_Bets[Risk]),2)*100&amp;"%)","")</f>
        <v>(-33%)</v>
      </c>
    </row>
    <row r="21" spans="1:17" x14ac:dyDescent="0.25">
      <c r="A21" s="70">
        <f t="shared" si="0"/>
        <v>3</v>
      </c>
      <c r="B21" s="6">
        <v>43453</v>
      </c>
      <c r="C21" s="6" t="s">
        <v>299</v>
      </c>
      <c r="D21" s="7" t="s">
        <v>144</v>
      </c>
      <c r="E21" s="8" t="s">
        <v>145</v>
      </c>
      <c r="F21" s="66">
        <v>10</v>
      </c>
      <c r="G21" s="30">
        <v>-105</v>
      </c>
      <c r="H21" s="64" t="s">
        <v>37</v>
      </c>
      <c r="I21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19.523809523809526</v>
      </c>
      <c r="J2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1" s="9"/>
      <c r="L21" s="71">
        <f t="shared" si="1"/>
        <v>43481</v>
      </c>
      <c r="M21" s="71" t="str">
        <f>IFERROR(VLOOKUP(L21,NBA_Bets[[Date]:[Version]],2,0),"")</f>
        <v>v1.4</v>
      </c>
      <c r="N21" s="130" t="str">
        <f>COUNTIFS(NBA_Bets[Date],L21,NBA_Bets[Result],"W")&amp;"-"&amp;COUNTIFS(NBA_Bets[Date],L21,NBA_Bets[Result],"L")&amp;IF(COUNTIFS(NBA_Bets[Date],L21,NBA_Bets[Result],"Push")&gt;0,"-"&amp;COUNTIFS(NBA_Bets[Date],L21,NBA_Bets[Result],"Push"),"")</f>
        <v>3-10-2</v>
      </c>
      <c r="O21" s="131">
        <f>IFERROR(COUNTIFS(NBA_Bets[Date],L21,NBA_Bets[Result],"W")/(COUNTIFS(NBA_Bets[Date],L21,NBA_Bets[Result],"W")+COUNTIFS(NBA_Bets[Date],L21,NBA_Bets[Result],"L")),"")</f>
        <v>0.23076923076923078</v>
      </c>
      <c r="P21" s="88">
        <f>SUMIF(NBA_Bets[Date],L21,NBA_Bets[Winnings])-SUMIF(NBA_Bets[Date],L21,NBA_Bets[Risk])</f>
        <v>-36.36363636363636</v>
      </c>
      <c r="Q21" s="89" t="str">
        <f>IFERROR("("&amp;ROUND((SUMIF(NBA_Bets[Date],L21,NBA_Bets[Winnings])-SUMIF(NBA_Bets[Date],L21,NBA_Bets[Risk]))/SUMIF(NBA_Bets[Date],L21,NBA_Bets[Risk]),2)*100&amp;"%)","")</f>
        <v>(-48%)</v>
      </c>
    </row>
    <row r="22" spans="1:17" x14ac:dyDescent="0.25">
      <c r="A22" s="70">
        <f t="shared" si="0"/>
        <v>3</v>
      </c>
      <c r="B22" s="6">
        <v>43453</v>
      </c>
      <c r="C22" s="6" t="s">
        <v>299</v>
      </c>
      <c r="D22" s="7" t="s">
        <v>146</v>
      </c>
      <c r="E22" s="8" t="s">
        <v>147</v>
      </c>
      <c r="F22" s="66">
        <v>10</v>
      </c>
      <c r="G22" s="30">
        <v>-110</v>
      </c>
      <c r="H22" s="64" t="s">
        <v>7</v>
      </c>
      <c r="I22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2" s="9"/>
      <c r="L22" s="71">
        <f t="shared" si="1"/>
        <v>43482</v>
      </c>
      <c r="M22" s="71" t="str">
        <f>IFERROR(VLOOKUP(L22,NBA_Bets[[Date]:[Version]],2,0),"")</f>
        <v>v1.5</v>
      </c>
      <c r="N22" s="130" t="str">
        <f>COUNTIFS(NBA_Bets[Date],L22,NBA_Bets[Result],"W")&amp;"-"&amp;COUNTIFS(NBA_Bets[Date],L22,NBA_Bets[Result],"L")&amp;IF(COUNTIFS(NBA_Bets[Date],L22,NBA_Bets[Result],"Push")&gt;0,"-"&amp;COUNTIFS(NBA_Bets[Date],L22,NBA_Bets[Result],"Push"),"")</f>
        <v>6-5</v>
      </c>
      <c r="O22" s="131">
        <f>IFERROR(COUNTIFS(NBA_Bets[Date],L22,NBA_Bets[Result],"W")/(COUNTIFS(NBA_Bets[Date],L22,NBA_Bets[Result],"W")+COUNTIFS(NBA_Bets[Date],L22,NBA_Bets[Result],"L")),"")</f>
        <v>0.54545454545454541</v>
      </c>
      <c r="P22" s="88">
        <f>SUMIF(NBA_Bets[Date],L22,NBA_Bets[Winnings])-SUMIF(NBA_Bets[Date],L22,NBA_Bets[Risk])</f>
        <v>4.0296442687747103</v>
      </c>
      <c r="Q22" s="89" t="str">
        <f>IFERROR("("&amp;ROUND((SUMIF(NBA_Bets[Date],L22,NBA_Bets[Winnings])-SUMIF(NBA_Bets[Date],L22,NBA_Bets[Risk]))/SUMIF(NBA_Bets[Date],L22,NBA_Bets[Risk]),2)*100&amp;"%)","")</f>
        <v>(7%)</v>
      </c>
    </row>
    <row r="23" spans="1:17" x14ac:dyDescent="0.25">
      <c r="A23" s="70">
        <f t="shared" si="0"/>
        <v>3</v>
      </c>
      <c r="B23" s="6">
        <v>43453</v>
      </c>
      <c r="C23" s="6" t="s">
        <v>299</v>
      </c>
      <c r="D23" s="7" t="s">
        <v>146</v>
      </c>
      <c r="E23" s="8" t="s">
        <v>148</v>
      </c>
      <c r="F23" s="66">
        <v>10</v>
      </c>
      <c r="G23" s="30">
        <v>-110</v>
      </c>
      <c r="H23" s="64" t="s">
        <v>7</v>
      </c>
      <c r="I23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3" s="9"/>
      <c r="L23" s="71">
        <f t="shared" si="1"/>
        <v>43483</v>
      </c>
      <c r="M23" s="71" t="str">
        <f>IFERROR(VLOOKUP(L23,NBA_Bets[[Date]:[Version]],2,0),"")</f>
        <v>v1.5</v>
      </c>
      <c r="N23" s="130" t="str">
        <f>COUNTIFS(NBA_Bets[Date],L23,NBA_Bets[Result],"W")&amp;"-"&amp;COUNTIFS(NBA_Bets[Date],L23,NBA_Bets[Result],"L")&amp;IF(COUNTIFS(NBA_Bets[Date],L23,NBA_Bets[Result],"Push")&gt;0,"-"&amp;COUNTIFS(NBA_Bets[Date],L23,NBA_Bets[Result],"Push"),"")</f>
        <v>7-7</v>
      </c>
      <c r="O23" s="131">
        <f>IFERROR(COUNTIFS(NBA_Bets[Date],L23,NBA_Bets[Result],"W")/(COUNTIFS(NBA_Bets[Date],L23,NBA_Bets[Result],"W")+COUNTIFS(NBA_Bets[Date],L23,NBA_Bets[Result],"L")),"")</f>
        <v>0.5</v>
      </c>
      <c r="P23" s="88">
        <f>SUMIF(NBA_Bets[Date],L23,NBA_Bets[Winnings])-SUMIF(NBA_Bets[Date],L23,NBA_Bets[Risk])</f>
        <v>-2.4584509693205376</v>
      </c>
      <c r="Q23" s="89" t="str">
        <f>IFERROR("("&amp;ROUND((SUMIF(NBA_Bets[Date],L23,NBA_Bets[Winnings])-SUMIF(NBA_Bets[Date],L23,NBA_Bets[Risk]))/SUMIF(NBA_Bets[Date],L23,NBA_Bets[Risk]),2)*100&amp;"%)","")</f>
        <v>(-4%)</v>
      </c>
    </row>
    <row r="24" spans="1:17" x14ac:dyDescent="0.25">
      <c r="A24" s="70">
        <f t="shared" si="0"/>
        <v>3</v>
      </c>
      <c r="B24" s="6">
        <v>43453</v>
      </c>
      <c r="C24" s="6" t="s">
        <v>299</v>
      </c>
      <c r="D24" s="7" t="s">
        <v>149</v>
      </c>
      <c r="E24" s="8" t="s">
        <v>116</v>
      </c>
      <c r="F24" s="66">
        <v>10</v>
      </c>
      <c r="G24" s="30">
        <v>-115</v>
      </c>
      <c r="H24" s="64" t="s">
        <v>37</v>
      </c>
      <c r="I24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18.695652173913043</v>
      </c>
      <c r="J2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4" s="9"/>
      <c r="L24" s="71">
        <f t="shared" si="1"/>
        <v>43486</v>
      </c>
      <c r="M24" s="71" t="str">
        <f>IFERROR(VLOOKUP(L24,NBA_Bets[[Date]:[Version]],2,0),"")</f>
        <v>v1.5</v>
      </c>
      <c r="N24" s="130" t="str">
        <f>COUNTIFS(NBA_Bets[Date],L24,NBA_Bets[Result],"W")&amp;"-"&amp;COUNTIFS(NBA_Bets[Date],L24,NBA_Bets[Result],"L")&amp;IF(COUNTIFS(NBA_Bets[Date],L24,NBA_Bets[Result],"Push")&gt;0,"-"&amp;COUNTIFS(NBA_Bets[Date],L24,NBA_Bets[Result],"Push"),"")</f>
        <v>7-2</v>
      </c>
      <c r="O24" s="131">
        <f>IFERROR(COUNTIFS(NBA_Bets[Date],L24,NBA_Bets[Result],"W")/(COUNTIFS(NBA_Bets[Date],L24,NBA_Bets[Result],"W")+COUNTIFS(NBA_Bets[Date],L24,NBA_Bets[Result],"L")),"")</f>
        <v>0.77777777777777779</v>
      </c>
      <c r="P24" s="88">
        <f>SUMIF(NBA_Bets[Date],L24,NBA_Bets[Winnings])-SUMIF(NBA_Bets[Date],L24,NBA_Bets[Risk])</f>
        <v>0</v>
      </c>
      <c r="Q24" s="89" t="str">
        <f>IFERROR("("&amp;ROUND((SUMIF(NBA_Bets[Date],L24,NBA_Bets[Winnings])-SUMIF(NBA_Bets[Date],L24,NBA_Bets[Risk]))/SUMIF(NBA_Bets[Date],L24,NBA_Bets[Risk]),2)*100&amp;"%)","")</f>
        <v/>
      </c>
    </row>
    <row r="25" spans="1:17" x14ac:dyDescent="0.25">
      <c r="A25" s="70">
        <f t="shared" si="0"/>
        <v>3</v>
      </c>
      <c r="B25" s="6">
        <v>43453</v>
      </c>
      <c r="C25" s="6" t="s">
        <v>299</v>
      </c>
      <c r="D25" s="7" t="s">
        <v>150</v>
      </c>
      <c r="E25" s="8" t="s">
        <v>151</v>
      </c>
      <c r="F25" s="66">
        <v>10</v>
      </c>
      <c r="G25" s="30">
        <v>-105</v>
      </c>
      <c r="H25" s="64" t="s">
        <v>37</v>
      </c>
      <c r="I25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19.523809523809526</v>
      </c>
      <c r="J2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5" s="9"/>
      <c r="L25" s="71">
        <f t="shared" si="1"/>
        <v>43487</v>
      </c>
      <c r="M25" s="71" t="str">
        <f>IFERROR(VLOOKUP(L25,NBA_Bets[[Date]:[Version]],2,0),"")</f>
        <v>v1.5</v>
      </c>
      <c r="N25" s="130" t="str">
        <f>COUNTIFS(NBA_Bets[Date],L25,NBA_Bets[Result],"W")&amp;"-"&amp;COUNTIFS(NBA_Bets[Date],L25,NBA_Bets[Result],"L")&amp;IF(COUNTIFS(NBA_Bets[Date],L25,NBA_Bets[Result],"Push")&gt;0,"-"&amp;COUNTIFS(NBA_Bets[Date],L25,NBA_Bets[Result],"Push"),"")</f>
        <v>2-3</v>
      </c>
      <c r="O25" s="131">
        <f>IFERROR(COUNTIFS(NBA_Bets[Date],L25,NBA_Bets[Result],"W")/(COUNTIFS(NBA_Bets[Date],L25,NBA_Bets[Result],"W")+COUNTIFS(NBA_Bets[Date],L25,NBA_Bets[Result],"L")),"")</f>
        <v>0.4</v>
      </c>
      <c r="P25" s="88">
        <f>SUMIF(NBA_Bets[Date],L25,NBA_Bets[Winnings])-SUMIF(NBA_Bets[Date],L25,NBA_Bets[Risk])</f>
        <v>0</v>
      </c>
      <c r="Q25" s="89" t="str">
        <f>IFERROR("("&amp;ROUND((SUMIF(NBA_Bets[Date],L25,NBA_Bets[Winnings])-SUMIF(NBA_Bets[Date],L25,NBA_Bets[Risk]))/SUMIF(NBA_Bets[Date],L25,NBA_Bets[Risk]),2)*100&amp;"%)","")</f>
        <v/>
      </c>
    </row>
    <row r="26" spans="1:17" x14ac:dyDescent="0.25">
      <c r="A26" s="70">
        <f t="shared" si="0"/>
        <v>3</v>
      </c>
      <c r="B26" s="6">
        <v>43453</v>
      </c>
      <c r="C26" s="6" t="s">
        <v>299</v>
      </c>
      <c r="D26" s="7" t="s">
        <v>150</v>
      </c>
      <c r="E26" s="8" t="s">
        <v>152</v>
      </c>
      <c r="F26" s="66">
        <v>10</v>
      </c>
      <c r="G26" s="30">
        <v>-110</v>
      </c>
      <c r="H26" s="64" t="s">
        <v>37</v>
      </c>
      <c r="I26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2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6" s="9"/>
      <c r="L26" s="71">
        <f t="shared" si="1"/>
        <v>43489</v>
      </c>
      <c r="M26" s="71" t="str">
        <f>IFERROR(VLOOKUP(L26,NBA_Bets[[Date]:[Version]],2,0),"")</f>
        <v>v1.5</v>
      </c>
      <c r="N26" s="130" t="str">
        <f>COUNTIFS(NBA_Bets[Date],L26,NBA_Bets[Result],"W")&amp;"-"&amp;COUNTIFS(NBA_Bets[Date],L26,NBA_Bets[Result],"L")&amp;IF(COUNTIFS(NBA_Bets[Date],L26,NBA_Bets[Result],"Push")&gt;0,"-"&amp;COUNTIFS(NBA_Bets[Date],L26,NBA_Bets[Result],"Push"),"")</f>
        <v>5-4</v>
      </c>
      <c r="O26" s="131">
        <f>IFERROR(COUNTIFS(NBA_Bets[Date],L26,NBA_Bets[Result],"W")/(COUNTIFS(NBA_Bets[Date],L26,NBA_Bets[Result],"W")+COUNTIFS(NBA_Bets[Date],L26,NBA_Bets[Result],"L")),"")</f>
        <v>0.55555555555555558</v>
      </c>
      <c r="P26" s="88">
        <f>SUMIF(NBA_Bets[Date],L26,NBA_Bets[Winnings])-SUMIF(NBA_Bets[Date],L26,NBA_Bets[Risk])</f>
        <v>2.181818181818187</v>
      </c>
      <c r="Q26" s="89" t="str">
        <f>IFERROR("("&amp;ROUND((SUMIF(NBA_Bets[Date],L26,NBA_Bets[Winnings])-SUMIF(NBA_Bets[Date],L26,NBA_Bets[Risk]))/SUMIF(NBA_Bets[Date],L26,NBA_Bets[Risk]),2)*100&amp;"%)","")</f>
        <v>(6%)</v>
      </c>
    </row>
    <row r="27" spans="1:17" x14ac:dyDescent="0.25">
      <c r="A27" s="70">
        <f t="shared" si="0"/>
        <v>3</v>
      </c>
      <c r="B27" s="6">
        <v>43453</v>
      </c>
      <c r="C27" s="6" t="s">
        <v>299</v>
      </c>
      <c r="D27" s="7" t="s">
        <v>153</v>
      </c>
      <c r="E27" s="8" t="s">
        <v>154</v>
      </c>
      <c r="F27" s="66">
        <v>10</v>
      </c>
      <c r="G27" s="30">
        <v>-110</v>
      </c>
      <c r="H27" s="64" t="s">
        <v>7</v>
      </c>
      <c r="I27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7" s="9"/>
      <c r="L27" s="71">
        <f t="shared" si="1"/>
        <v>43493</v>
      </c>
      <c r="M27" s="71" t="str">
        <f>IFERROR(VLOOKUP(L27,NBA_Bets[[Date]:[Version]],2,0),"")</f>
        <v>v1.5</v>
      </c>
      <c r="N27" s="130" t="str">
        <f>COUNTIFS(NBA_Bets[Date],L27,NBA_Bets[Result],"W")&amp;"-"&amp;COUNTIFS(NBA_Bets[Date],L27,NBA_Bets[Result],"L")&amp;IF(COUNTIFS(NBA_Bets[Date],L27,NBA_Bets[Result],"Push")&gt;0,"-"&amp;COUNTIFS(NBA_Bets[Date],L27,NBA_Bets[Result],"Push"),"")</f>
        <v>3-6</v>
      </c>
      <c r="O27" s="131">
        <f>IFERROR(COUNTIFS(NBA_Bets[Date],L27,NBA_Bets[Result],"W")/(COUNTIFS(NBA_Bets[Date],L27,NBA_Bets[Result],"W")+COUNTIFS(NBA_Bets[Date],L27,NBA_Bets[Result],"L")),"")</f>
        <v>0.33333333333333331</v>
      </c>
      <c r="P27" s="88">
        <f>SUMIF(NBA_Bets[Date],L27,NBA_Bets[Winnings])-SUMIF(NBA_Bets[Date],L27,NBA_Bets[Risk])</f>
        <v>-6.4588744588744582</v>
      </c>
      <c r="Q27" s="89" t="str">
        <f>IFERROR("("&amp;ROUND((SUMIF(NBA_Bets[Date],L27,NBA_Bets[Winnings])-SUMIF(NBA_Bets[Date],L27,NBA_Bets[Risk]))/SUMIF(NBA_Bets[Date],L27,NBA_Bets[Risk]),2)*100&amp;"%)","")</f>
        <v>(-36%)</v>
      </c>
    </row>
    <row r="28" spans="1:17" x14ac:dyDescent="0.25">
      <c r="A28" s="70">
        <f t="shared" si="0"/>
        <v>3</v>
      </c>
      <c r="B28" s="6">
        <v>43453</v>
      </c>
      <c r="C28" s="6" t="s">
        <v>299</v>
      </c>
      <c r="D28" s="7" t="s">
        <v>155</v>
      </c>
      <c r="E28" s="8" t="s">
        <v>156</v>
      </c>
      <c r="F28" s="66">
        <v>10</v>
      </c>
      <c r="G28" s="30">
        <v>-110</v>
      </c>
      <c r="H28" s="64" t="s">
        <v>7</v>
      </c>
      <c r="I28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8" s="9"/>
      <c r="L28" s="71">
        <f t="shared" si="1"/>
        <v>43495</v>
      </c>
      <c r="M28" s="71" t="str">
        <f>IFERROR(VLOOKUP(L28,NBA_Bets[[Date]:[Version]],2,0),"")</f>
        <v>v2.0</v>
      </c>
      <c r="N28" s="130" t="str">
        <f>COUNTIFS(NBA_Bets[Date],L28,NBA_Bets[Result],"W")&amp;"-"&amp;COUNTIFS(NBA_Bets[Date],L28,NBA_Bets[Result],"L")&amp;IF(COUNTIFS(NBA_Bets[Date],L28,NBA_Bets[Result],"Push")&gt;0,"-"&amp;COUNTIFS(NBA_Bets[Date],L28,NBA_Bets[Result],"Push"),"")</f>
        <v>5-10</v>
      </c>
      <c r="O28" s="131">
        <f>IFERROR(COUNTIFS(NBA_Bets[Date],L28,NBA_Bets[Result],"W")/(COUNTIFS(NBA_Bets[Date],L28,NBA_Bets[Result],"W")+COUNTIFS(NBA_Bets[Date],L28,NBA_Bets[Result],"L")),"")</f>
        <v>0.33333333333333331</v>
      </c>
      <c r="P28" s="88">
        <f>SUMIF(NBA_Bets[Date],L28,NBA_Bets[Winnings])-SUMIF(NBA_Bets[Date],L28,NBA_Bets[Risk])</f>
        <v>-5.4507811029550162</v>
      </c>
      <c r="Q28" s="89" t="str">
        <f>IFERROR("("&amp;ROUND((SUMIF(NBA_Bets[Date],L28,NBA_Bets[Winnings])-SUMIF(NBA_Bets[Date],L28,NBA_Bets[Risk]))/SUMIF(NBA_Bets[Date],L28,NBA_Bets[Risk]),2)*100&amp;"%)","")</f>
        <v>(-36%)</v>
      </c>
    </row>
    <row r="29" spans="1:17" x14ac:dyDescent="0.25">
      <c r="A29" s="70">
        <f t="shared" si="0"/>
        <v>3</v>
      </c>
      <c r="B29" s="6">
        <v>43453</v>
      </c>
      <c r="C29" s="6" t="s">
        <v>299</v>
      </c>
      <c r="D29" s="7" t="s">
        <v>157</v>
      </c>
      <c r="E29" s="8" t="s">
        <v>158</v>
      </c>
      <c r="F29" s="66">
        <v>10</v>
      </c>
      <c r="G29" s="30">
        <v>-105</v>
      </c>
      <c r="H29" s="64" t="s">
        <v>7</v>
      </c>
      <c r="I29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9" s="9"/>
      <c r="L29" s="71">
        <f t="shared" si="1"/>
        <v>43496</v>
      </c>
      <c r="M29" s="71" t="str">
        <f>IFERROR(VLOOKUP(L29,NBA_Bets[[Date]:[Version]],2,0),"")</f>
        <v>v2.0</v>
      </c>
      <c r="N29" s="130" t="str">
        <f>COUNTIFS(NBA_Bets[Date],L29,NBA_Bets[Result],"W")&amp;"-"&amp;COUNTIFS(NBA_Bets[Date],L29,NBA_Bets[Result],"L")&amp;IF(COUNTIFS(NBA_Bets[Date],L29,NBA_Bets[Result],"Push")&gt;0,"-"&amp;COUNTIFS(NBA_Bets[Date],L29,NBA_Bets[Result],"Push"),"")</f>
        <v>3-8</v>
      </c>
      <c r="O29" s="131">
        <f>IFERROR(COUNTIFS(NBA_Bets[Date],L29,NBA_Bets[Result],"W")/(COUNTIFS(NBA_Bets[Date],L29,NBA_Bets[Result],"W")+COUNTIFS(NBA_Bets[Date],L29,NBA_Bets[Result],"L")),"")</f>
        <v>0.27272727272727271</v>
      </c>
      <c r="P29" s="88">
        <f>SUMIF(NBA_Bets[Date],L29,NBA_Bets[Winnings])-SUMIF(NBA_Bets[Date],L29,NBA_Bets[Risk])</f>
        <v>0</v>
      </c>
      <c r="Q29" s="89" t="str">
        <f>IFERROR("("&amp;ROUND((SUMIF(NBA_Bets[Date],L29,NBA_Bets[Winnings])-SUMIF(NBA_Bets[Date],L29,NBA_Bets[Risk]))/SUMIF(NBA_Bets[Date],L29,NBA_Bets[Risk]),2)*100&amp;"%)","")</f>
        <v/>
      </c>
    </row>
    <row r="30" spans="1:17" x14ac:dyDescent="0.25">
      <c r="A30" s="70">
        <f t="shared" si="0"/>
        <v>3</v>
      </c>
      <c r="B30" s="6">
        <v>43453</v>
      </c>
      <c r="C30" s="6" t="s">
        <v>299</v>
      </c>
      <c r="D30" s="7" t="s">
        <v>159</v>
      </c>
      <c r="E30" s="8" t="s">
        <v>160</v>
      </c>
      <c r="F30" s="66">
        <v>5</v>
      </c>
      <c r="G30" s="30">
        <v>170</v>
      </c>
      <c r="H30" s="10" t="s">
        <v>7</v>
      </c>
      <c r="I3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30" s="9"/>
      <c r="L30" s="71">
        <f t="shared" si="1"/>
        <v>43497</v>
      </c>
      <c r="M30" s="71" t="str">
        <f>IFERROR(VLOOKUP(L30,NBA_Bets[[Date]:[Version]],2,0),"")</f>
        <v>v2.0</v>
      </c>
      <c r="N30" s="130" t="str">
        <f>COUNTIFS(NBA_Bets[Date],L30,NBA_Bets[Result],"W")&amp;"-"&amp;COUNTIFS(NBA_Bets[Date],L30,NBA_Bets[Result],"L")&amp;IF(COUNTIFS(NBA_Bets[Date],L30,NBA_Bets[Result],"Push")&gt;0,"-"&amp;COUNTIFS(NBA_Bets[Date],L30,NBA_Bets[Result],"Push"),"")</f>
        <v>2-2</v>
      </c>
      <c r="O30" s="131">
        <f>IFERROR(COUNTIFS(NBA_Bets[Date],L30,NBA_Bets[Result],"W")/(COUNTIFS(NBA_Bets[Date],L30,NBA_Bets[Result],"W")+COUNTIFS(NBA_Bets[Date],L30,NBA_Bets[Result],"L")),"")</f>
        <v>0.5</v>
      </c>
      <c r="P30" s="88">
        <f>SUMIF(NBA_Bets[Date],L30,NBA_Bets[Winnings])-SUMIF(NBA_Bets[Date],L30,NBA_Bets[Risk])</f>
        <v>0</v>
      </c>
      <c r="Q30" s="89" t="str">
        <f>IFERROR("("&amp;ROUND((SUMIF(NBA_Bets[Date],L30,NBA_Bets[Winnings])-SUMIF(NBA_Bets[Date],L30,NBA_Bets[Risk]))/SUMIF(NBA_Bets[Date],L30,NBA_Bets[Risk]),2)*100&amp;"%)","")</f>
        <v/>
      </c>
    </row>
    <row r="31" spans="1:17" x14ac:dyDescent="0.25">
      <c r="A31" s="70">
        <f t="shared" si="0"/>
        <v>4</v>
      </c>
      <c r="B31" s="6">
        <v>43454</v>
      </c>
      <c r="C31" s="6" t="s">
        <v>299</v>
      </c>
      <c r="D31" s="7" t="s">
        <v>161</v>
      </c>
      <c r="E31" s="8" t="s">
        <v>162</v>
      </c>
      <c r="F31" s="66">
        <v>10</v>
      </c>
      <c r="G31" s="30">
        <v>-105</v>
      </c>
      <c r="H31" s="10" t="s">
        <v>7</v>
      </c>
      <c r="I3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1" s="9"/>
      <c r="L31" s="71">
        <f t="shared" si="1"/>
        <v>43500</v>
      </c>
      <c r="M31" s="71" t="str">
        <f>IFERROR(VLOOKUP(L31,NBA_Bets[[Date]:[Version]],2,0),"")</f>
        <v>v2.1</v>
      </c>
      <c r="N31" s="130" t="str">
        <f>COUNTIFS(NBA_Bets[Date],L31,NBA_Bets[Result],"W")&amp;"-"&amp;COUNTIFS(NBA_Bets[Date],L31,NBA_Bets[Result],"L")&amp;IF(COUNTIFS(NBA_Bets[Date],L31,NBA_Bets[Result],"Push")&gt;0,"-"&amp;COUNTIFS(NBA_Bets[Date],L31,NBA_Bets[Result],"Push"),"")</f>
        <v>6-4</v>
      </c>
      <c r="O31" s="131">
        <f>IFERROR(COUNTIFS(NBA_Bets[Date],L31,NBA_Bets[Result],"W")/(COUNTIFS(NBA_Bets[Date],L31,NBA_Bets[Result],"W")+COUNTIFS(NBA_Bets[Date],L31,NBA_Bets[Result],"L")),"")</f>
        <v>0.6</v>
      </c>
      <c r="P31" s="88">
        <f>SUMIF(NBA_Bets[Date],L31,NBA_Bets[Winnings])-SUMIF(NBA_Bets[Date],L31,NBA_Bets[Risk])</f>
        <v>0</v>
      </c>
      <c r="Q31" s="89" t="str">
        <f>IFERROR("("&amp;ROUND((SUMIF(NBA_Bets[Date],L31,NBA_Bets[Winnings])-SUMIF(NBA_Bets[Date],L31,NBA_Bets[Risk]))/SUMIF(NBA_Bets[Date],L31,NBA_Bets[Risk]),2)*100&amp;"%)","")</f>
        <v/>
      </c>
    </row>
    <row r="32" spans="1:17" x14ac:dyDescent="0.25">
      <c r="A32" s="70">
        <f t="shared" si="0"/>
        <v>4</v>
      </c>
      <c r="B32" s="6">
        <v>43454</v>
      </c>
      <c r="C32" s="6" t="s">
        <v>299</v>
      </c>
      <c r="D32" s="7" t="s">
        <v>163</v>
      </c>
      <c r="E32" s="8" t="s">
        <v>164</v>
      </c>
      <c r="F32" s="66">
        <v>10</v>
      </c>
      <c r="G32" s="30">
        <v>-115</v>
      </c>
      <c r="H32" s="64" t="s">
        <v>37</v>
      </c>
      <c r="I32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18.695652173913043</v>
      </c>
      <c r="J3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2" s="9"/>
      <c r="L32" s="71">
        <f t="shared" si="1"/>
        <v>43502</v>
      </c>
      <c r="M32" s="71" t="str">
        <f>IFERROR(VLOOKUP(L32,NBA_Bets[[Date]:[Version]],2,0),"")</f>
        <v>v2.1</v>
      </c>
      <c r="N32" s="130" t="str">
        <f>COUNTIFS(NBA_Bets[Date],L32,NBA_Bets[Result],"W")&amp;"-"&amp;COUNTIFS(NBA_Bets[Date],L32,NBA_Bets[Result],"L")&amp;IF(COUNTIFS(NBA_Bets[Date],L32,NBA_Bets[Result],"Push")&gt;0,"-"&amp;COUNTIFS(NBA_Bets[Date],L32,NBA_Bets[Result],"Push"),"")</f>
        <v>7-7</v>
      </c>
      <c r="O32" s="131">
        <f>IFERROR(COUNTIFS(NBA_Bets[Date],L32,NBA_Bets[Result],"W")/(COUNTIFS(NBA_Bets[Date],L32,NBA_Bets[Result],"W")+COUNTIFS(NBA_Bets[Date],L32,NBA_Bets[Result],"L")),"")</f>
        <v>0.5</v>
      </c>
      <c r="P32" s="88">
        <f>SUMIF(NBA_Bets[Date],L32,NBA_Bets[Winnings])-SUMIF(NBA_Bets[Date],L32,NBA_Bets[Risk])</f>
        <v>-2.1133135869977977</v>
      </c>
      <c r="Q32" s="89" t="str">
        <f>IFERROR("("&amp;ROUND((SUMIF(NBA_Bets[Date],L32,NBA_Bets[Winnings])-SUMIF(NBA_Bets[Date],L32,NBA_Bets[Risk]))/SUMIF(NBA_Bets[Date],L32,NBA_Bets[Risk]),2)*100&amp;"%)","")</f>
        <v>(-15%)</v>
      </c>
    </row>
    <row r="33" spans="1:17" x14ac:dyDescent="0.25">
      <c r="A33" s="70">
        <f t="shared" si="0"/>
        <v>5</v>
      </c>
      <c r="B33" s="6">
        <v>43455</v>
      </c>
      <c r="C33" s="6" t="s">
        <v>299</v>
      </c>
      <c r="D33" s="7" t="s">
        <v>168</v>
      </c>
      <c r="E33" s="8" t="s">
        <v>169</v>
      </c>
      <c r="F33" s="66">
        <v>5</v>
      </c>
      <c r="G33" s="69">
        <v>-110</v>
      </c>
      <c r="H33" s="64" t="s">
        <v>37</v>
      </c>
      <c r="I33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3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3" s="9"/>
      <c r="L33" s="71">
        <f t="shared" si="1"/>
        <v>43503</v>
      </c>
      <c r="M33" s="71" t="str">
        <f>IFERROR(VLOOKUP(L33,NBA_Bets[[Date]:[Version]],2,0),"")</f>
        <v>v1.3.1</v>
      </c>
      <c r="N33" s="130" t="str">
        <f>COUNTIFS(NBA_Bets[Date],L33,NBA_Bets[Result],"W")&amp;"-"&amp;COUNTIFS(NBA_Bets[Date],L33,NBA_Bets[Result],"L")&amp;IF(COUNTIFS(NBA_Bets[Date],L33,NBA_Bets[Result],"Push")&gt;0,"-"&amp;COUNTIFS(NBA_Bets[Date],L33,NBA_Bets[Result],"Push"),"")</f>
        <v>4-7-1</v>
      </c>
      <c r="O33" s="131">
        <f>IFERROR(COUNTIFS(NBA_Bets[Date],L33,NBA_Bets[Result],"W")/(COUNTIFS(NBA_Bets[Date],L33,NBA_Bets[Result],"W")+COUNTIFS(NBA_Bets[Date],L33,NBA_Bets[Result],"L")),"")</f>
        <v>0.36363636363636365</v>
      </c>
      <c r="P33" s="88">
        <f>SUMIF(NBA_Bets[Date],L33,NBA_Bets[Winnings])-SUMIF(NBA_Bets[Date],L33,NBA_Bets[Risk])</f>
        <v>-6.5541125541125531</v>
      </c>
      <c r="Q33" s="89" t="str">
        <f>IFERROR("("&amp;ROUND((SUMIF(NBA_Bets[Date],L33,NBA_Bets[Winnings])-SUMIF(NBA_Bets[Date],L33,NBA_Bets[Risk]))/SUMIF(NBA_Bets[Date],L33,NBA_Bets[Risk]),2)*100&amp;"%)","")</f>
        <v>(-27%)</v>
      </c>
    </row>
    <row r="34" spans="1:17" x14ac:dyDescent="0.25">
      <c r="A34" s="70">
        <f t="shared" si="0"/>
        <v>5</v>
      </c>
      <c r="B34" s="6">
        <v>43455</v>
      </c>
      <c r="C34" s="6" t="s">
        <v>299</v>
      </c>
      <c r="D34" s="7" t="s">
        <v>170</v>
      </c>
      <c r="E34" s="8" t="s">
        <v>171</v>
      </c>
      <c r="F34" s="66">
        <v>5</v>
      </c>
      <c r="G34" s="69">
        <v>-110</v>
      </c>
      <c r="H34" s="64" t="s">
        <v>7</v>
      </c>
      <c r="I34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4" s="9"/>
      <c r="L34" s="71">
        <f t="shared" si="1"/>
        <v>43504</v>
      </c>
      <c r="M34" s="71" t="str">
        <f>IFERROR(VLOOKUP(L34,NBA_Bets[[Date]:[Version]],2,0),"")</f>
        <v>v1.3.2</v>
      </c>
      <c r="N34" s="130" t="str">
        <f>COUNTIFS(NBA_Bets[Date],L34,NBA_Bets[Result],"W")&amp;"-"&amp;COUNTIFS(NBA_Bets[Date],L34,NBA_Bets[Result],"L")&amp;IF(COUNTIFS(NBA_Bets[Date],L34,NBA_Bets[Result],"Push")&gt;0,"-"&amp;COUNTIFS(NBA_Bets[Date],L34,NBA_Bets[Result],"Push"),"")</f>
        <v>7-5</v>
      </c>
      <c r="O34" s="131">
        <f>IFERROR(COUNTIFS(NBA_Bets[Date],L34,NBA_Bets[Result],"W")/(COUNTIFS(NBA_Bets[Date],L34,NBA_Bets[Result],"W")+COUNTIFS(NBA_Bets[Date],L34,NBA_Bets[Result],"L")),"")</f>
        <v>0.58333333333333337</v>
      </c>
      <c r="P34" s="88">
        <f>SUMIF(NBA_Bets[Date],L34,NBA_Bets[Winnings])-SUMIF(NBA_Bets[Date],L34,NBA_Bets[Risk])</f>
        <v>2.8213815170336929</v>
      </c>
      <c r="Q34" s="89" t="str">
        <f>IFERROR("("&amp;ROUND((SUMIF(NBA_Bets[Date],L34,NBA_Bets[Winnings])-SUMIF(NBA_Bets[Date],L34,NBA_Bets[Risk]))/SUMIF(NBA_Bets[Date],L34,NBA_Bets[Risk]),2)*100&amp;"%)","")</f>
        <v>(12%)</v>
      </c>
    </row>
    <row r="35" spans="1:17" x14ac:dyDescent="0.25">
      <c r="A35" s="70">
        <f t="shared" si="0"/>
        <v>5</v>
      </c>
      <c r="B35" s="6">
        <v>43455</v>
      </c>
      <c r="C35" s="6" t="s">
        <v>299</v>
      </c>
      <c r="D35" s="7" t="s">
        <v>170</v>
      </c>
      <c r="E35" s="8" t="s">
        <v>172</v>
      </c>
      <c r="F35" s="66">
        <v>5</v>
      </c>
      <c r="G35" s="69">
        <v>-110</v>
      </c>
      <c r="H35" s="64" t="s">
        <v>37</v>
      </c>
      <c r="I35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3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5" s="9"/>
      <c r="L35" s="71">
        <f t="shared" si="1"/>
        <v>43507</v>
      </c>
      <c r="M35" s="71" t="str">
        <f>IFERROR(VLOOKUP(L35,NBA_Bets[[Date]:[Version]],2,0),"")</f>
        <v>v1.3.2</v>
      </c>
      <c r="N35" s="130" t="str">
        <f>COUNTIFS(NBA_Bets[Date],L35,NBA_Bets[Result],"W")&amp;"-"&amp;COUNTIFS(NBA_Bets[Date],L35,NBA_Bets[Result],"L")&amp;IF(COUNTIFS(NBA_Bets[Date],L35,NBA_Bets[Result],"Push")&gt;0,"-"&amp;COUNTIFS(NBA_Bets[Date],L35,NBA_Bets[Result],"Push"),"")</f>
        <v>4-3</v>
      </c>
      <c r="O35" s="131">
        <f>IFERROR(COUNTIFS(NBA_Bets[Date],L35,NBA_Bets[Result],"W")/(COUNTIFS(NBA_Bets[Date],L35,NBA_Bets[Result],"W")+COUNTIFS(NBA_Bets[Date],L35,NBA_Bets[Result],"L")),"")</f>
        <v>0.5714285714285714</v>
      </c>
      <c r="P35" s="88">
        <f>SUMIF(NBA_Bets[Date],L35,NBA_Bets[Winnings])-SUMIF(NBA_Bets[Date],L35,NBA_Bets[Risk])</f>
        <v>3.2006399397703831</v>
      </c>
      <c r="Q35" s="89" t="str">
        <f>IFERROR("("&amp;ROUND((SUMIF(NBA_Bets[Date],L35,NBA_Bets[Winnings])-SUMIF(NBA_Bets[Date],L35,NBA_Bets[Risk]))/SUMIF(NBA_Bets[Date],L35,NBA_Bets[Risk]),2)*100&amp;"%)","")</f>
        <v>(9%)</v>
      </c>
    </row>
    <row r="36" spans="1:17" x14ac:dyDescent="0.25">
      <c r="A36" s="70">
        <f t="shared" si="0"/>
        <v>5</v>
      </c>
      <c r="B36" s="6">
        <v>43455</v>
      </c>
      <c r="C36" s="6" t="s">
        <v>299</v>
      </c>
      <c r="D36" s="7" t="s">
        <v>173</v>
      </c>
      <c r="E36" s="8" t="s">
        <v>174</v>
      </c>
      <c r="F36" s="66">
        <v>5</v>
      </c>
      <c r="G36" s="69">
        <v>-105</v>
      </c>
      <c r="H36" s="64" t="s">
        <v>37</v>
      </c>
      <c r="I36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3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6" s="9"/>
      <c r="L36" s="71">
        <f t="shared" si="1"/>
        <v>43509</v>
      </c>
      <c r="M36" s="71" t="str">
        <f>IFERROR(VLOOKUP(L36,NBA_Bets[[Date]:[Version]],2,0),"")</f>
        <v>v1.3.2</v>
      </c>
      <c r="N36" s="130" t="str">
        <f>COUNTIFS(NBA_Bets[Date],L36,NBA_Bets[Result],"W")&amp;"-"&amp;COUNTIFS(NBA_Bets[Date],L36,NBA_Bets[Result],"L")&amp;IF(COUNTIFS(NBA_Bets[Date],L36,NBA_Bets[Result],"Push")&gt;0,"-"&amp;COUNTIFS(NBA_Bets[Date],L36,NBA_Bets[Result],"Push"),"")</f>
        <v>6-15</v>
      </c>
      <c r="O36" s="131">
        <f>IFERROR(COUNTIFS(NBA_Bets[Date],L36,NBA_Bets[Result],"W")/(COUNTIFS(NBA_Bets[Date],L36,NBA_Bets[Result],"W")+COUNTIFS(NBA_Bets[Date],L36,NBA_Bets[Result],"L")),"")</f>
        <v>0.2857142857142857</v>
      </c>
      <c r="P36" s="88">
        <f>SUMIF(NBA_Bets[Date],L36,NBA_Bets[Winnings])-SUMIF(NBA_Bets[Date],L36,NBA_Bets[Risk])</f>
        <v>-46.079360060229625</v>
      </c>
      <c r="Q36" s="89" t="str">
        <f>IFERROR("("&amp;ROUND((SUMIF(NBA_Bets[Date],L36,NBA_Bets[Winnings])-SUMIF(NBA_Bets[Date],L36,NBA_Bets[Risk]))/SUMIF(NBA_Bets[Date],L36,NBA_Bets[Risk]),2)*100&amp;"%)","")</f>
        <v>(-55%)</v>
      </c>
    </row>
    <row r="37" spans="1:17" x14ac:dyDescent="0.25">
      <c r="A37" s="70">
        <f t="shared" ref="A37:A68" si="2">IF(B37=B36,A36,A36+1)</f>
        <v>5</v>
      </c>
      <c r="B37" s="6">
        <v>43455</v>
      </c>
      <c r="C37" s="6" t="s">
        <v>299</v>
      </c>
      <c r="D37" s="7" t="s">
        <v>175</v>
      </c>
      <c r="E37" s="8" t="s">
        <v>123</v>
      </c>
      <c r="F37" s="66">
        <v>5</v>
      </c>
      <c r="G37" s="69">
        <v>-110</v>
      </c>
      <c r="H37" s="64" t="s">
        <v>37</v>
      </c>
      <c r="I37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3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7" s="9"/>
      <c r="L37" s="71">
        <f t="shared" ref="L37:L68" si="3">IFERROR(VLOOKUP(ROW()-4,A:B,2,0),0)</f>
        <v>43517</v>
      </c>
      <c r="M37" s="71" t="str">
        <f>IFERROR(VLOOKUP(L37,NBA_Bets[[Date]:[Version]],2,0),"")</f>
        <v>v1.6</v>
      </c>
      <c r="N37" s="130" t="str">
        <f>COUNTIFS(NBA_Bets[Date],L37,NBA_Bets[Result],"W")&amp;"-"&amp;COUNTIFS(NBA_Bets[Date],L37,NBA_Bets[Result],"L")&amp;IF(COUNTIFS(NBA_Bets[Date],L37,NBA_Bets[Result],"Push")&gt;0,"-"&amp;COUNTIFS(NBA_Bets[Date],L37,NBA_Bets[Result],"Push"),"")</f>
        <v>7-0</v>
      </c>
      <c r="O37" s="131">
        <f>IFERROR(COUNTIFS(NBA_Bets[Date],L37,NBA_Bets[Result],"W")/(COUNTIFS(NBA_Bets[Date],L37,NBA_Bets[Result],"W")+COUNTIFS(NBA_Bets[Date],L37,NBA_Bets[Result],"L")),"")</f>
        <v>1</v>
      </c>
      <c r="P37" s="88">
        <f>SUMIF(NBA_Bets[Date],L37,NBA_Bets[Winnings])-SUMIF(NBA_Bets[Date],L37,NBA_Bets[Risk])</f>
        <v>12.569169960474312</v>
      </c>
      <c r="Q37" s="89" t="str">
        <f>IFERROR("("&amp;ROUND((SUMIF(NBA_Bets[Date],L37,NBA_Bets[Winnings])-SUMIF(NBA_Bets[Date],L37,NBA_Bets[Risk]))/SUMIF(NBA_Bets[Date],L37,NBA_Bets[Risk]),2)*100&amp;"%)","")</f>
        <v>(90%)</v>
      </c>
    </row>
    <row r="38" spans="1:17" x14ac:dyDescent="0.25">
      <c r="A38" s="70">
        <f t="shared" si="2"/>
        <v>5</v>
      </c>
      <c r="B38" s="6">
        <v>43455</v>
      </c>
      <c r="C38" s="6" t="s">
        <v>299</v>
      </c>
      <c r="D38" s="7" t="s">
        <v>175</v>
      </c>
      <c r="E38" s="8" t="s">
        <v>176</v>
      </c>
      <c r="F38" s="66">
        <v>5</v>
      </c>
      <c r="G38" s="69">
        <v>-105</v>
      </c>
      <c r="H38" s="64" t="s">
        <v>7</v>
      </c>
      <c r="I38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8" s="9"/>
      <c r="L38" s="71">
        <f t="shared" si="3"/>
        <v>43518</v>
      </c>
      <c r="M38" s="71" t="str">
        <f>IFERROR(VLOOKUP(L38,NBA_Bets[[Date]:[Version]],2,0),"")</f>
        <v>v1.6</v>
      </c>
      <c r="N38" s="130" t="str">
        <f>COUNTIFS(NBA_Bets[Date],L38,NBA_Bets[Result],"W")&amp;"-"&amp;COUNTIFS(NBA_Bets[Date],L38,NBA_Bets[Result],"L")&amp;IF(COUNTIFS(NBA_Bets[Date],L38,NBA_Bets[Result],"Push")&gt;0,"-"&amp;COUNTIFS(NBA_Bets[Date],L38,NBA_Bets[Result],"Push"),"")</f>
        <v>4-6</v>
      </c>
      <c r="O38" s="131">
        <f>IFERROR(COUNTIFS(NBA_Bets[Date],L38,NBA_Bets[Result],"W")/(COUNTIFS(NBA_Bets[Date],L38,NBA_Bets[Result],"W")+COUNTIFS(NBA_Bets[Date],L38,NBA_Bets[Result],"L")),"")</f>
        <v>0.4</v>
      </c>
      <c r="P38" s="88">
        <f>SUMIF(NBA_Bets[Date],L38,NBA_Bets[Winnings])-SUMIF(NBA_Bets[Date],L38,NBA_Bets[Risk])</f>
        <v>-4.7272727272727266</v>
      </c>
      <c r="Q38" s="89" t="str">
        <f>IFERROR("("&amp;ROUND((SUMIF(NBA_Bets[Date],L38,NBA_Bets[Winnings])-SUMIF(NBA_Bets[Date],L38,NBA_Bets[Risk]))/SUMIF(NBA_Bets[Date],L38,NBA_Bets[Risk]),2)*100&amp;"%)","")</f>
        <v>(-24%)</v>
      </c>
    </row>
    <row r="39" spans="1:17" x14ac:dyDescent="0.25">
      <c r="A39" s="70">
        <f t="shared" si="2"/>
        <v>5</v>
      </c>
      <c r="B39" s="6">
        <v>43455</v>
      </c>
      <c r="C39" s="6" t="s">
        <v>299</v>
      </c>
      <c r="D39" s="7" t="s">
        <v>177</v>
      </c>
      <c r="E39" s="8" t="s">
        <v>178</v>
      </c>
      <c r="F39" s="66">
        <v>5</v>
      </c>
      <c r="G39" s="69">
        <v>-105</v>
      </c>
      <c r="H39" s="64" t="s">
        <v>7</v>
      </c>
      <c r="I39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9" s="9"/>
      <c r="L39" s="71">
        <f t="shared" si="3"/>
        <v>43522</v>
      </c>
      <c r="M39" s="71" t="str">
        <f>IFERROR(VLOOKUP(L39,NBA_Bets[[Date]:[Version]],2,0),"")</f>
        <v>v1.6</v>
      </c>
      <c r="N39" s="130" t="str">
        <f>COUNTIFS(NBA_Bets[Date],L39,NBA_Bets[Result],"W")&amp;"-"&amp;COUNTIFS(NBA_Bets[Date],L39,NBA_Bets[Result],"L")&amp;IF(COUNTIFS(NBA_Bets[Date],L39,NBA_Bets[Result],"Push")&gt;0,"-"&amp;COUNTIFS(NBA_Bets[Date],L39,NBA_Bets[Result],"Push"),"")</f>
        <v>5-0</v>
      </c>
      <c r="O39" s="131">
        <f>IFERROR(COUNTIFS(NBA_Bets[Date],L39,NBA_Bets[Result],"W")/(COUNTIFS(NBA_Bets[Date],L39,NBA_Bets[Result],"W")+COUNTIFS(NBA_Bets[Date],L39,NBA_Bets[Result],"L")),"")</f>
        <v>1</v>
      </c>
      <c r="P39" s="88">
        <f>SUMIF(NBA_Bets[Date],L39,NBA_Bets[Winnings])-SUMIF(NBA_Bets[Date],L39,NBA_Bets[Risk])</f>
        <v>8.9328063241106719</v>
      </c>
      <c r="Q39" s="89" t="str">
        <f>IFERROR("("&amp;ROUND((SUMIF(NBA_Bets[Date],L39,NBA_Bets[Winnings])-SUMIF(NBA_Bets[Date],L39,NBA_Bets[Risk]))/SUMIF(NBA_Bets[Date],L39,NBA_Bets[Risk]),2)*100&amp;"%)","")</f>
        <v>(89%)</v>
      </c>
    </row>
    <row r="40" spans="1:17" x14ac:dyDescent="0.25">
      <c r="A40" s="70">
        <f t="shared" si="2"/>
        <v>5</v>
      </c>
      <c r="B40" s="6">
        <v>43455</v>
      </c>
      <c r="C40" s="6" t="s">
        <v>299</v>
      </c>
      <c r="D40" s="7" t="s">
        <v>179</v>
      </c>
      <c r="E40" s="8" t="s">
        <v>180</v>
      </c>
      <c r="F40" s="66">
        <v>5</v>
      </c>
      <c r="G40" s="69">
        <v>-110</v>
      </c>
      <c r="H40" s="64" t="s">
        <v>7</v>
      </c>
      <c r="I40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0" s="9"/>
      <c r="L40" s="71">
        <f t="shared" si="3"/>
        <v>43523</v>
      </c>
      <c r="M40" s="71" t="str">
        <f>IFERROR(VLOOKUP(L40,NBA_Bets[[Date]:[Version]],2,0),"")</f>
        <v>v1.6</v>
      </c>
      <c r="N40" s="130" t="str">
        <f>COUNTIFS(NBA_Bets[Date],L40,NBA_Bets[Result],"W")&amp;"-"&amp;COUNTIFS(NBA_Bets[Date],L40,NBA_Bets[Result],"L")&amp;IF(COUNTIFS(NBA_Bets[Date],L40,NBA_Bets[Result],"Push")&gt;0,"-"&amp;COUNTIFS(NBA_Bets[Date],L40,NBA_Bets[Result],"Push"),"")</f>
        <v>6-9-1</v>
      </c>
      <c r="O40" s="131">
        <f>IFERROR(COUNTIFS(NBA_Bets[Date],L40,NBA_Bets[Result],"W")/(COUNTIFS(NBA_Bets[Date],L40,NBA_Bets[Result],"W")+COUNTIFS(NBA_Bets[Date],L40,NBA_Bets[Result],"L")),"")</f>
        <v>0.4</v>
      </c>
      <c r="P40" s="88">
        <f>SUMIF(NBA_Bets[Date],L40,NBA_Bets[Winnings])-SUMIF(NBA_Bets[Date],L40,NBA_Bets[Risk])</f>
        <v>-6.8311688311688314</v>
      </c>
      <c r="Q40" s="89" t="str">
        <f>IFERROR("("&amp;ROUND((SUMIF(NBA_Bets[Date],L40,NBA_Bets[Winnings])-SUMIF(NBA_Bets[Date],L40,NBA_Bets[Risk]))/SUMIF(NBA_Bets[Date],L40,NBA_Bets[Risk]),2)*100&amp;"%)","")</f>
        <v>(-21%)</v>
      </c>
    </row>
    <row r="41" spans="1:17" x14ac:dyDescent="0.25">
      <c r="A41" s="70">
        <f t="shared" si="2"/>
        <v>5</v>
      </c>
      <c r="B41" s="6">
        <v>43455</v>
      </c>
      <c r="C41" s="6" t="s">
        <v>299</v>
      </c>
      <c r="D41" s="7" t="s">
        <v>181</v>
      </c>
      <c r="E41" s="8" t="s">
        <v>182</v>
      </c>
      <c r="F41" s="66">
        <v>5</v>
      </c>
      <c r="G41" s="69">
        <v>-115</v>
      </c>
      <c r="H41" s="64" t="s">
        <v>37</v>
      </c>
      <c r="I41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4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1" s="9"/>
      <c r="L41" s="71">
        <f t="shared" si="3"/>
        <v>43524</v>
      </c>
      <c r="M41" s="71" t="str">
        <f>IFERROR(VLOOKUP(L41,NBA_Bets[[Date]:[Version]],2,0),"")</f>
        <v>v1.6</v>
      </c>
      <c r="N41" s="130" t="str">
        <f>COUNTIFS(NBA_Bets[Date],L41,NBA_Bets[Result],"W")&amp;"-"&amp;COUNTIFS(NBA_Bets[Date],L41,NBA_Bets[Result],"L")&amp;IF(COUNTIFS(NBA_Bets[Date],L41,NBA_Bets[Result],"Push")&gt;0,"-"&amp;COUNTIFS(NBA_Bets[Date],L41,NBA_Bets[Result],"Push"),"")</f>
        <v>5-3</v>
      </c>
      <c r="O41" s="131">
        <f>IFERROR(COUNTIFS(NBA_Bets[Date],L41,NBA_Bets[Result],"W")/(COUNTIFS(NBA_Bets[Date],L41,NBA_Bets[Result],"W")+COUNTIFS(NBA_Bets[Date],L41,NBA_Bets[Result],"L")),"")</f>
        <v>0.625</v>
      </c>
      <c r="P41" s="88">
        <f>SUMIF(NBA_Bets[Date],L41,NBA_Bets[Winnings])-SUMIF(NBA_Bets[Date],L41,NBA_Bets[Risk])</f>
        <v>3.1850178806700526</v>
      </c>
      <c r="Q41" s="89" t="str">
        <f>IFERROR("("&amp;ROUND((SUMIF(NBA_Bets[Date],L41,NBA_Bets[Winnings])-SUMIF(NBA_Bets[Date],L41,NBA_Bets[Risk]))/SUMIF(NBA_Bets[Date],L41,NBA_Bets[Risk]),2)*100&amp;"%)","")</f>
        <v>(20%)</v>
      </c>
    </row>
    <row r="42" spans="1:17" x14ac:dyDescent="0.25">
      <c r="A42" s="70">
        <f t="shared" si="2"/>
        <v>5</v>
      </c>
      <c r="B42" s="6">
        <v>43455</v>
      </c>
      <c r="C42" s="6" t="s">
        <v>299</v>
      </c>
      <c r="D42" s="7" t="s">
        <v>181</v>
      </c>
      <c r="E42" s="8" t="s">
        <v>183</v>
      </c>
      <c r="F42" s="66">
        <v>5</v>
      </c>
      <c r="G42" s="69">
        <v>-110</v>
      </c>
      <c r="H42" s="64" t="s">
        <v>37</v>
      </c>
      <c r="I42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2" s="9"/>
      <c r="L42" s="71">
        <f t="shared" si="3"/>
        <v>43528</v>
      </c>
      <c r="M42" s="71" t="str">
        <f>IFERROR(VLOOKUP(L42,NBA_Bets[[Date]:[Version]],2,0),"")</f>
        <v>v1.6</v>
      </c>
      <c r="N42" s="130" t="str">
        <f>COUNTIFS(NBA_Bets[Date],L42,NBA_Bets[Result],"W")&amp;"-"&amp;COUNTIFS(NBA_Bets[Date],L42,NBA_Bets[Result],"L")&amp;IF(COUNTIFS(NBA_Bets[Date],L42,NBA_Bets[Result],"Push")&gt;0,"-"&amp;COUNTIFS(NBA_Bets[Date],L42,NBA_Bets[Result],"Push"),"")</f>
        <v>5-1</v>
      </c>
      <c r="O42" s="131">
        <f>IFERROR(COUNTIFS(NBA_Bets[Date],L42,NBA_Bets[Result],"W")/(COUNTIFS(NBA_Bets[Date],L42,NBA_Bets[Result],"W")+COUNTIFS(NBA_Bets[Date],L42,NBA_Bets[Result],"L")),"")</f>
        <v>0.83333333333333337</v>
      </c>
      <c r="P42" s="88">
        <f>SUMIF(NBA_Bets[Date],L42,NBA_Bets[Winnings])-SUMIF(NBA_Bets[Date],L42,NBA_Bets[Risk])</f>
        <v>17.943722943722946</v>
      </c>
      <c r="Q42" s="89" t="str">
        <f>IFERROR("("&amp;ROUND((SUMIF(NBA_Bets[Date],L42,NBA_Bets[Winnings])-SUMIF(NBA_Bets[Date],L42,NBA_Bets[Risk]))/SUMIF(NBA_Bets[Date],L42,NBA_Bets[Risk]),2)*100&amp;"%)","")</f>
        <v>(60%)</v>
      </c>
    </row>
    <row r="43" spans="1:17" x14ac:dyDescent="0.25">
      <c r="A43" s="70">
        <f t="shared" si="2"/>
        <v>5</v>
      </c>
      <c r="B43" s="6">
        <v>43455</v>
      </c>
      <c r="C43" s="6" t="s">
        <v>299</v>
      </c>
      <c r="D43" s="7" t="s">
        <v>184</v>
      </c>
      <c r="E43" s="8" t="s">
        <v>121</v>
      </c>
      <c r="F43" s="66">
        <v>5</v>
      </c>
      <c r="G43" s="69">
        <v>-110</v>
      </c>
      <c r="H43" s="64" t="s">
        <v>7</v>
      </c>
      <c r="I43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3" s="9"/>
      <c r="L43" s="71">
        <f t="shared" si="3"/>
        <v>43529</v>
      </c>
      <c r="M43" s="71" t="str">
        <f>IFERROR(VLOOKUP(L43,NBA_Bets[[Date]:[Version]],2,0),"")</f>
        <v>v1.6</v>
      </c>
      <c r="N43" s="130" t="str">
        <f>COUNTIFS(NBA_Bets[Date],L43,NBA_Bets[Result],"W")&amp;"-"&amp;COUNTIFS(NBA_Bets[Date],L43,NBA_Bets[Result],"L")&amp;IF(COUNTIFS(NBA_Bets[Date],L43,NBA_Bets[Result],"Push")&gt;0,"-"&amp;COUNTIFS(NBA_Bets[Date],L43,NBA_Bets[Result],"Push"),"")</f>
        <v>7-4</v>
      </c>
      <c r="O43" s="131">
        <f>IFERROR(COUNTIFS(NBA_Bets[Date],L43,NBA_Bets[Result],"W")/(COUNTIFS(NBA_Bets[Date],L43,NBA_Bets[Result],"W")+COUNTIFS(NBA_Bets[Date],L43,NBA_Bets[Result],"L")),"")</f>
        <v>0.63636363636363635</v>
      </c>
      <c r="P43" s="88">
        <f>SUMIF(NBA_Bets[Date],L43,NBA_Bets[Winnings])-SUMIF(NBA_Bets[Date],L43,NBA_Bets[Risk])</f>
        <v>11.441746659137962</v>
      </c>
      <c r="Q43" s="89" t="str">
        <f>IFERROR("("&amp;ROUND((SUMIF(NBA_Bets[Date],L43,NBA_Bets[Winnings])-SUMIF(NBA_Bets[Date],L43,NBA_Bets[Risk]))/SUMIF(NBA_Bets[Date],L43,NBA_Bets[Risk]),2)*100&amp;"%)","")</f>
        <v>(21%)</v>
      </c>
    </row>
    <row r="44" spans="1:17" x14ac:dyDescent="0.25">
      <c r="A44" s="70">
        <f t="shared" si="2"/>
        <v>5</v>
      </c>
      <c r="B44" s="6">
        <v>43455</v>
      </c>
      <c r="C44" s="6" t="s">
        <v>299</v>
      </c>
      <c r="D44" s="7" t="s">
        <v>184</v>
      </c>
      <c r="E44" s="8" t="s">
        <v>185</v>
      </c>
      <c r="F44" s="66">
        <v>5</v>
      </c>
      <c r="G44" s="69">
        <v>-110</v>
      </c>
      <c r="H44" s="64" t="s">
        <v>37</v>
      </c>
      <c r="I44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4" s="9"/>
      <c r="L44" s="71">
        <f t="shared" si="3"/>
        <v>43530</v>
      </c>
      <c r="M44" s="71" t="str">
        <f>IFERROR(VLOOKUP(L44,NBA_Bets[[Date]:[Version]],2,0),"")</f>
        <v>v1.6</v>
      </c>
      <c r="N44" s="130" t="str">
        <f>COUNTIFS(NBA_Bets[Date],L44,NBA_Bets[Result],"W")&amp;"-"&amp;COUNTIFS(NBA_Bets[Date],L44,NBA_Bets[Result],"L")&amp;IF(COUNTIFS(NBA_Bets[Date],L44,NBA_Bets[Result],"Push")&gt;0,"-"&amp;COUNTIFS(NBA_Bets[Date],L44,NBA_Bets[Result],"Push"),"")</f>
        <v>7-6-1</v>
      </c>
      <c r="O44" s="131">
        <f>IFERROR(COUNTIFS(NBA_Bets[Date],L44,NBA_Bets[Result],"W")/(COUNTIFS(NBA_Bets[Date],L44,NBA_Bets[Result],"W")+COUNTIFS(NBA_Bets[Date],L44,NBA_Bets[Result],"L")),"")</f>
        <v>0.53846153846153844</v>
      </c>
      <c r="P44" s="88">
        <f>SUMIF(NBA_Bets[Date],L44,NBA_Bets[Winnings])-SUMIF(NBA_Bets[Date],L44,NBA_Bets[Risk])</f>
        <v>5.4863542254846607</v>
      </c>
      <c r="Q44" s="89" t="str">
        <f>IFERROR("("&amp;ROUND((SUMIF(NBA_Bets[Date],L44,NBA_Bets[Winnings])-SUMIF(NBA_Bets[Date],L44,NBA_Bets[Risk]))/SUMIF(NBA_Bets[Date],L44,NBA_Bets[Risk]),2)*100&amp;"%)","")</f>
        <v>(8%)</v>
      </c>
    </row>
    <row r="45" spans="1:17" x14ac:dyDescent="0.25">
      <c r="A45" s="70">
        <f t="shared" si="2"/>
        <v>5</v>
      </c>
      <c r="B45" s="6">
        <v>43455</v>
      </c>
      <c r="C45" s="6" t="s">
        <v>299</v>
      </c>
      <c r="D45" s="7" t="s">
        <v>186</v>
      </c>
      <c r="E45" s="8" t="s">
        <v>187</v>
      </c>
      <c r="F45" s="66">
        <v>5</v>
      </c>
      <c r="G45" s="69">
        <v>-110</v>
      </c>
      <c r="H45" s="64" t="s">
        <v>37</v>
      </c>
      <c r="I45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5" s="9"/>
      <c r="L45" s="71">
        <f t="shared" si="3"/>
        <v>43536</v>
      </c>
      <c r="M45" s="71" t="str">
        <f>IFERROR(VLOOKUP(L45,NBA_Bets[[Date]:[Version]],2,0),"")</f>
        <v>v1.6</v>
      </c>
      <c r="N45" s="130" t="str">
        <f>COUNTIFS(NBA_Bets[Date],L45,NBA_Bets[Result],"W")&amp;"-"&amp;COUNTIFS(NBA_Bets[Date],L45,NBA_Bets[Result],"L")&amp;IF(COUNTIFS(NBA_Bets[Date],L45,NBA_Bets[Result],"Push")&gt;0,"-"&amp;COUNTIFS(NBA_Bets[Date],L45,NBA_Bets[Result],"Push"),"")</f>
        <v>3-6</v>
      </c>
      <c r="O45" s="131">
        <f>IFERROR(COUNTIFS(NBA_Bets[Date],L45,NBA_Bets[Result],"W")/(COUNTIFS(NBA_Bets[Date],L45,NBA_Bets[Result],"W")+COUNTIFS(NBA_Bets[Date],L45,NBA_Bets[Result],"L")),"")</f>
        <v>0.33333333333333331</v>
      </c>
      <c r="P45" s="88">
        <f>SUMIF(NBA_Bets[Date],L45,NBA_Bets[Winnings])-SUMIF(NBA_Bets[Date],L45,NBA_Bets[Risk])</f>
        <v>-25.202529644268765</v>
      </c>
      <c r="Q45" s="89" t="str">
        <f>IFERROR("("&amp;ROUND((SUMIF(NBA_Bets[Date],L45,NBA_Bets[Winnings])-SUMIF(NBA_Bets[Date],L45,NBA_Bets[Risk]))/SUMIF(NBA_Bets[Date],L45,NBA_Bets[Risk]),2)*100&amp;"%)","")</f>
        <v>(-31%)</v>
      </c>
    </row>
    <row r="46" spans="1:17" x14ac:dyDescent="0.25">
      <c r="A46" s="70">
        <f t="shared" si="2"/>
        <v>5</v>
      </c>
      <c r="B46" s="6">
        <v>43455</v>
      </c>
      <c r="C46" s="6" t="s">
        <v>299</v>
      </c>
      <c r="D46" s="7" t="s">
        <v>186</v>
      </c>
      <c r="E46" s="8" t="s">
        <v>188</v>
      </c>
      <c r="F46" s="66">
        <v>5</v>
      </c>
      <c r="G46" s="69">
        <v>-110</v>
      </c>
      <c r="H46" s="64" t="s">
        <v>7</v>
      </c>
      <c r="I46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6" s="9"/>
      <c r="L46" s="71">
        <f t="shared" si="3"/>
        <v>43537</v>
      </c>
      <c r="M46" s="71" t="str">
        <f>IFERROR(VLOOKUP(L46,NBA_Bets[[Date]:[Version]],2,0),"")</f>
        <v>v1.6</v>
      </c>
      <c r="N46" s="130" t="str">
        <f>COUNTIFS(NBA_Bets[Date],L46,NBA_Bets[Result],"W")&amp;"-"&amp;COUNTIFS(NBA_Bets[Date],L46,NBA_Bets[Result],"L")&amp;IF(COUNTIFS(NBA_Bets[Date],L46,NBA_Bets[Result],"Push")&gt;0,"-"&amp;COUNTIFS(NBA_Bets[Date],L46,NBA_Bets[Result],"Push"),"")</f>
        <v>5-5</v>
      </c>
      <c r="O46" s="131">
        <f>IFERROR(COUNTIFS(NBA_Bets[Date],L46,NBA_Bets[Result],"W")/(COUNTIFS(NBA_Bets[Date],L46,NBA_Bets[Result],"W")+COUNTIFS(NBA_Bets[Date],L46,NBA_Bets[Result],"L")),"")</f>
        <v>0.5</v>
      </c>
      <c r="P46" s="88">
        <f>SUMIF(NBA_Bets[Date],L46,NBA_Bets[Winnings])-SUMIF(NBA_Bets[Date],L46,NBA_Bets[Risk])</f>
        <v>0.86609448522492016</v>
      </c>
      <c r="Q46" s="89" t="str">
        <f>IFERROR("("&amp;ROUND((SUMIF(NBA_Bets[Date],L46,NBA_Bets[Winnings])-SUMIF(NBA_Bets[Date],L46,NBA_Bets[Risk]))/SUMIF(NBA_Bets[Date],L46,NBA_Bets[Risk]),2)*100&amp;"%)","")</f>
        <v>(2%)</v>
      </c>
    </row>
    <row r="47" spans="1:17" x14ac:dyDescent="0.25">
      <c r="A47" s="70">
        <f t="shared" si="2"/>
        <v>5</v>
      </c>
      <c r="B47" s="6">
        <v>43455</v>
      </c>
      <c r="C47" s="6" t="s">
        <v>299</v>
      </c>
      <c r="D47" s="7" t="s">
        <v>189</v>
      </c>
      <c r="E47" s="8" t="s">
        <v>190</v>
      </c>
      <c r="F47" s="66">
        <v>5</v>
      </c>
      <c r="G47" s="69">
        <v>-110</v>
      </c>
      <c r="H47" s="64" t="s">
        <v>37</v>
      </c>
      <c r="I47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7" s="9"/>
      <c r="L47" s="71">
        <f t="shared" si="3"/>
        <v>43538</v>
      </c>
      <c r="M47" s="71" t="str">
        <f>IFERROR(VLOOKUP(L47,NBA_Bets[[Date]:[Version]],2,0),"")</f>
        <v>v1.6</v>
      </c>
      <c r="N47" s="130" t="str">
        <f>COUNTIFS(NBA_Bets[Date],L47,NBA_Bets[Result],"W")&amp;"-"&amp;COUNTIFS(NBA_Bets[Date],L47,NBA_Bets[Result],"L")&amp;IF(COUNTIFS(NBA_Bets[Date],L47,NBA_Bets[Result],"Push")&gt;0,"-"&amp;COUNTIFS(NBA_Bets[Date],L47,NBA_Bets[Result],"Push"),"")</f>
        <v>10-1-1</v>
      </c>
      <c r="O47" s="131">
        <f>IFERROR(COUNTIFS(NBA_Bets[Date],L47,NBA_Bets[Result],"W")/(COUNTIFS(NBA_Bets[Date],L47,NBA_Bets[Result],"W")+COUNTIFS(NBA_Bets[Date],L47,NBA_Bets[Result],"L")),"")</f>
        <v>0.90909090909090906</v>
      </c>
      <c r="P47" s="88">
        <f>SUMIF(NBA_Bets[Date],L47,NBA_Bets[Winnings])-SUMIF(NBA_Bets[Date],L47,NBA_Bets[Risk])</f>
        <v>23.656938671103788</v>
      </c>
      <c r="Q47" s="89" t="str">
        <f>IFERROR("("&amp;ROUND((SUMIF(NBA_Bets[Date],L47,NBA_Bets[Winnings])-SUMIF(NBA_Bets[Date],L47,NBA_Bets[Risk]))/SUMIF(NBA_Bets[Date],L47,NBA_Bets[Risk]),2)*100&amp;"%)","")</f>
        <v>(39%)</v>
      </c>
    </row>
    <row r="48" spans="1:17" x14ac:dyDescent="0.25">
      <c r="A48" s="70">
        <f t="shared" si="2"/>
        <v>5</v>
      </c>
      <c r="B48" s="6">
        <v>43455</v>
      </c>
      <c r="C48" s="6" t="s">
        <v>299</v>
      </c>
      <c r="D48" s="7" t="s">
        <v>189</v>
      </c>
      <c r="E48" s="8" t="s">
        <v>191</v>
      </c>
      <c r="F48" s="66">
        <v>5</v>
      </c>
      <c r="G48" s="69">
        <v>-110</v>
      </c>
      <c r="H48" s="64" t="s">
        <v>7</v>
      </c>
      <c r="I48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8" s="9"/>
      <c r="L48" s="71">
        <f t="shared" si="3"/>
        <v>43539</v>
      </c>
      <c r="M48" s="71" t="str">
        <f>IFERROR(VLOOKUP(L48,NBA_Bets[[Date]:[Version]],2,0),"")</f>
        <v>v1.6</v>
      </c>
      <c r="N48" s="130" t="str">
        <f>COUNTIFS(NBA_Bets[Date],L48,NBA_Bets[Result],"W")&amp;"-"&amp;COUNTIFS(NBA_Bets[Date],L48,NBA_Bets[Result],"L")&amp;IF(COUNTIFS(NBA_Bets[Date],L48,NBA_Bets[Result],"Push")&gt;0,"-"&amp;COUNTIFS(NBA_Bets[Date],L48,NBA_Bets[Result],"Push"),"")</f>
        <v>5-6</v>
      </c>
      <c r="O48" s="131">
        <f>IFERROR(COUNTIFS(NBA_Bets[Date],L48,NBA_Bets[Result],"W")/(COUNTIFS(NBA_Bets[Date],L48,NBA_Bets[Result],"W")+COUNTIFS(NBA_Bets[Date],L48,NBA_Bets[Result],"L")),"")</f>
        <v>0.45454545454545453</v>
      </c>
      <c r="P48" s="88">
        <f>SUMIF(NBA_Bets[Date],L48,NBA_Bets[Winnings])-SUMIF(NBA_Bets[Date],L48,NBA_Bets[Risk])</f>
        <v>-11.90093873517786</v>
      </c>
      <c r="Q48" s="89" t="str">
        <f>IFERROR("("&amp;ROUND((SUMIF(NBA_Bets[Date],L48,NBA_Bets[Winnings])-SUMIF(NBA_Bets[Date],L48,NBA_Bets[Risk]))/SUMIF(NBA_Bets[Date],L48,NBA_Bets[Risk]),2)*100&amp;"%)","")</f>
        <v>(-22%)</v>
      </c>
    </row>
    <row r="49" spans="1:17" x14ac:dyDescent="0.25">
      <c r="A49" s="70">
        <f t="shared" si="2"/>
        <v>5</v>
      </c>
      <c r="B49" s="6">
        <v>43455</v>
      </c>
      <c r="C49" s="6" t="s">
        <v>299</v>
      </c>
      <c r="D49" s="7" t="s">
        <v>189</v>
      </c>
      <c r="E49" s="8" t="s">
        <v>192</v>
      </c>
      <c r="F49" s="66">
        <v>5</v>
      </c>
      <c r="G49" s="69">
        <v>175</v>
      </c>
      <c r="H49" s="64" t="s">
        <v>7</v>
      </c>
      <c r="I49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49" s="9"/>
      <c r="L49" s="71">
        <f t="shared" si="3"/>
        <v>43549</v>
      </c>
      <c r="M49" s="71" t="str">
        <f>IFERROR(VLOOKUP(L49,NBA_Bets[[Date]:[Version]],2,0),"")</f>
        <v>v1.6</v>
      </c>
      <c r="N49" s="130" t="str">
        <f>COUNTIFS(NBA_Bets[Date],L49,NBA_Bets[Result],"W")&amp;"-"&amp;COUNTIFS(NBA_Bets[Date],L49,NBA_Bets[Result],"L")&amp;IF(COUNTIFS(NBA_Bets[Date],L49,NBA_Bets[Result],"Push")&gt;0,"-"&amp;COUNTIFS(NBA_Bets[Date],L49,NBA_Bets[Result],"Push"),"")</f>
        <v>4-3</v>
      </c>
      <c r="O49" s="131">
        <f>IFERROR(COUNTIFS(NBA_Bets[Date],L49,NBA_Bets[Result],"W")/(COUNTIFS(NBA_Bets[Date],L49,NBA_Bets[Result],"W")+COUNTIFS(NBA_Bets[Date],L49,NBA_Bets[Result],"L")),"")</f>
        <v>0.5714285714285714</v>
      </c>
      <c r="P49" s="88">
        <f>SUMIF(NBA_Bets[Date],L49,NBA_Bets[Winnings])-SUMIF(NBA_Bets[Date],L49,NBA_Bets[Risk])</f>
        <v>3.25</v>
      </c>
      <c r="Q49" s="89" t="str">
        <f>IFERROR("("&amp;ROUND((SUMIF(NBA_Bets[Date],L49,NBA_Bets[Winnings])-SUMIF(NBA_Bets[Date],L49,NBA_Bets[Risk]))/SUMIF(NBA_Bets[Date],L49,NBA_Bets[Risk]),2)*100&amp;"%)","")</f>
        <v>(8%)</v>
      </c>
    </row>
    <row r="50" spans="1:17" x14ac:dyDescent="0.25">
      <c r="A50" s="70">
        <f t="shared" si="2"/>
        <v>6</v>
      </c>
      <c r="B50" s="6">
        <v>43456</v>
      </c>
      <c r="C50" s="6" t="s">
        <v>299</v>
      </c>
      <c r="D50" s="7" t="s">
        <v>193</v>
      </c>
      <c r="E50" s="8" t="s">
        <v>194</v>
      </c>
      <c r="F50" s="66">
        <v>5</v>
      </c>
      <c r="G50" s="30">
        <v>-110</v>
      </c>
      <c r="H50" s="64" t="s">
        <v>7</v>
      </c>
      <c r="I50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50" s="9"/>
      <c r="L50" s="71">
        <f t="shared" si="3"/>
        <v>43550</v>
      </c>
      <c r="M50" s="71" t="str">
        <f>IFERROR(VLOOKUP(L50,NBA_Bets[[Date]:[Version]],2,0),"")</f>
        <v>v1.6</v>
      </c>
      <c r="N50" s="130" t="str">
        <f>COUNTIFS(NBA_Bets[Date],L50,NBA_Bets[Result],"W")&amp;"-"&amp;COUNTIFS(NBA_Bets[Date],L50,NBA_Bets[Result],"L")&amp;IF(COUNTIFS(NBA_Bets[Date],L50,NBA_Bets[Result],"Push")&gt;0,"-"&amp;COUNTIFS(NBA_Bets[Date],L50,NBA_Bets[Result],"Push"),"")</f>
        <v>4-6</v>
      </c>
      <c r="O50" s="131">
        <f>IFERROR(COUNTIFS(NBA_Bets[Date],L50,NBA_Bets[Result],"W")/(COUNTIFS(NBA_Bets[Date],L50,NBA_Bets[Result],"W")+COUNTIFS(NBA_Bets[Date],L50,NBA_Bets[Result],"L")),"")</f>
        <v>0.4</v>
      </c>
      <c r="P50" s="88">
        <f>SUMIF(NBA_Bets[Date],L50,NBA_Bets[Winnings])-SUMIF(NBA_Bets[Date],L50,NBA_Bets[Risk])</f>
        <v>-12.75</v>
      </c>
      <c r="Q50" s="89" t="str">
        <f>IFERROR("("&amp;ROUND((SUMIF(NBA_Bets[Date],L50,NBA_Bets[Winnings])-SUMIF(NBA_Bets[Date],L50,NBA_Bets[Risk]))/SUMIF(NBA_Bets[Date],L50,NBA_Bets[Risk]),2)*100&amp;"%)","")</f>
        <v>(-24%)</v>
      </c>
    </row>
    <row r="51" spans="1:17" x14ac:dyDescent="0.25">
      <c r="A51" s="70">
        <f t="shared" si="2"/>
        <v>6</v>
      </c>
      <c r="B51" s="6">
        <v>43456</v>
      </c>
      <c r="C51" s="6" t="s">
        <v>299</v>
      </c>
      <c r="D51" s="7" t="s">
        <v>193</v>
      </c>
      <c r="E51" s="8" t="s">
        <v>195</v>
      </c>
      <c r="F51" s="66">
        <v>5</v>
      </c>
      <c r="G51" s="30">
        <v>100</v>
      </c>
      <c r="H51" s="64" t="s">
        <v>7</v>
      </c>
      <c r="I51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51" s="9"/>
      <c r="L51" s="71">
        <f t="shared" si="3"/>
        <v>43551</v>
      </c>
      <c r="M51" s="71" t="str">
        <f>IFERROR(VLOOKUP(L51,NBA_Bets[[Date]:[Version]],2,0),"")</f>
        <v>v1.6</v>
      </c>
      <c r="N51" s="130" t="str">
        <f>COUNTIFS(NBA_Bets[Date],L51,NBA_Bets[Result],"W")&amp;"-"&amp;COUNTIFS(NBA_Bets[Date],L51,NBA_Bets[Result],"L")&amp;IF(COUNTIFS(NBA_Bets[Date],L51,NBA_Bets[Result],"Push")&gt;0,"-"&amp;COUNTIFS(NBA_Bets[Date],L51,NBA_Bets[Result],"Push"),"")</f>
        <v>1-4</v>
      </c>
      <c r="O51" s="131">
        <f>IFERROR(COUNTIFS(NBA_Bets[Date],L51,NBA_Bets[Result],"W")/(COUNTIFS(NBA_Bets[Date],L51,NBA_Bets[Result],"W")+COUNTIFS(NBA_Bets[Date],L51,NBA_Bets[Result],"L")),"")</f>
        <v>0.2</v>
      </c>
      <c r="P51" s="88">
        <f>SUMIF(NBA_Bets[Date],L51,NBA_Bets[Winnings])-SUMIF(NBA_Bets[Date],L51,NBA_Bets[Risk])</f>
        <v>-12.521739130434783</v>
      </c>
      <c r="Q51" s="89" t="str">
        <f>IFERROR("("&amp;ROUND((SUMIF(NBA_Bets[Date],L51,NBA_Bets[Winnings])-SUMIF(NBA_Bets[Date],L51,NBA_Bets[Risk]))/SUMIF(NBA_Bets[Date],L51,NBA_Bets[Risk]),2)*100&amp;"%)","")</f>
        <v>(-63%)</v>
      </c>
    </row>
    <row r="52" spans="1:17" x14ac:dyDescent="0.25">
      <c r="A52" s="70">
        <f t="shared" si="2"/>
        <v>6</v>
      </c>
      <c r="B52" s="6">
        <v>43456</v>
      </c>
      <c r="C52" s="6" t="s">
        <v>299</v>
      </c>
      <c r="D52" s="7" t="s">
        <v>196</v>
      </c>
      <c r="E52" s="8" t="s">
        <v>174</v>
      </c>
      <c r="F52" s="66">
        <v>5</v>
      </c>
      <c r="G52" s="30">
        <v>-110</v>
      </c>
      <c r="H52" s="64" t="s">
        <v>7</v>
      </c>
      <c r="I52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52" s="9"/>
      <c r="L52" s="71">
        <f t="shared" si="3"/>
        <v>43552</v>
      </c>
      <c r="M52" s="71" t="str">
        <f>IFERROR(VLOOKUP(L52,NBA_Bets[[Date]:[Version]],2,0),"")</f>
        <v>v1.6</v>
      </c>
      <c r="N52" s="130" t="str">
        <f>COUNTIFS(NBA_Bets[Date],L52,NBA_Bets[Result],"W")&amp;"-"&amp;COUNTIFS(NBA_Bets[Date],L52,NBA_Bets[Result],"L")&amp;IF(COUNTIFS(NBA_Bets[Date],L52,NBA_Bets[Result],"Push")&gt;0,"-"&amp;COUNTIFS(NBA_Bets[Date],L52,NBA_Bets[Result],"Push"),"")</f>
        <v>1-4</v>
      </c>
      <c r="O52" s="131">
        <f>IFERROR(COUNTIFS(NBA_Bets[Date],L52,NBA_Bets[Result],"W")/(COUNTIFS(NBA_Bets[Date],L52,NBA_Bets[Result],"W")+COUNTIFS(NBA_Bets[Date],L52,NBA_Bets[Result],"L")),"")</f>
        <v>0.2</v>
      </c>
      <c r="P52" s="88">
        <f>SUMIF(NBA_Bets[Date],L52,NBA_Bets[Winnings])-SUMIF(NBA_Bets[Date],L52,NBA_Bets[Risk])</f>
        <v>-12.521739130434783</v>
      </c>
      <c r="Q52" s="89" t="str">
        <f>IFERROR("("&amp;ROUND((SUMIF(NBA_Bets[Date],L52,NBA_Bets[Winnings])-SUMIF(NBA_Bets[Date],L52,NBA_Bets[Risk]))/SUMIF(NBA_Bets[Date],L52,NBA_Bets[Risk]),2)*100&amp;"%)","")</f>
        <v>(-63%)</v>
      </c>
    </row>
    <row r="53" spans="1:17" x14ac:dyDescent="0.25">
      <c r="A53" s="70">
        <f t="shared" si="2"/>
        <v>6</v>
      </c>
      <c r="B53" s="6">
        <v>43456</v>
      </c>
      <c r="C53" s="6" t="s">
        <v>299</v>
      </c>
      <c r="D53" s="7" t="s">
        <v>196</v>
      </c>
      <c r="E53" s="8" t="s">
        <v>197</v>
      </c>
      <c r="F53" s="66">
        <v>5</v>
      </c>
      <c r="G53" s="30">
        <v>-110</v>
      </c>
      <c r="H53" s="64" t="s">
        <v>7</v>
      </c>
      <c r="I53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53" s="9"/>
      <c r="L53" s="71">
        <f t="shared" si="3"/>
        <v>0</v>
      </c>
      <c r="M53" s="71" t="str">
        <f>IFERROR(VLOOKUP(L53,NBA_Bets[[Date]:[Version]],2,0),"")</f>
        <v/>
      </c>
      <c r="N53" s="130" t="str">
        <f>COUNTIFS(NBA_Bets[Date],L53,NBA_Bets[Result],"W")&amp;"-"&amp;COUNTIFS(NBA_Bets[Date],L53,NBA_Bets[Result],"L")&amp;IF(COUNTIFS(NBA_Bets[Date],L53,NBA_Bets[Result],"Push")&gt;0,"-"&amp;COUNTIFS(NBA_Bets[Date],L53,NBA_Bets[Result],"Push"),"")</f>
        <v>0-0</v>
      </c>
      <c r="O53" s="131" t="str">
        <f>IFERROR(COUNTIFS(NBA_Bets[Date],L53,NBA_Bets[Result],"W")/(COUNTIFS(NBA_Bets[Date],L53,NBA_Bets[Result],"W")+COUNTIFS(NBA_Bets[Date],L53,NBA_Bets[Result],"L")),"")</f>
        <v/>
      </c>
      <c r="P53" s="88">
        <f>SUMIF(NBA_Bets[Date],L53,NBA_Bets[Winnings])-SUMIF(NBA_Bets[Date],L53,NBA_Bets[Risk])</f>
        <v>0</v>
      </c>
      <c r="Q53" s="89" t="str">
        <f>IFERROR("("&amp;ROUND((SUMIF(NBA_Bets[Date],L53,NBA_Bets[Winnings])-SUMIF(NBA_Bets[Date],L53,NBA_Bets[Risk]))/SUMIF(NBA_Bets[Date],L53,NBA_Bets[Risk]),2)*100&amp;"%)","")</f>
        <v/>
      </c>
    </row>
    <row r="54" spans="1:17" x14ac:dyDescent="0.25">
      <c r="A54" s="70">
        <f t="shared" si="2"/>
        <v>6</v>
      </c>
      <c r="B54" s="6">
        <v>43456</v>
      </c>
      <c r="C54" s="6" t="s">
        <v>299</v>
      </c>
      <c r="D54" s="7" t="s">
        <v>198</v>
      </c>
      <c r="E54" s="8" t="s">
        <v>199</v>
      </c>
      <c r="F54" s="66">
        <v>5</v>
      </c>
      <c r="G54" s="30">
        <v>-110</v>
      </c>
      <c r="H54" s="64" t="s">
        <v>7</v>
      </c>
      <c r="I54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54" s="9"/>
      <c r="L54" s="71">
        <f t="shared" si="3"/>
        <v>0</v>
      </c>
      <c r="M54" s="71" t="str">
        <f>IFERROR(VLOOKUP(L54,NBA_Bets[[Date]:[Version]],2,0),"")</f>
        <v/>
      </c>
      <c r="N54" s="130" t="str">
        <f>COUNTIFS(NBA_Bets[Date],L54,NBA_Bets[Result],"W")&amp;"-"&amp;COUNTIFS(NBA_Bets[Date],L54,NBA_Bets[Result],"L")&amp;IF(COUNTIFS(NBA_Bets[Date],L54,NBA_Bets[Result],"Push")&gt;0,"-"&amp;COUNTIFS(NBA_Bets[Date],L54,NBA_Bets[Result],"Push"),"")</f>
        <v>0-0</v>
      </c>
      <c r="O54" s="131" t="str">
        <f>IFERROR(COUNTIFS(NBA_Bets[Date],L54,NBA_Bets[Result],"W")/(COUNTIFS(NBA_Bets[Date],L54,NBA_Bets[Result],"W")+COUNTIFS(NBA_Bets[Date],L54,NBA_Bets[Result],"L")),"")</f>
        <v/>
      </c>
      <c r="P54" s="88">
        <f>SUMIF(NBA_Bets[Date],L54,NBA_Bets[Winnings])-SUMIF(NBA_Bets[Date],L54,NBA_Bets[Risk])</f>
        <v>0</v>
      </c>
      <c r="Q54" s="89" t="str">
        <f>IFERROR("("&amp;ROUND((SUMIF(NBA_Bets[Date],L54,NBA_Bets[Winnings])-SUMIF(NBA_Bets[Date],L54,NBA_Bets[Risk]))/SUMIF(NBA_Bets[Date],L54,NBA_Bets[Risk]),2)*100&amp;"%)","")</f>
        <v/>
      </c>
    </row>
    <row r="55" spans="1:17" x14ac:dyDescent="0.25">
      <c r="A55" s="70">
        <f t="shared" si="2"/>
        <v>6</v>
      </c>
      <c r="B55" s="6">
        <v>43456</v>
      </c>
      <c r="C55" s="6" t="s">
        <v>299</v>
      </c>
      <c r="D55" s="7" t="s">
        <v>198</v>
      </c>
      <c r="E55" s="8" t="s">
        <v>200</v>
      </c>
      <c r="F55" s="66">
        <v>5</v>
      </c>
      <c r="G55" s="30">
        <v>260</v>
      </c>
      <c r="H55" s="64" t="s">
        <v>7</v>
      </c>
      <c r="I55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55" s="9"/>
      <c r="L55" s="71">
        <f t="shared" si="3"/>
        <v>0</v>
      </c>
      <c r="M55" s="71" t="str">
        <f>IFERROR(VLOOKUP(L55,NBA_Bets[[Date]:[Version]],2,0),"")</f>
        <v/>
      </c>
      <c r="N55" s="130" t="str">
        <f>COUNTIFS(NBA_Bets[Date],L55,NBA_Bets[Result],"W")&amp;"-"&amp;COUNTIFS(NBA_Bets[Date],L55,NBA_Bets[Result],"L")&amp;IF(COUNTIFS(NBA_Bets[Date],L55,NBA_Bets[Result],"Push")&gt;0,"-"&amp;COUNTIFS(NBA_Bets[Date],L55,NBA_Bets[Result],"Push"),"")</f>
        <v>0-0</v>
      </c>
      <c r="O55" s="131" t="str">
        <f>IFERROR(COUNTIFS(NBA_Bets[Date],L55,NBA_Bets[Result],"W")/(COUNTIFS(NBA_Bets[Date],L55,NBA_Bets[Result],"W")+COUNTIFS(NBA_Bets[Date],L55,NBA_Bets[Result],"L")),"")</f>
        <v/>
      </c>
      <c r="P55" s="88">
        <f>SUMIF(NBA_Bets[Date],L55,NBA_Bets[Winnings])-SUMIF(NBA_Bets[Date],L55,NBA_Bets[Risk])</f>
        <v>0</v>
      </c>
      <c r="Q55" s="89" t="str">
        <f>IFERROR("("&amp;ROUND((SUMIF(NBA_Bets[Date],L55,NBA_Bets[Winnings])-SUMIF(NBA_Bets[Date],L55,NBA_Bets[Risk]))/SUMIF(NBA_Bets[Date],L55,NBA_Bets[Risk]),2)*100&amp;"%)","")</f>
        <v/>
      </c>
    </row>
    <row r="56" spans="1:17" x14ac:dyDescent="0.25">
      <c r="A56" s="70">
        <f t="shared" si="2"/>
        <v>6</v>
      </c>
      <c r="B56" s="6">
        <v>43456</v>
      </c>
      <c r="C56" s="6" t="s">
        <v>299</v>
      </c>
      <c r="D56" s="7" t="s">
        <v>201</v>
      </c>
      <c r="E56" s="8" t="s">
        <v>202</v>
      </c>
      <c r="F56" s="66">
        <v>5</v>
      </c>
      <c r="G56" s="30">
        <v>-110</v>
      </c>
      <c r="H56" s="64" t="s">
        <v>7</v>
      </c>
      <c r="I56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56" s="9"/>
      <c r="L56" s="71">
        <f t="shared" si="3"/>
        <v>0</v>
      </c>
      <c r="M56" s="71" t="str">
        <f>IFERROR(VLOOKUP(L56,NBA_Bets[[Date]:[Version]],2,0),"")</f>
        <v/>
      </c>
      <c r="N56" s="130" t="str">
        <f>COUNTIFS(NBA_Bets[Date],L56,NBA_Bets[Result],"W")&amp;"-"&amp;COUNTIFS(NBA_Bets[Date],L56,NBA_Bets[Result],"L")&amp;IF(COUNTIFS(NBA_Bets[Date],L56,NBA_Bets[Result],"Push")&gt;0,"-"&amp;COUNTIFS(NBA_Bets[Date],L56,NBA_Bets[Result],"Push"),"")</f>
        <v>0-0</v>
      </c>
      <c r="O56" s="131" t="str">
        <f>IFERROR(COUNTIFS(NBA_Bets[Date],L56,NBA_Bets[Result],"W")/(COUNTIFS(NBA_Bets[Date],L56,NBA_Bets[Result],"W")+COUNTIFS(NBA_Bets[Date],L56,NBA_Bets[Result],"L")),"")</f>
        <v/>
      </c>
      <c r="P56" s="88">
        <f>SUMIF(NBA_Bets[Date],L56,NBA_Bets[Winnings])-SUMIF(NBA_Bets[Date],L56,NBA_Bets[Risk])</f>
        <v>0</v>
      </c>
      <c r="Q56" s="89" t="str">
        <f>IFERROR("("&amp;ROUND((SUMIF(NBA_Bets[Date],L56,NBA_Bets[Winnings])-SUMIF(NBA_Bets[Date],L56,NBA_Bets[Risk]))/SUMIF(NBA_Bets[Date],L56,NBA_Bets[Risk]),2)*100&amp;"%)","")</f>
        <v/>
      </c>
    </row>
    <row r="57" spans="1:17" x14ac:dyDescent="0.25">
      <c r="A57" s="70">
        <f t="shared" si="2"/>
        <v>6</v>
      </c>
      <c r="B57" s="6">
        <v>43456</v>
      </c>
      <c r="C57" s="6" t="s">
        <v>299</v>
      </c>
      <c r="D57" s="7" t="s">
        <v>203</v>
      </c>
      <c r="E57" s="8" t="s">
        <v>204</v>
      </c>
      <c r="F57" s="66">
        <v>5</v>
      </c>
      <c r="G57" s="30">
        <v>-110</v>
      </c>
      <c r="H57" s="64" t="s">
        <v>7</v>
      </c>
      <c r="I57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57" s="9"/>
      <c r="L57" s="71">
        <f t="shared" si="3"/>
        <v>0</v>
      </c>
      <c r="M57" s="71" t="str">
        <f>IFERROR(VLOOKUP(L57,NBA_Bets[[Date]:[Version]],2,0),"")</f>
        <v/>
      </c>
      <c r="N57" s="130" t="str">
        <f>COUNTIFS(NBA_Bets[Date],L57,NBA_Bets[Result],"W")&amp;"-"&amp;COUNTIFS(NBA_Bets[Date],L57,NBA_Bets[Result],"L")&amp;IF(COUNTIFS(NBA_Bets[Date],L57,NBA_Bets[Result],"Push")&gt;0,"-"&amp;COUNTIFS(NBA_Bets[Date],L57,NBA_Bets[Result],"Push"),"")</f>
        <v>0-0</v>
      </c>
      <c r="O57" s="131" t="str">
        <f>IFERROR(COUNTIFS(NBA_Bets[Date],L57,NBA_Bets[Result],"W")/(COUNTIFS(NBA_Bets[Date],L57,NBA_Bets[Result],"W")+COUNTIFS(NBA_Bets[Date],L57,NBA_Bets[Result],"L")),"")</f>
        <v/>
      </c>
      <c r="P57" s="88">
        <f>SUMIF(NBA_Bets[Date],L57,NBA_Bets[Winnings])-SUMIF(NBA_Bets[Date],L57,NBA_Bets[Risk])</f>
        <v>0</v>
      </c>
      <c r="Q57" s="89" t="str">
        <f>IFERROR("("&amp;ROUND((SUMIF(NBA_Bets[Date],L57,NBA_Bets[Winnings])-SUMIF(NBA_Bets[Date],L57,NBA_Bets[Risk]))/SUMIF(NBA_Bets[Date],L57,NBA_Bets[Risk]),2)*100&amp;"%)","")</f>
        <v/>
      </c>
    </row>
    <row r="58" spans="1:17" x14ac:dyDescent="0.25">
      <c r="A58" s="70">
        <f t="shared" si="2"/>
        <v>6</v>
      </c>
      <c r="B58" s="6">
        <v>43456</v>
      </c>
      <c r="C58" s="6" t="s">
        <v>299</v>
      </c>
      <c r="D58" s="7" t="s">
        <v>203</v>
      </c>
      <c r="E58" s="8" t="s">
        <v>205</v>
      </c>
      <c r="F58" s="66">
        <v>5</v>
      </c>
      <c r="G58" s="30">
        <v>175</v>
      </c>
      <c r="H58" s="64" t="s">
        <v>7</v>
      </c>
      <c r="I58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58" s="9"/>
      <c r="L58" s="71">
        <f t="shared" si="3"/>
        <v>0</v>
      </c>
      <c r="M58" s="71" t="str">
        <f>IFERROR(VLOOKUP(L58,NBA_Bets[[Date]:[Version]],2,0),"")</f>
        <v/>
      </c>
      <c r="N58" s="130" t="str">
        <f>COUNTIFS(NBA_Bets[Date],L58,NBA_Bets[Result],"W")&amp;"-"&amp;COUNTIFS(NBA_Bets[Date],L58,NBA_Bets[Result],"L")&amp;IF(COUNTIFS(NBA_Bets[Date],L58,NBA_Bets[Result],"Push")&gt;0,"-"&amp;COUNTIFS(NBA_Bets[Date],L58,NBA_Bets[Result],"Push"),"")</f>
        <v>0-0</v>
      </c>
      <c r="O58" s="131" t="str">
        <f>IFERROR(COUNTIFS(NBA_Bets[Date],L58,NBA_Bets[Result],"W")/(COUNTIFS(NBA_Bets[Date],L58,NBA_Bets[Result],"W")+COUNTIFS(NBA_Bets[Date],L58,NBA_Bets[Result],"L")),"")</f>
        <v/>
      </c>
      <c r="P58" s="88">
        <f>SUMIF(NBA_Bets[Date],L58,NBA_Bets[Winnings])-SUMIF(NBA_Bets[Date],L58,NBA_Bets[Risk])</f>
        <v>0</v>
      </c>
      <c r="Q58" s="89" t="str">
        <f>IFERROR("("&amp;ROUND((SUMIF(NBA_Bets[Date],L58,NBA_Bets[Winnings])-SUMIF(NBA_Bets[Date],L58,NBA_Bets[Risk]))/SUMIF(NBA_Bets[Date],L58,NBA_Bets[Risk]),2)*100&amp;"%)","")</f>
        <v/>
      </c>
    </row>
    <row r="59" spans="1:17" x14ac:dyDescent="0.25">
      <c r="A59" s="70">
        <f t="shared" si="2"/>
        <v>6</v>
      </c>
      <c r="B59" s="6">
        <v>43456</v>
      </c>
      <c r="C59" s="6" t="s">
        <v>299</v>
      </c>
      <c r="D59" s="7" t="s">
        <v>206</v>
      </c>
      <c r="E59" s="8" t="s">
        <v>207</v>
      </c>
      <c r="F59" s="66">
        <v>5</v>
      </c>
      <c r="G59" s="30">
        <v>-110</v>
      </c>
      <c r="H59" s="64" t="s">
        <v>7</v>
      </c>
      <c r="I59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59" s="9"/>
      <c r="L59" s="71">
        <f t="shared" si="3"/>
        <v>0</v>
      </c>
      <c r="M59" s="71" t="str">
        <f>IFERROR(VLOOKUP(L59,NBA_Bets[[Date]:[Version]],2,0),"")</f>
        <v/>
      </c>
      <c r="N59" s="130" t="str">
        <f>COUNTIFS(NBA_Bets[Date],L59,NBA_Bets[Result],"W")&amp;"-"&amp;COUNTIFS(NBA_Bets[Date],L59,NBA_Bets[Result],"L")&amp;IF(COUNTIFS(NBA_Bets[Date],L59,NBA_Bets[Result],"Push")&gt;0,"-"&amp;COUNTIFS(NBA_Bets[Date],L59,NBA_Bets[Result],"Push"),"")</f>
        <v>0-0</v>
      </c>
      <c r="O59" s="131" t="str">
        <f>IFERROR(COUNTIFS(NBA_Bets[Date],L59,NBA_Bets[Result],"W")/(COUNTIFS(NBA_Bets[Date],L59,NBA_Bets[Result],"W")+COUNTIFS(NBA_Bets[Date],L59,NBA_Bets[Result],"L")),"")</f>
        <v/>
      </c>
      <c r="P59" s="88">
        <f>SUMIF(NBA_Bets[Date],L59,NBA_Bets[Winnings])-SUMIF(NBA_Bets[Date],L59,NBA_Bets[Risk])</f>
        <v>0</v>
      </c>
      <c r="Q59" s="89" t="str">
        <f>IFERROR("("&amp;ROUND((SUMIF(NBA_Bets[Date],L59,NBA_Bets[Winnings])-SUMIF(NBA_Bets[Date],L59,NBA_Bets[Risk]))/SUMIF(NBA_Bets[Date],L59,NBA_Bets[Risk]),2)*100&amp;"%)","")</f>
        <v/>
      </c>
    </row>
    <row r="60" spans="1:17" x14ac:dyDescent="0.25">
      <c r="A60" s="70">
        <f t="shared" si="2"/>
        <v>6</v>
      </c>
      <c r="B60" s="6">
        <v>43456</v>
      </c>
      <c r="C60" s="6" t="s">
        <v>299</v>
      </c>
      <c r="D60" s="7" t="s">
        <v>208</v>
      </c>
      <c r="E60" s="8" t="s">
        <v>209</v>
      </c>
      <c r="F60" s="66">
        <v>5</v>
      </c>
      <c r="G60" s="30">
        <v>-115</v>
      </c>
      <c r="H60" s="64" t="s">
        <v>37</v>
      </c>
      <c r="I60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6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60" s="9"/>
      <c r="L60" s="71">
        <f t="shared" si="3"/>
        <v>0</v>
      </c>
      <c r="M60" s="71" t="str">
        <f>IFERROR(VLOOKUP(L60,NBA_Bets[[Date]:[Version]],2,0),"")</f>
        <v/>
      </c>
      <c r="N60" s="130" t="str">
        <f>COUNTIFS(NBA_Bets[Date],L60,NBA_Bets[Result],"W")&amp;"-"&amp;COUNTIFS(NBA_Bets[Date],L60,NBA_Bets[Result],"L")&amp;IF(COUNTIFS(NBA_Bets[Date],L60,NBA_Bets[Result],"Push")&gt;0,"-"&amp;COUNTIFS(NBA_Bets[Date],L60,NBA_Bets[Result],"Push"),"")</f>
        <v>0-0</v>
      </c>
      <c r="O60" s="131" t="str">
        <f>IFERROR(COUNTIFS(NBA_Bets[Date],L60,NBA_Bets[Result],"W")/(COUNTIFS(NBA_Bets[Date],L60,NBA_Bets[Result],"W")+COUNTIFS(NBA_Bets[Date],L60,NBA_Bets[Result],"L")),"")</f>
        <v/>
      </c>
      <c r="P60" s="88">
        <f>SUMIF(NBA_Bets[Date],L60,NBA_Bets[Winnings])-SUMIF(NBA_Bets[Date],L60,NBA_Bets[Risk])</f>
        <v>0</v>
      </c>
      <c r="Q60" s="89" t="str">
        <f>IFERROR("("&amp;ROUND((SUMIF(NBA_Bets[Date],L60,NBA_Bets[Winnings])-SUMIF(NBA_Bets[Date],L60,NBA_Bets[Risk]))/SUMIF(NBA_Bets[Date],L60,NBA_Bets[Risk]),2)*100&amp;"%)","")</f>
        <v/>
      </c>
    </row>
    <row r="61" spans="1:17" x14ac:dyDescent="0.25">
      <c r="A61" s="70">
        <f t="shared" si="2"/>
        <v>6</v>
      </c>
      <c r="B61" s="6">
        <v>43456</v>
      </c>
      <c r="C61" s="6" t="s">
        <v>299</v>
      </c>
      <c r="D61" s="7" t="s">
        <v>208</v>
      </c>
      <c r="E61" s="8" t="s">
        <v>210</v>
      </c>
      <c r="F61" s="66">
        <v>5</v>
      </c>
      <c r="G61" s="30">
        <v>-110</v>
      </c>
      <c r="H61" s="64" t="s">
        <v>7</v>
      </c>
      <c r="I61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6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61" s="9"/>
      <c r="L61" s="71">
        <f t="shared" si="3"/>
        <v>0</v>
      </c>
      <c r="M61" s="71" t="str">
        <f>IFERROR(VLOOKUP(L61,NBA_Bets[[Date]:[Version]],2,0),"")</f>
        <v/>
      </c>
      <c r="N61" s="130" t="str">
        <f>COUNTIFS(NBA_Bets[Date],L61,NBA_Bets[Result],"W")&amp;"-"&amp;COUNTIFS(NBA_Bets[Date],L61,NBA_Bets[Result],"L")&amp;IF(COUNTIFS(NBA_Bets[Date],L61,NBA_Bets[Result],"Push")&gt;0,"-"&amp;COUNTIFS(NBA_Bets[Date],L61,NBA_Bets[Result],"Push"),"")</f>
        <v>0-0</v>
      </c>
      <c r="O61" s="131" t="str">
        <f>IFERROR(COUNTIFS(NBA_Bets[Date],L61,NBA_Bets[Result],"W")/(COUNTIFS(NBA_Bets[Date],L61,NBA_Bets[Result],"W")+COUNTIFS(NBA_Bets[Date],L61,NBA_Bets[Result],"L")),"")</f>
        <v/>
      </c>
      <c r="P61" s="88">
        <f>SUMIF(NBA_Bets[Date],L61,NBA_Bets[Winnings])-SUMIF(NBA_Bets[Date],L61,NBA_Bets[Risk])</f>
        <v>0</v>
      </c>
      <c r="Q61" s="89" t="str">
        <f>IFERROR("("&amp;ROUND((SUMIF(NBA_Bets[Date],L61,NBA_Bets[Winnings])-SUMIF(NBA_Bets[Date],L61,NBA_Bets[Risk]))/SUMIF(NBA_Bets[Date],L61,NBA_Bets[Risk]),2)*100&amp;"%)","")</f>
        <v/>
      </c>
    </row>
    <row r="62" spans="1:17" x14ac:dyDescent="0.25">
      <c r="A62" s="70">
        <f t="shared" si="2"/>
        <v>7</v>
      </c>
      <c r="B62" s="6">
        <v>43467</v>
      </c>
      <c r="C62" s="6" t="s">
        <v>300</v>
      </c>
      <c r="D62" s="7" t="s">
        <v>211</v>
      </c>
      <c r="E62" s="8" t="s">
        <v>212</v>
      </c>
      <c r="F62" s="66">
        <v>5</v>
      </c>
      <c r="G62" s="30">
        <v>-105</v>
      </c>
      <c r="H62" s="64" t="s">
        <v>37</v>
      </c>
      <c r="I62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6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62" s="9"/>
      <c r="L62" s="71">
        <f t="shared" si="3"/>
        <v>0</v>
      </c>
      <c r="M62" s="71" t="str">
        <f>IFERROR(VLOOKUP(L62,NBA_Bets[[Date]:[Version]],2,0),"")</f>
        <v/>
      </c>
      <c r="N62" s="130" t="str">
        <f>COUNTIFS(NBA_Bets[Date],L62,NBA_Bets[Result],"W")&amp;"-"&amp;COUNTIFS(NBA_Bets[Date],L62,NBA_Bets[Result],"L")&amp;IF(COUNTIFS(NBA_Bets[Date],L62,NBA_Bets[Result],"Push")&gt;0,"-"&amp;COUNTIFS(NBA_Bets[Date],L62,NBA_Bets[Result],"Push"),"")</f>
        <v>0-0</v>
      </c>
      <c r="O62" s="131" t="str">
        <f>IFERROR(COUNTIFS(NBA_Bets[Date],L62,NBA_Bets[Result],"W")/(COUNTIFS(NBA_Bets[Date],L62,NBA_Bets[Result],"W")+COUNTIFS(NBA_Bets[Date],L62,NBA_Bets[Result],"L")),"")</f>
        <v/>
      </c>
      <c r="P62" s="88">
        <f>SUMIF(NBA_Bets[Date],L62,NBA_Bets[Winnings])-SUMIF(NBA_Bets[Date],L62,NBA_Bets[Risk])</f>
        <v>0</v>
      </c>
      <c r="Q62" s="89" t="str">
        <f>IFERROR("("&amp;ROUND((SUMIF(NBA_Bets[Date],L62,NBA_Bets[Winnings])-SUMIF(NBA_Bets[Date],L62,NBA_Bets[Risk]))/SUMIF(NBA_Bets[Date],L62,NBA_Bets[Risk]),2)*100&amp;"%)","")</f>
        <v/>
      </c>
    </row>
    <row r="63" spans="1:17" x14ac:dyDescent="0.25">
      <c r="A63" s="70">
        <f t="shared" si="2"/>
        <v>7</v>
      </c>
      <c r="B63" s="6">
        <v>43467</v>
      </c>
      <c r="C63" s="6" t="s">
        <v>300</v>
      </c>
      <c r="D63" s="7" t="s">
        <v>213</v>
      </c>
      <c r="E63" s="8" t="s">
        <v>182</v>
      </c>
      <c r="F63" s="66">
        <v>5</v>
      </c>
      <c r="G63" s="30">
        <v>-110</v>
      </c>
      <c r="H63" s="64" t="s">
        <v>7</v>
      </c>
      <c r="I63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6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63" s="9"/>
      <c r="L63" s="71">
        <f t="shared" si="3"/>
        <v>0</v>
      </c>
      <c r="M63" s="71" t="str">
        <f>IFERROR(VLOOKUP(L63,NBA_Bets[[Date]:[Version]],2,0),"")</f>
        <v/>
      </c>
      <c r="N63" s="130" t="str">
        <f>COUNTIFS(NBA_Bets[Date],L63,NBA_Bets[Result],"W")&amp;"-"&amp;COUNTIFS(NBA_Bets[Date],L63,NBA_Bets[Result],"L")&amp;IF(COUNTIFS(NBA_Bets[Date],L63,NBA_Bets[Result],"Push")&gt;0,"-"&amp;COUNTIFS(NBA_Bets[Date],L63,NBA_Bets[Result],"Push"),"")</f>
        <v>0-0</v>
      </c>
      <c r="O63" s="131" t="str">
        <f>IFERROR(COUNTIFS(NBA_Bets[Date],L63,NBA_Bets[Result],"W")/(COUNTIFS(NBA_Bets[Date],L63,NBA_Bets[Result],"W")+COUNTIFS(NBA_Bets[Date],L63,NBA_Bets[Result],"L")),"")</f>
        <v/>
      </c>
      <c r="P63" s="88">
        <f>SUMIF(NBA_Bets[Date],L63,NBA_Bets[Winnings])-SUMIF(NBA_Bets[Date],L63,NBA_Bets[Risk])</f>
        <v>0</v>
      </c>
      <c r="Q63" s="89" t="str">
        <f>IFERROR("("&amp;ROUND((SUMIF(NBA_Bets[Date],L63,NBA_Bets[Winnings])-SUMIF(NBA_Bets[Date],L63,NBA_Bets[Risk]))/SUMIF(NBA_Bets[Date],L63,NBA_Bets[Risk]),2)*100&amp;"%)","")</f>
        <v/>
      </c>
    </row>
    <row r="64" spans="1:17" x14ac:dyDescent="0.25">
      <c r="A64" s="70">
        <f t="shared" si="2"/>
        <v>7</v>
      </c>
      <c r="B64" s="6">
        <v>43467</v>
      </c>
      <c r="C64" s="6" t="s">
        <v>300</v>
      </c>
      <c r="D64" s="7" t="s">
        <v>213</v>
      </c>
      <c r="E64" s="8" t="s">
        <v>214</v>
      </c>
      <c r="F64" s="66">
        <v>5</v>
      </c>
      <c r="G64" s="30">
        <v>-110</v>
      </c>
      <c r="H64" s="64" t="s">
        <v>7</v>
      </c>
      <c r="I64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6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64" s="9"/>
      <c r="L64" s="71">
        <f t="shared" si="3"/>
        <v>0</v>
      </c>
      <c r="M64" s="71" t="str">
        <f>IFERROR(VLOOKUP(L64,NBA_Bets[[Date]:[Version]],2,0),"")</f>
        <v/>
      </c>
      <c r="N64" s="130" t="str">
        <f>COUNTIFS(NBA_Bets[Date],L64,NBA_Bets[Result],"W")&amp;"-"&amp;COUNTIFS(NBA_Bets[Date],L64,NBA_Bets[Result],"L")&amp;IF(COUNTIFS(NBA_Bets[Date],L64,NBA_Bets[Result],"Push")&gt;0,"-"&amp;COUNTIFS(NBA_Bets[Date],L64,NBA_Bets[Result],"Push"),"")</f>
        <v>0-0</v>
      </c>
      <c r="O64" s="131" t="str">
        <f>IFERROR(COUNTIFS(NBA_Bets[Date],L64,NBA_Bets[Result],"W")/(COUNTIFS(NBA_Bets[Date],L64,NBA_Bets[Result],"W")+COUNTIFS(NBA_Bets[Date],L64,NBA_Bets[Result],"L")),"")</f>
        <v/>
      </c>
      <c r="P64" s="88">
        <f>SUMIF(NBA_Bets[Date],L64,NBA_Bets[Winnings])-SUMIF(NBA_Bets[Date],L64,NBA_Bets[Risk])</f>
        <v>0</v>
      </c>
      <c r="Q64" s="89" t="str">
        <f>IFERROR("("&amp;ROUND((SUMIF(NBA_Bets[Date],L64,NBA_Bets[Winnings])-SUMIF(NBA_Bets[Date],L64,NBA_Bets[Risk]))/SUMIF(NBA_Bets[Date],L64,NBA_Bets[Risk]),2)*100&amp;"%)","")</f>
        <v/>
      </c>
    </row>
    <row r="65" spans="1:17" x14ac:dyDescent="0.25">
      <c r="A65" s="70">
        <f t="shared" si="2"/>
        <v>7</v>
      </c>
      <c r="B65" s="6">
        <v>43467</v>
      </c>
      <c r="C65" s="6" t="s">
        <v>300</v>
      </c>
      <c r="D65" s="7" t="s">
        <v>215</v>
      </c>
      <c r="E65" s="8" t="s">
        <v>216</v>
      </c>
      <c r="F65" s="66">
        <v>5</v>
      </c>
      <c r="G65" s="30">
        <v>-115</v>
      </c>
      <c r="H65" s="64" t="s">
        <v>37</v>
      </c>
      <c r="I65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6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65" s="9"/>
      <c r="L65" s="71">
        <f t="shared" si="3"/>
        <v>0</v>
      </c>
      <c r="M65" s="71" t="str">
        <f>IFERROR(VLOOKUP(L65,NBA_Bets[[Date]:[Version]],2,0),"")</f>
        <v/>
      </c>
      <c r="N65" s="130" t="str">
        <f>COUNTIFS(NBA_Bets[Date],L65,NBA_Bets[Result],"W")&amp;"-"&amp;COUNTIFS(NBA_Bets[Date],L65,NBA_Bets[Result],"L")&amp;IF(COUNTIFS(NBA_Bets[Date],L65,NBA_Bets[Result],"Push")&gt;0,"-"&amp;COUNTIFS(NBA_Bets[Date],L65,NBA_Bets[Result],"Push"),"")</f>
        <v>0-0</v>
      </c>
      <c r="O65" s="131" t="str">
        <f>IFERROR(COUNTIFS(NBA_Bets[Date],L65,NBA_Bets[Result],"W")/(COUNTIFS(NBA_Bets[Date],L65,NBA_Bets[Result],"W")+COUNTIFS(NBA_Bets[Date],L65,NBA_Bets[Result],"L")),"")</f>
        <v/>
      </c>
      <c r="P65" s="88">
        <f>SUMIF(NBA_Bets[Date],L65,NBA_Bets[Winnings])-SUMIF(NBA_Bets[Date],L65,NBA_Bets[Risk])</f>
        <v>0</v>
      </c>
      <c r="Q65" s="89" t="str">
        <f>IFERROR("("&amp;ROUND((SUMIF(NBA_Bets[Date],L65,NBA_Bets[Winnings])-SUMIF(NBA_Bets[Date],L65,NBA_Bets[Risk]))/SUMIF(NBA_Bets[Date],L65,NBA_Bets[Risk]),2)*100&amp;"%)","")</f>
        <v/>
      </c>
    </row>
    <row r="66" spans="1:17" x14ac:dyDescent="0.25">
      <c r="A66" s="70">
        <f t="shared" si="2"/>
        <v>7</v>
      </c>
      <c r="B66" s="6">
        <v>43467</v>
      </c>
      <c r="C66" s="6" t="s">
        <v>300</v>
      </c>
      <c r="D66" s="7" t="s">
        <v>215</v>
      </c>
      <c r="E66" s="8" t="s">
        <v>217</v>
      </c>
      <c r="F66" s="66">
        <v>5</v>
      </c>
      <c r="G66" s="30">
        <v>-115</v>
      </c>
      <c r="H66" s="64" t="s">
        <v>37</v>
      </c>
      <c r="I66" s="65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6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66" s="9"/>
      <c r="L66" s="71">
        <f t="shared" si="3"/>
        <v>0</v>
      </c>
      <c r="M66" s="71" t="str">
        <f>IFERROR(VLOOKUP(L66,NBA_Bets[[Date]:[Version]],2,0),"")</f>
        <v/>
      </c>
      <c r="N66" s="130" t="str">
        <f>COUNTIFS(NBA_Bets[Date],L66,NBA_Bets[Result],"W")&amp;"-"&amp;COUNTIFS(NBA_Bets[Date],L66,NBA_Bets[Result],"L")&amp;IF(COUNTIFS(NBA_Bets[Date],L66,NBA_Bets[Result],"Push")&gt;0,"-"&amp;COUNTIFS(NBA_Bets[Date],L66,NBA_Bets[Result],"Push"),"")</f>
        <v>0-0</v>
      </c>
      <c r="O66" s="131" t="str">
        <f>IFERROR(COUNTIFS(NBA_Bets[Date],L66,NBA_Bets[Result],"W")/(COUNTIFS(NBA_Bets[Date],L66,NBA_Bets[Result],"W")+COUNTIFS(NBA_Bets[Date],L66,NBA_Bets[Result],"L")),"")</f>
        <v/>
      </c>
      <c r="P66" s="88">
        <f>SUMIF(NBA_Bets[Date],L66,NBA_Bets[Winnings])-SUMIF(NBA_Bets[Date],L66,NBA_Bets[Risk])</f>
        <v>0</v>
      </c>
      <c r="Q66" s="89" t="str">
        <f>IFERROR("("&amp;ROUND((SUMIF(NBA_Bets[Date],L66,NBA_Bets[Winnings])-SUMIF(NBA_Bets[Date],L66,NBA_Bets[Risk]))/SUMIF(NBA_Bets[Date],L66,NBA_Bets[Risk]),2)*100&amp;"%)","")</f>
        <v/>
      </c>
    </row>
    <row r="67" spans="1:17" x14ac:dyDescent="0.25">
      <c r="A67" s="70">
        <f t="shared" si="2"/>
        <v>7</v>
      </c>
      <c r="B67" s="6">
        <v>43467</v>
      </c>
      <c r="C67" s="6" t="s">
        <v>300</v>
      </c>
      <c r="D67" s="7" t="s">
        <v>218</v>
      </c>
      <c r="E67" s="8" t="s">
        <v>219</v>
      </c>
      <c r="F67" s="66">
        <v>5</v>
      </c>
      <c r="G67" s="30">
        <v>-115</v>
      </c>
      <c r="H67" s="10" t="s">
        <v>37</v>
      </c>
      <c r="I6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6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67"/>
      <c r="L67" s="71">
        <f t="shared" si="3"/>
        <v>0</v>
      </c>
      <c r="M67" s="71" t="str">
        <f>IFERROR(VLOOKUP(L67,NBA_Bets[[Date]:[Version]],2,0),"")</f>
        <v/>
      </c>
      <c r="N67" s="130" t="str">
        <f>COUNTIFS(NBA_Bets[Date],L67,NBA_Bets[Result],"W")&amp;"-"&amp;COUNTIFS(NBA_Bets[Date],L67,NBA_Bets[Result],"L")&amp;IF(COUNTIFS(NBA_Bets[Date],L67,NBA_Bets[Result],"Push")&gt;0,"-"&amp;COUNTIFS(NBA_Bets[Date],L67,NBA_Bets[Result],"Push"),"")</f>
        <v>0-0</v>
      </c>
      <c r="O67" s="131" t="str">
        <f>IFERROR(COUNTIFS(NBA_Bets[Date],L67,NBA_Bets[Result],"W")/(COUNTIFS(NBA_Bets[Date],L67,NBA_Bets[Result],"W")+COUNTIFS(NBA_Bets[Date],L67,NBA_Bets[Result],"L")),"")</f>
        <v/>
      </c>
      <c r="P67" s="88">
        <f>SUMIF(NBA_Bets[Date],L67,NBA_Bets[Winnings])-SUMIF(NBA_Bets[Date],L67,NBA_Bets[Risk])</f>
        <v>0</v>
      </c>
      <c r="Q67" s="89" t="str">
        <f>IFERROR("("&amp;ROUND((SUMIF(NBA_Bets[Date],L67,NBA_Bets[Winnings])-SUMIF(NBA_Bets[Date],L67,NBA_Bets[Risk]))/SUMIF(NBA_Bets[Date],L67,NBA_Bets[Risk]),2)*100&amp;"%)","")</f>
        <v/>
      </c>
    </row>
    <row r="68" spans="1:17" x14ac:dyDescent="0.25">
      <c r="A68" s="70">
        <f t="shared" si="2"/>
        <v>7</v>
      </c>
      <c r="B68" s="6">
        <v>43467</v>
      </c>
      <c r="C68" s="6" t="s">
        <v>300</v>
      </c>
      <c r="D68" s="7" t="s">
        <v>218</v>
      </c>
      <c r="E68" s="8" t="s">
        <v>220</v>
      </c>
      <c r="F68" s="66">
        <v>5</v>
      </c>
      <c r="G68" s="30">
        <v>-105</v>
      </c>
      <c r="H68" s="10" t="s">
        <v>7</v>
      </c>
      <c r="I6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6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68"/>
      <c r="L68" s="71">
        <f t="shared" si="3"/>
        <v>0</v>
      </c>
      <c r="M68" s="71" t="str">
        <f>IFERROR(VLOOKUP(L68,NBA_Bets[[Date]:[Version]],2,0),"")</f>
        <v/>
      </c>
      <c r="N68" s="130" t="str">
        <f>COUNTIFS(NBA_Bets[Date],L68,NBA_Bets[Result],"W")&amp;"-"&amp;COUNTIFS(NBA_Bets[Date],L68,NBA_Bets[Result],"L")&amp;IF(COUNTIFS(NBA_Bets[Date],L68,NBA_Bets[Result],"Push")&gt;0,"-"&amp;COUNTIFS(NBA_Bets[Date],L68,NBA_Bets[Result],"Push"),"")</f>
        <v>0-0</v>
      </c>
      <c r="O68" s="131" t="str">
        <f>IFERROR(COUNTIFS(NBA_Bets[Date],L68,NBA_Bets[Result],"W")/(COUNTIFS(NBA_Bets[Date],L68,NBA_Bets[Result],"W")+COUNTIFS(NBA_Bets[Date],L68,NBA_Bets[Result],"L")),"")</f>
        <v/>
      </c>
      <c r="P68" s="88">
        <f>SUMIF(NBA_Bets[Date],L68,NBA_Bets[Winnings])-SUMIF(NBA_Bets[Date],L68,NBA_Bets[Risk])</f>
        <v>0</v>
      </c>
      <c r="Q68" s="89" t="str">
        <f>IFERROR("("&amp;ROUND((SUMIF(NBA_Bets[Date],L68,NBA_Bets[Winnings])-SUMIF(NBA_Bets[Date],L68,NBA_Bets[Risk]))/SUMIF(NBA_Bets[Date],L68,NBA_Bets[Risk]),2)*100&amp;"%)","")</f>
        <v/>
      </c>
    </row>
    <row r="69" spans="1:17" x14ac:dyDescent="0.25">
      <c r="A69" s="70">
        <f t="shared" ref="A69:A100" si="4">IF(B69=B68,A68,A68+1)</f>
        <v>7</v>
      </c>
      <c r="B69" s="6">
        <v>43467</v>
      </c>
      <c r="C69" s="6" t="s">
        <v>300</v>
      </c>
      <c r="D69" s="7" t="s">
        <v>221</v>
      </c>
      <c r="E69" s="8" t="s">
        <v>222</v>
      </c>
      <c r="F69" s="66">
        <v>5</v>
      </c>
      <c r="G69" s="30">
        <v>-110</v>
      </c>
      <c r="H69" s="10" t="s">
        <v>37</v>
      </c>
      <c r="I6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6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69"/>
      <c r="L69" s="71">
        <f t="shared" ref="L69:L100" si="5">IFERROR(VLOOKUP(ROW()-4,A:B,2,0),0)</f>
        <v>0</v>
      </c>
      <c r="M69" s="71" t="str">
        <f>IFERROR(VLOOKUP(L69,NBA_Bets[[Date]:[Version]],2,0),"")</f>
        <v/>
      </c>
      <c r="N69" s="130" t="str">
        <f>COUNTIFS(NBA_Bets[Date],L69,NBA_Bets[Result],"W")&amp;"-"&amp;COUNTIFS(NBA_Bets[Date],L69,NBA_Bets[Result],"L")&amp;IF(COUNTIFS(NBA_Bets[Date],L69,NBA_Bets[Result],"Push")&gt;0,"-"&amp;COUNTIFS(NBA_Bets[Date],L69,NBA_Bets[Result],"Push"),"")</f>
        <v>0-0</v>
      </c>
      <c r="O69" s="131" t="str">
        <f>IFERROR(COUNTIFS(NBA_Bets[Date],L69,NBA_Bets[Result],"W")/(COUNTIFS(NBA_Bets[Date],L69,NBA_Bets[Result],"W")+COUNTIFS(NBA_Bets[Date],L69,NBA_Bets[Result],"L")),"")</f>
        <v/>
      </c>
      <c r="P69" s="88">
        <f>SUMIF(NBA_Bets[Date],L69,NBA_Bets[Winnings])-SUMIF(NBA_Bets[Date],L69,NBA_Bets[Risk])</f>
        <v>0</v>
      </c>
      <c r="Q69" s="89" t="str">
        <f>IFERROR("("&amp;ROUND((SUMIF(NBA_Bets[Date],L69,NBA_Bets[Winnings])-SUMIF(NBA_Bets[Date],L69,NBA_Bets[Risk]))/SUMIF(NBA_Bets[Date],L69,NBA_Bets[Risk]),2)*100&amp;"%)","")</f>
        <v/>
      </c>
    </row>
    <row r="70" spans="1:17" x14ac:dyDescent="0.25">
      <c r="A70" s="70">
        <f t="shared" si="4"/>
        <v>7</v>
      </c>
      <c r="B70" s="6">
        <v>43467</v>
      </c>
      <c r="C70" s="6" t="s">
        <v>300</v>
      </c>
      <c r="D70" s="7" t="s">
        <v>223</v>
      </c>
      <c r="E70" s="8" t="s">
        <v>224</v>
      </c>
      <c r="F70" s="66">
        <v>5</v>
      </c>
      <c r="G70" s="30">
        <v>-110</v>
      </c>
      <c r="H70" s="10" t="s">
        <v>7</v>
      </c>
      <c r="I7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7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70"/>
      <c r="L70" s="71">
        <f t="shared" si="5"/>
        <v>0</v>
      </c>
      <c r="M70" s="71" t="str">
        <f>IFERROR(VLOOKUP(L70,NBA_Bets[[Date]:[Version]],2,0),"")</f>
        <v/>
      </c>
      <c r="N70" s="130" t="str">
        <f>COUNTIFS(NBA_Bets[Date],L70,NBA_Bets[Result],"W")&amp;"-"&amp;COUNTIFS(NBA_Bets[Date],L70,NBA_Bets[Result],"L")&amp;IF(COUNTIFS(NBA_Bets[Date],L70,NBA_Bets[Result],"Push")&gt;0,"-"&amp;COUNTIFS(NBA_Bets[Date],L70,NBA_Bets[Result],"Push"),"")</f>
        <v>0-0</v>
      </c>
      <c r="O70" s="131" t="str">
        <f>IFERROR(COUNTIFS(NBA_Bets[Date],L70,NBA_Bets[Result],"W")/(COUNTIFS(NBA_Bets[Date],L70,NBA_Bets[Result],"W")+COUNTIFS(NBA_Bets[Date],L70,NBA_Bets[Result],"L")),"")</f>
        <v/>
      </c>
      <c r="P70" s="88">
        <f>SUMIF(NBA_Bets[Date],L70,NBA_Bets[Winnings])-SUMIF(NBA_Bets[Date],L70,NBA_Bets[Risk])</f>
        <v>0</v>
      </c>
      <c r="Q70" s="89" t="str">
        <f>IFERROR("("&amp;ROUND((SUMIF(NBA_Bets[Date],L70,NBA_Bets[Winnings])-SUMIF(NBA_Bets[Date],L70,NBA_Bets[Risk]))/SUMIF(NBA_Bets[Date],L70,NBA_Bets[Risk]),2)*100&amp;"%)","")</f>
        <v/>
      </c>
    </row>
    <row r="71" spans="1:17" x14ac:dyDescent="0.25">
      <c r="A71" s="70">
        <f t="shared" si="4"/>
        <v>7</v>
      </c>
      <c r="B71" s="6">
        <v>43467</v>
      </c>
      <c r="C71" s="6" t="s">
        <v>300</v>
      </c>
      <c r="D71" s="7" t="s">
        <v>223</v>
      </c>
      <c r="E71" s="8" t="s">
        <v>225</v>
      </c>
      <c r="F71" s="66">
        <v>5</v>
      </c>
      <c r="G71" s="30">
        <v>-110</v>
      </c>
      <c r="H71" s="10" t="s">
        <v>37</v>
      </c>
      <c r="I7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7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71"/>
      <c r="L71" s="71">
        <f t="shared" si="5"/>
        <v>0</v>
      </c>
      <c r="M71" s="71" t="str">
        <f>IFERROR(VLOOKUP(L71,NBA_Bets[[Date]:[Version]],2,0),"")</f>
        <v/>
      </c>
      <c r="N71" s="130" t="str">
        <f>COUNTIFS(NBA_Bets[Date],L71,NBA_Bets[Result],"W")&amp;"-"&amp;COUNTIFS(NBA_Bets[Date],L71,NBA_Bets[Result],"L")&amp;IF(COUNTIFS(NBA_Bets[Date],L71,NBA_Bets[Result],"Push")&gt;0,"-"&amp;COUNTIFS(NBA_Bets[Date],L71,NBA_Bets[Result],"Push"),"")</f>
        <v>0-0</v>
      </c>
      <c r="O71" s="131" t="str">
        <f>IFERROR(COUNTIFS(NBA_Bets[Date],L71,NBA_Bets[Result],"W")/(COUNTIFS(NBA_Bets[Date],L71,NBA_Bets[Result],"W")+COUNTIFS(NBA_Bets[Date],L71,NBA_Bets[Result],"L")),"")</f>
        <v/>
      </c>
      <c r="P71" s="88">
        <f>SUMIF(NBA_Bets[Date],L71,NBA_Bets[Winnings])-SUMIF(NBA_Bets[Date],L71,NBA_Bets[Risk])</f>
        <v>0</v>
      </c>
      <c r="Q71" s="89" t="str">
        <f>IFERROR("("&amp;ROUND((SUMIF(NBA_Bets[Date],L71,NBA_Bets[Winnings])-SUMIF(NBA_Bets[Date],L71,NBA_Bets[Risk]))/SUMIF(NBA_Bets[Date],L71,NBA_Bets[Risk]),2)*100&amp;"%)","")</f>
        <v/>
      </c>
    </row>
    <row r="72" spans="1:17" x14ac:dyDescent="0.25">
      <c r="A72" s="70">
        <f t="shared" si="4"/>
        <v>7</v>
      </c>
      <c r="B72" s="6">
        <v>43467</v>
      </c>
      <c r="C72" s="6" t="s">
        <v>300</v>
      </c>
      <c r="D72" s="7" t="s">
        <v>226</v>
      </c>
      <c r="E72" s="8" t="s">
        <v>227</v>
      </c>
      <c r="F72" s="66">
        <v>5</v>
      </c>
      <c r="G72" s="30">
        <v>-110</v>
      </c>
      <c r="H72" s="10" t="s">
        <v>37</v>
      </c>
      <c r="I7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7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72"/>
      <c r="L72" s="71">
        <f t="shared" si="5"/>
        <v>0</v>
      </c>
      <c r="M72" s="71" t="str">
        <f>IFERROR(VLOOKUP(L72,NBA_Bets[[Date]:[Version]],2,0),"")</f>
        <v/>
      </c>
      <c r="N72" s="130" t="str">
        <f>COUNTIFS(NBA_Bets[Date],L72,NBA_Bets[Result],"W")&amp;"-"&amp;COUNTIFS(NBA_Bets[Date],L72,NBA_Bets[Result],"L")&amp;IF(COUNTIFS(NBA_Bets[Date],L72,NBA_Bets[Result],"Push")&gt;0,"-"&amp;COUNTIFS(NBA_Bets[Date],L72,NBA_Bets[Result],"Push"),"")</f>
        <v>0-0</v>
      </c>
      <c r="O72" s="131" t="str">
        <f>IFERROR(COUNTIFS(NBA_Bets[Date],L72,NBA_Bets[Result],"W")/(COUNTIFS(NBA_Bets[Date],L72,NBA_Bets[Result],"W")+COUNTIFS(NBA_Bets[Date],L72,NBA_Bets[Result],"L")),"")</f>
        <v/>
      </c>
      <c r="P72" s="88">
        <f>SUMIF(NBA_Bets[Date],L72,NBA_Bets[Winnings])-SUMIF(NBA_Bets[Date],L72,NBA_Bets[Risk])</f>
        <v>0</v>
      </c>
      <c r="Q72" s="89" t="str">
        <f>IFERROR("("&amp;ROUND((SUMIF(NBA_Bets[Date],L72,NBA_Bets[Winnings])-SUMIF(NBA_Bets[Date],L72,NBA_Bets[Risk]))/SUMIF(NBA_Bets[Date],L72,NBA_Bets[Risk]),2)*100&amp;"%)","")</f>
        <v/>
      </c>
    </row>
    <row r="73" spans="1:17" x14ac:dyDescent="0.25">
      <c r="A73" s="70">
        <f t="shared" si="4"/>
        <v>7</v>
      </c>
      <c r="B73" s="6">
        <v>43467</v>
      </c>
      <c r="C73" s="6" t="s">
        <v>300</v>
      </c>
      <c r="D73" s="7" t="s">
        <v>226</v>
      </c>
      <c r="E73" s="8" t="s">
        <v>228</v>
      </c>
      <c r="F73" s="66">
        <v>5</v>
      </c>
      <c r="G73" s="30">
        <v>-110</v>
      </c>
      <c r="H73" s="10" t="s">
        <v>7</v>
      </c>
      <c r="I7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7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73"/>
      <c r="L73" s="71">
        <f t="shared" si="5"/>
        <v>0</v>
      </c>
      <c r="M73" s="71" t="str">
        <f>IFERROR(VLOOKUP(L73,NBA_Bets[[Date]:[Version]],2,0),"")</f>
        <v/>
      </c>
      <c r="N73" s="130" t="str">
        <f>COUNTIFS(NBA_Bets[Date],L73,NBA_Bets[Result],"W")&amp;"-"&amp;COUNTIFS(NBA_Bets[Date],L73,NBA_Bets[Result],"L")&amp;IF(COUNTIFS(NBA_Bets[Date],L73,NBA_Bets[Result],"Push")&gt;0,"-"&amp;COUNTIFS(NBA_Bets[Date],L73,NBA_Bets[Result],"Push"),"")</f>
        <v>0-0</v>
      </c>
      <c r="O73" s="131" t="str">
        <f>IFERROR(COUNTIFS(NBA_Bets[Date],L73,NBA_Bets[Result],"W")/(COUNTIFS(NBA_Bets[Date],L73,NBA_Bets[Result],"W")+COUNTIFS(NBA_Bets[Date],L73,NBA_Bets[Result],"L")),"")</f>
        <v/>
      </c>
      <c r="P73" s="88">
        <f>SUMIF(NBA_Bets[Date],L73,NBA_Bets[Winnings])-SUMIF(NBA_Bets[Date],L73,NBA_Bets[Risk])</f>
        <v>0</v>
      </c>
      <c r="Q73" s="89" t="str">
        <f>IFERROR("("&amp;ROUND((SUMIF(NBA_Bets[Date],L73,NBA_Bets[Winnings])-SUMIF(NBA_Bets[Date],L73,NBA_Bets[Risk]))/SUMIF(NBA_Bets[Date],L73,NBA_Bets[Risk]),2)*100&amp;"%)","")</f>
        <v/>
      </c>
    </row>
    <row r="74" spans="1:17" x14ac:dyDescent="0.25">
      <c r="A74" s="70">
        <f t="shared" si="4"/>
        <v>8</v>
      </c>
      <c r="B74" s="6">
        <v>43468</v>
      </c>
      <c r="C74" s="6" t="s">
        <v>300</v>
      </c>
      <c r="D74" s="7" t="s">
        <v>229</v>
      </c>
      <c r="E74" s="8" t="s">
        <v>230</v>
      </c>
      <c r="F74" s="66">
        <v>5</v>
      </c>
      <c r="G74" s="72">
        <v>-115</v>
      </c>
      <c r="H74" s="10" t="s">
        <v>37</v>
      </c>
      <c r="I7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7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74"/>
      <c r="L74" s="71">
        <f t="shared" si="5"/>
        <v>0</v>
      </c>
      <c r="M74" s="71" t="str">
        <f>IFERROR(VLOOKUP(L74,NBA_Bets[[Date]:[Version]],2,0),"")</f>
        <v/>
      </c>
      <c r="N74" s="130" t="str">
        <f>COUNTIFS(NBA_Bets[Date],L74,NBA_Bets[Result],"W")&amp;"-"&amp;COUNTIFS(NBA_Bets[Date],L74,NBA_Bets[Result],"L")&amp;IF(COUNTIFS(NBA_Bets[Date],L74,NBA_Bets[Result],"Push")&gt;0,"-"&amp;COUNTIFS(NBA_Bets[Date],L74,NBA_Bets[Result],"Push"),"")</f>
        <v>0-0</v>
      </c>
      <c r="O74" s="131" t="str">
        <f>IFERROR(COUNTIFS(NBA_Bets[Date],L74,NBA_Bets[Result],"W")/(COUNTIFS(NBA_Bets[Date],L74,NBA_Bets[Result],"W")+COUNTIFS(NBA_Bets[Date],L74,NBA_Bets[Result],"L")),"")</f>
        <v/>
      </c>
      <c r="P74" s="88">
        <f>SUMIF(NBA_Bets[Date],L74,NBA_Bets[Winnings])-SUMIF(NBA_Bets[Date],L74,NBA_Bets[Risk])</f>
        <v>0</v>
      </c>
      <c r="Q74" s="89" t="str">
        <f>IFERROR("("&amp;ROUND((SUMIF(NBA_Bets[Date],L74,NBA_Bets[Winnings])-SUMIF(NBA_Bets[Date],L74,NBA_Bets[Risk]))/SUMIF(NBA_Bets[Date],L74,NBA_Bets[Risk]),2)*100&amp;"%)","")</f>
        <v/>
      </c>
    </row>
    <row r="75" spans="1:17" x14ac:dyDescent="0.25">
      <c r="A75" s="70">
        <f t="shared" si="4"/>
        <v>8</v>
      </c>
      <c r="B75" s="6">
        <v>43468</v>
      </c>
      <c r="C75" s="6" t="s">
        <v>300</v>
      </c>
      <c r="D75" s="7" t="s">
        <v>229</v>
      </c>
      <c r="E75" s="8" t="s">
        <v>231</v>
      </c>
      <c r="F75" s="66">
        <v>5</v>
      </c>
      <c r="G75" s="72">
        <v>-110</v>
      </c>
      <c r="H75" s="10" t="s">
        <v>7</v>
      </c>
      <c r="I7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7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75"/>
      <c r="L75" s="71">
        <f t="shared" si="5"/>
        <v>0</v>
      </c>
      <c r="M75" s="71" t="str">
        <f>IFERROR(VLOOKUP(L75,NBA_Bets[[Date]:[Version]],2,0),"")</f>
        <v/>
      </c>
      <c r="N75" s="130" t="str">
        <f>COUNTIFS(NBA_Bets[Date],L75,NBA_Bets[Result],"W")&amp;"-"&amp;COUNTIFS(NBA_Bets[Date],L75,NBA_Bets[Result],"L")&amp;IF(COUNTIFS(NBA_Bets[Date],L75,NBA_Bets[Result],"Push")&gt;0,"-"&amp;COUNTIFS(NBA_Bets[Date],L75,NBA_Bets[Result],"Push"),"")</f>
        <v>0-0</v>
      </c>
      <c r="O75" s="131" t="str">
        <f>IFERROR(COUNTIFS(NBA_Bets[Date],L75,NBA_Bets[Result],"W")/(COUNTIFS(NBA_Bets[Date],L75,NBA_Bets[Result],"W")+COUNTIFS(NBA_Bets[Date],L75,NBA_Bets[Result],"L")),"")</f>
        <v/>
      </c>
      <c r="P75" s="88">
        <f>SUMIF(NBA_Bets[Date],L75,NBA_Bets[Winnings])-SUMIF(NBA_Bets[Date],L75,NBA_Bets[Risk])</f>
        <v>0</v>
      </c>
      <c r="Q75" s="89" t="str">
        <f>IFERROR("("&amp;ROUND((SUMIF(NBA_Bets[Date],L75,NBA_Bets[Winnings])-SUMIF(NBA_Bets[Date],L75,NBA_Bets[Risk]))/SUMIF(NBA_Bets[Date],L75,NBA_Bets[Risk]),2)*100&amp;"%)","")</f>
        <v/>
      </c>
    </row>
    <row r="76" spans="1:17" x14ac:dyDescent="0.25">
      <c r="A76" s="70">
        <f t="shared" si="4"/>
        <v>8</v>
      </c>
      <c r="B76" s="6">
        <v>43468</v>
      </c>
      <c r="C76" s="6" t="s">
        <v>300</v>
      </c>
      <c r="D76" s="7" t="s">
        <v>232</v>
      </c>
      <c r="E76" s="8" t="s">
        <v>233</v>
      </c>
      <c r="F76" s="66">
        <v>5</v>
      </c>
      <c r="G76" s="72">
        <v>-110</v>
      </c>
      <c r="H76" s="10" t="s">
        <v>7</v>
      </c>
      <c r="I7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7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76"/>
      <c r="L76" s="71">
        <f t="shared" si="5"/>
        <v>0</v>
      </c>
      <c r="M76" s="71" t="str">
        <f>IFERROR(VLOOKUP(L76,NBA_Bets[[Date]:[Version]],2,0),"")</f>
        <v/>
      </c>
      <c r="N76" s="130" t="str">
        <f>COUNTIFS(NBA_Bets[Date],L76,NBA_Bets[Result],"W")&amp;"-"&amp;COUNTIFS(NBA_Bets[Date],L76,NBA_Bets[Result],"L")&amp;IF(COUNTIFS(NBA_Bets[Date],L76,NBA_Bets[Result],"Push")&gt;0,"-"&amp;COUNTIFS(NBA_Bets[Date],L76,NBA_Bets[Result],"Push"),"")</f>
        <v>0-0</v>
      </c>
      <c r="O76" s="131" t="str">
        <f>IFERROR(COUNTIFS(NBA_Bets[Date],L76,NBA_Bets[Result],"W")/(COUNTIFS(NBA_Bets[Date],L76,NBA_Bets[Result],"W")+COUNTIFS(NBA_Bets[Date],L76,NBA_Bets[Result],"L")),"")</f>
        <v/>
      </c>
      <c r="P76" s="88">
        <f>SUMIF(NBA_Bets[Date],L76,NBA_Bets[Winnings])-SUMIF(NBA_Bets[Date],L76,NBA_Bets[Risk])</f>
        <v>0</v>
      </c>
      <c r="Q76" s="89" t="str">
        <f>IFERROR("("&amp;ROUND((SUMIF(NBA_Bets[Date],L76,NBA_Bets[Winnings])-SUMIF(NBA_Bets[Date],L76,NBA_Bets[Risk]))/SUMIF(NBA_Bets[Date],L76,NBA_Bets[Risk]),2)*100&amp;"%)","")</f>
        <v/>
      </c>
    </row>
    <row r="77" spans="1:17" x14ac:dyDescent="0.25">
      <c r="A77" s="70">
        <f t="shared" si="4"/>
        <v>8</v>
      </c>
      <c r="B77" s="6">
        <v>43468</v>
      </c>
      <c r="C77" s="6" t="s">
        <v>300</v>
      </c>
      <c r="D77" s="7" t="s">
        <v>232</v>
      </c>
      <c r="E77" s="8" t="s">
        <v>234</v>
      </c>
      <c r="F77" s="66">
        <v>5</v>
      </c>
      <c r="G77" s="72">
        <v>-110</v>
      </c>
      <c r="H77" s="10" t="s">
        <v>37</v>
      </c>
      <c r="I7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7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77"/>
      <c r="L77" s="71">
        <f t="shared" si="5"/>
        <v>0</v>
      </c>
      <c r="M77" s="71" t="str">
        <f>IFERROR(VLOOKUP(L77,NBA_Bets[[Date]:[Version]],2,0),"")</f>
        <v/>
      </c>
      <c r="N77" s="130" t="str">
        <f>COUNTIFS(NBA_Bets[Date],L77,NBA_Bets[Result],"W")&amp;"-"&amp;COUNTIFS(NBA_Bets[Date],L77,NBA_Bets[Result],"L")&amp;IF(COUNTIFS(NBA_Bets[Date],L77,NBA_Bets[Result],"Push")&gt;0,"-"&amp;COUNTIFS(NBA_Bets[Date],L77,NBA_Bets[Result],"Push"),"")</f>
        <v>0-0</v>
      </c>
      <c r="O77" s="131" t="str">
        <f>IFERROR(COUNTIFS(NBA_Bets[Date],L77,NBA_Bets[Result],"W")/(COUNTIFS(NBA_Bets[Date],L77,NBA_Bets[Result],"W")+COUNTIFS(NBA_Bets[Date],L77,NBA_Bets[Result],"L")),"")</f>
        <v/>
      </c>
      <c r="P77" s="88">
        <f>SUMIF(NBA_Bets[Date],L77,NBA_Bets[Winnings])-SUMIF(NBA_Bets[Date],L77,NBA_Bets[Risk])</f>
        <v>0</v>
      </c>
      <c r="Q77" s="89" t="str">
        <f>IFERROR("("&amp;ROUND((SUMIF(NBA_Bets[Date],L77,NBA_Bets[Winnings])-SUMIF(NBA_Bets[Date],L77,NBA_Bets[Risk]))/SUMIF(NBA_Bets[Date],L77,NBA_Bets[Risk]),2)*100&amp;"%)","")</f>
        <v/>
      </c>
    </row>
    <row r="78" spans="1:17" x14ac:dyDescent="0.25">
      <c r="A78" s="70">
        <f t="shared" si="4"/>
        <v>8</v>
      </c>
      <c r="B78" s="6">
        <v>43468</v>
      </c>
      <c r="C78" s="6" t="s">
        <v>300</v>
      </c>
      <c r="D78" s="7" t="s">
        <v>235</v>
      </c>
      <c r="E78" s="8" t="s">
        <v>236</v>
      </c>
      <c r="F78" s="66">
        <v>5</v>
      </c>
      <c r="G78" s="72">
        <v>-115</v>
      </c>
      <c r="H78" s="10" t="s">
        <v>37</v>
      </c>
      <c r="I7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7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78"/>
      <c r="L78" s="71">
        <f t="shared" si="5"/>
        <v>0</v>
      </c>
      <c r="M78" s="71" t="str">
        <f>IFERROR(VLOOKUP(L78,NBA_Bets[[Date]:[Version]],2,0),"")</f>
        <v/>
      </c>
      <c r="N78" s="130" t="str">
        <f>COUNTIFS(NBA_Bets[Date],L78,NBA_Bets[Result],"W")&amp;"-"&amp;COUNTIFS(NBA_Bets[Date],L78,NBA_Bets[Result],"L")&amp;IF(COUNTIFS(NBA_Bets[Date],L78,NBA_Bets[Result],"Push")&gt;0,"-"&amp;COUNTIFS(NBA_Bets[Date],L78,NBA_Bets[Result],"Push"),"")</f>
        <v>0-0</v>
      </c>
      <c r="O78" s="131" t="str">
        <f>IFERROR(COUNTIFS(NBA_Bets[Date],L78,NBA_Bets[Result],"W")/(COUNTIFS(NBA_Bets[Date],L78,NBA_Bets[Result],"W")+COUNTIFS(NBA_Bets[Date],L78,NBA_Bets[Result],"L")),"")</f>
        <v/>
      </c>
      <c r="P78" s="88">
        <f>SUMIF(NBA_Bets[Date],L78,NBA_Bets[Winnings])-SUMIF(NBA_Bets[Date],L78,NBA_Bets[Risk])</f>
        <v>0</v>
      </c>
      <c r="Q78" s="89" t="str">
        <f>IFERROR("("&amp;ROUND((SUMIF(NBA_Bets[Date],L78,NBA_Bets[Winnings])-SUMIF(NBA_Bets[Date],L78,NBA_Bets[Risk]))/SUMIF(NBA_Bets[Date],L78,NBA_Bets[Risk]),2)*100&amp;"%)","")</f>
        <v/>
      </c>
    </row>
    <row r="79" spans="1:17" x14ac:dyDescent="0.25">
      <c r="A79" s="70">
        <f t="shared" si="4"/>
        <v>9</v>
      </c>
      <c r="B79" s="6">
        <v>43469</v>
      </c>
      <c r="C79" s="6" t="s">
        <v>300</v>
      </c>
      <c r="D79" s="7" t="s">
        <v>252</v>
      </c>
      <c r="E79" s="8" t="s">
        <v>253</v>
      </c>
      <c r="F79" s="66">
        <v>2.42</v>
      </c>
      <c r="G79" s="30">
        <v>-115</v>
      </c>
      <c r="H79" s="10" t="s">
        <v>37</v>
      </c>
      <c r="I7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4.5243478260869558</v>
      </c>
      <c r="J7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79"/>
      <c r="L79" s="71">
        <f t="shared" si="5"/>
        <v>0</v>
      </c>
      <c r="M79" s="71" t="str">
        <f>IFERROR(VLOOKUP(L79,NBA_Bets[[Date]:[Version]],2,0),"")</f>
        <v/>
      </c>
      <c r="N79" s="130" t="str">
        <f>COUNTIFS(NBA_Bets[Date],L79,NBA_Bets[Result],"W")&amp;"-"&amp;COUNTIFS(NBA_Bets[Date],L79,NBA_Bets[Result],"L")&amp;IF(COUNTIFS(NBA_Bets[Date],L79,NBA_Bets[Result],"Push")&gt;0,"-"&amp;COUNTIFS(NBA_Bets[Date],L79,NBA_Bets[Result],"Push"),"")</f>
        <v>0-0</v>
      </c>
      <c r="O79" s="131" t="str">
        <f>IFERROR(COUNTIFS(NBA_Bets[Date],L79,NBA_Bets[Result],"W")/(COUNTIFS(NBA_Bets[Date],L79,NBA_Bets[Result],"W")+COUNTIFS(NBA_Bets[Date],L79,NBA_Bets[Result],"L")),"")</f>
        <v/>
      </c>
      <c r="P79" s="88">
        <f>SUMIF(NBA_Bets[Date],L79,NBA_Bets[Winnings])-SUMIF(NBA_Bets[Date],L79,NBA_Bets[Risk])</f>
        <v>0</v>
      </c>
      <c r="Q79" s="89" t="str">
        <f>IFERROR("("&amp;ROUND((SUMIF(NBA_Bets[Date],L79,NBA_Bets[Winnings])-SUMIF(NBA_Bets[Date],L79,NBA_Bets[Risk]))/SUMIF(NBA_Bets[Date],L79,NBA_Bets[Risk]),2)*100&amp;"%)","")</f>
        <v/>
      </c>
    </row>
    <row r="80" spans="1:17" x14ac:dyDescent="0.25">
      <c r="A80" s="70">
        <f t="shared" si="4"/>
        <v>9</v>
      </c>
      <c r="B80" s="6">
        <v>43469</v>
      </c>
      <c r="C80" s="6" t="s">
        <v>300</v>
      </c>
      <c r="D80" s="7" t="s">
        <v>254</v>
      </c>
      <c r="E80" s="8" t="s">
        <v>255</v>
      </c>
      <c r="F80" s="66">
        <v>2.42</v>
      </c>
      <c r="G80" s="30">
        <v>-105</v>
      </c>
      <c r="H80" s="10" t="s">
        <v>7</v>
      </c>
      <c r="I8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8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80"/>
      <c r="L80" s="71">
        <f t="shared" si="5"/>
        <v>0</v>
      </c>
      <c r="M80" s="71" t="str">
        <f>IFERROR(VLOOKUP(L80,NBA_Bets[[Date]:[Version]],2,0),"")</f>
        <v/>
      </c>
      <c r="N80" s="130" t="str">
        <f>COUNTIFS(NBA_Bets[Date],L80,NBA_Bets[Result],"W")&amp;"-"&amp;COUNTIFS(NBA_Bets[Date],L80,NBA_Bets[Result],"L")&amp;IF(COUNTIFS(NBA_Bets[Date],L80,NBA_Bets[Result],"Push")&gt;0,"-"&amp;COUNTIFS(NBA_Bets[Date],L80,NBA_Bets[Result],"Push"),"")</f>
        <v>0-0</v>
      </c>
      <c r="O80" s="131" t="str">
        <f>IFERROR(COUNTIFS(NBA_Bets[Date],L80,NBA_Bets[Result],"W")/(COUNTIFS(NBA_Bets[Date],L80,NBA_Bets[Result],"W")+COUNTIFS(NBA_Bets[Date],L80,NBA_Bets[Result],"L")),"")</f>
        <v/>
      </c>
      <c r="P80" s="88">
        <f>SUMIF(NBA_Bets[Date],L80,NBA_Bets[Winnings])-SUMIF(NBA_Bets[Date],L80,NBA_Bets[Risk])</f>
        <v>0</v>
      </c>
      <c r="Q80" s="89" t="str">
        <f>IFERROR("("&amp;ROUND((SUMIF(NBA_Bets[Date],L80,NBA_Bets[Winnings])-SUMIF(NBA_Bets[Date],L80,NBA_Bets[Risk]))/SUMIF(NBA_Bets[Date],L80,NBA_Bets[Risk]),2)*100&amp;"%)","")</f>
        <v/>
      </c>
    </row>
    <row r="81" spans="1:17" x14ac:dyDescent="0.25">
      <c r="A81" s="70">
        <f t="shared" si="4"/>
        <v>9</v>
      </c>
      <c r="B81" s="6">
        <v>43469</v>
      </c>
      <c r="C81" s="6" t="s">
        <v>300</v>
      </c>
      <c r="D81" s="7" t="s">
        <v>254</v>
      </c>
      <c r="E81" s="8" t="s">
        <v>256</v>
      </c>
      <c r="F81" s="66">
        <v>2.42</v>
      </c>
      <c r="G81" s="30">
        <v>-105</v>
      </c>
      <c r="H81" s="10" t="s">
        <v>37</v>
      </c>
      <c r="I8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4.7247619047619045</v>
      </c>
      <c r="J8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81"/>
      <c r="L81" s="71">
        <f t="shared" si="5"/>
        <v>0</v>
      </c>
      <c r="M81" s="71" t="str">
        <f>IFERROR(VLOOKUP(L81,NBA_Bets[[Date]:[Version]],2,0),"")</f>
        <v/>
      </c>
      <c r="N81" s="130" t="str">
        <f>COUNTIFS(NBA_Bets[Date],L81,NBA_Bets[Result],"W")&amp;"-"&amp;COUNTIFS(NBA_Bets[Date],L81,NBA_Bets[Result],"L")&amp;IF(COUNTIFS(NBA_Bets[Date],L81,NBA_Bets[Result],"Push")&gt;0,"-"&amp;COUNTIFS(NBA_Bets[Date],L81,NBA_Bets[Result],"Push"),"")</f>
        <v>0-0</v>
      </c>
      <c r="O81" s="131" t="str">
        <f>IFERROR(COUNTIFS(NBA_Bets[Date],L81,NBA_Bets[Result],"W")/(COUNTIFS(NBA_Bets[Date],L81,NBA_Bets[Result],"W")+COUNTIFS(NBA_Bets[Date],L81,NBA_Bets[Result],"L")),"")</f>
        <v/>
      </c>
      <c r="P81" s="88">
        <f>SUMIF(NBA_Bets[Date],L81,NBA_Bets[Winnings])-SUMIF(NBA_Bets[Date],L81,NBA_Bets[Risk])</f>
        <v>0</v>
      </c>
      <c r="Q81" s="89" t="str">
        <f>IFERROR("("&amp;ROUND((SUMIF(NBA_Bets[Date],L81,NBA_Bets[Winnings])-SUMIF(NBA_Bets[Date],L81,NBA_Bets[Risk]))/SUMIF(NBA_Bets[Date],L81,NBA_Bets[Risk]),2)*100&amp;"%)","")</f>
        <v/>
      </c>
    </row>
    <row r="82" spans="1:17" x14ac:dyDescent="0.25">
      <c r="A82" s="70">
        <f t="shared" si="4"/>
        <v>9</v>
      </c>
      <c r="B82" s="6">
        <v>43469</v>
      </c>
      <c r="C82" s="6" t="s">
        <v>300</v>
      </c>
      <c r="D82" s="7" t="s">
        <v>254</v>
      </c>
      <c r="E82" s="8" t="s">
        <v>257</v>
      </c>
      <c r="F82" s="66">
        <v>2.42</v>
      </c>
      <c r="G82" s="30">
        <v>155</v>
      </c>
      <c r="H82" s="10" t="s">
        <v>37</v>
      </c>
      <c r="I8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6.1709999999999994</v>
      </c>
      <c r="J8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82"/>
      <c r="L82" s="71">
        <f t="shared" si="5"/>
        <v>0</v>
      </c>
      <c r="M82" s="71" t="str">
        <f>IFERROR(VLOOKUP(L82,NBA_Bets[[Date]:[Version]],2,0),"")</f>
        <v/>
      </c>
      <c r="N82" s="130" t="str">
        <f>COUNTIFS(NBA_Bets[Date],L82,NBA_Bets[Result],"W")&amp;"-"&amp;COUNTIFS(NBA_Bets[Date],L82,NBA_Bets[Result],"L")&amp;IF(COUNTIFS(NBA_Bets[Date],L82,NBA_Bets[Result],"Push")&gt;0,"-"&amp;COUNTIFS(NBA_Bets[Date],L82,NBA_Bets[Result],"Push"),"")</f>
        <v>0-0</v>
      </c>
      <c r="O82" s="131" t="str">
        <f>IFERROR(COUNTIFS(NBA_Bets[Date],L82,NBA_Bets[Result],"W")/(COUNTIFS(NBA_Bets[Date],L82,NBA_Bets[Result],"W")+COUNTIFS(NBA_Bets[Date],L82,NBA_Bets[Result],"L")),"")</f>
        <v/>
      </c>
      <c r="P82" s="88">
        <f>SUMIF(NBA_Bets[Date],L82,NBA_Bets[Winnings])-SUMIF(NBA_Bets[Date],L82,NBA_Bets[Risk])</f>
        <v>0</v>
      </c>
      <c r="Q82" s="89" t="str">
        <f>IFERROR("("&amp;ROUND((SUMIF(NBA_Bets[Date],L82,NBA_Bets[Winnings])-SUMIF(NBA_Bets[Date],L82,NBA_Bets[Risk]))/SUMIF(NBA_Bets[Date],L82,NBA_Bets[Risk]),2)*100&amp;"%)","")</f>
        <v/>
      </c>
    </row>
    <row r="83" spans="1:17" x14ac:dyDescent="0.25">
      <c r="A83" s="70">
        <f t="shared" si="4"/>
        <v>9</v>
      </c>
      <c r="B83" s="6">
        <v>43469</v>
      </c>
      <c r="C83" s="6" t="s">
        <v>300</v>
      </c>
      <c r="D83" s="7" t="s">
        <v>258</v>
      </c>
      <c r="E83" s="8" t="s">
        <v>259</v>
      </c>
      <c r="F83" s="66">
        <v>2.42</v>
      </c>
      <c r="G83" s="30">
        <v>-105</v>
      </c>
      <c r="H83" s="10" t="s">
        <v>7</v>
      </c>
      <c r="I8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8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83"/>
      <c r="L83" s="71">
        <f t="shared" si="5"/>
        <v>0</v>
      </c>
      <c r="M83" s="71" t="str">
        <f>IFERROR(VLOOKUP(L83,NBA_Bets[[Date]:[Version]],2,0),"")</f>
        <v/>
      </c>
      <c r="N83" s="130" t="str">
        <f>COUNTIFS(NBA_Bets[Date],L83,NBA_Bets[Result],"W")&amp;"-"&amp;COUNTIFS(NBA_Bets[Date],L83,NBA_Bets[Result],"L")&amp;IF(COUNTIFS(NBA_Bets[Date],L83,NBA_Bets[Result],"Push")&gt;0,"-"&amp;COUNTIFS(NBA_Bets[Date],L83,NBA_Bets[Result],"Push"),"")</f>
        <v>0-0</v>
      </c>
      <c r="O83" s="131" t="str">
        <f>IFERROR(COUNTIFS(NBA_Bets[Date],L83,NBA_Bets[Result],"W")/(COUNTIFS(NBA_Bets[Date],L83,NBA_Bets[Result],"W")+COUNTIFS(NBA_Bets[Date],L83,NBA_Bets[Result],"L")),"")</f>
        <v/>
      </c>
      <c r="P83" s="88">
        <f>SUMIF(NBA_Bets[Date],L83,NBA_Bets[Winnings])-SUMIF(NBA_Bets[Date],L83,NBA_Bets[Risk])</f>
        <v>0</v>
      </c>
      <c r="Q83" s="89" t="str">
        <f>IFERROR("("&amp;ROUND((SUMIF(NBA_Bets[Date],L83,NBA_Bets[Winnings])-SUMIF(NBA_Bets[Date],L83,NBA_Bets[Risk]))/SUMIF(NBA_Bets[Date],L83,NBA_Bets[Risk]),2)*100&amp;"%)","")</f>
        <v/>
      </c>
    </row>
    <row r="84" spans="1:17" x14ac:dyDescent="0.25">
      <c r="A84" s="70">
        <f t="shared" si="4"/>
        <v>9</v>
      </c>
      <c r="B84" s="6">
        <v>43469</v>
      </c>
      <c r="C84" s="6" t="s">
        <v>300</v>
      </c>
      <c r="D84" s="7" t="s">
        <v>258</v>
      </c>
      <c r="E84" s="8" t="s">
        <v>260</v>
      </c>
      <c r="F84" s="66">
        <v>2.42</v>
      </c>
      <c r="G84" s="30">
        <v>-105</v>
      </c>
      <c r="H84" s="10" t="s">
        <v>7</v>
      </c>
      <c r="I8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8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84"/>
      <c r="L84" s="71">
        <f t="shared" si="5"/>
        <v>0</v>
      </c>
      <c r="M84" s="71" t="str">
        <f>IFERROR(VLOOKUP(L84,NBA_Bets[[Date]:[Version]],2,0),"")</f>
        <v/>
      </c>
      <c r="N84" s="130" t="str">
        <f>COUNTIFS(NBA_Bets[Date],L84,NBA_Bets[Result],"W")&amp;"-"&amp;COUNTIFS(NBA_Bets[Date],L84,NBA_Bets[Result],"L")&amp;IF(COUNTIFS(NBA_Bets[Date],L84,NBA_Bets[Result],"Push")&gt;0,"-"&amp;COUNTIFS(NBA_Bets[Date],L84,NBA_Bets[Result],"Push"),"")</f>
        <v>0-0</v>
      </c>
      <c r="O84" s="131" t="str">
        <f>IFERROR(COUNTIFS(NBA_Bets[Date],L84,NBA_Bets[Result],"W")/(COUNTIFS(NBA_Bets[Date],L84,NBA_Bets[Result],"W")+COUNTIFS(NBA_Bets[Date],L84,NBA_Bets[Result],"L")),"")</f>
        <v/>
      </c>
      <c r="P84" s="88">
        <f>SUMIF(NBA_Bets[Date],L84,NBA_Bets[Winnings])-SUMIF(NBA_Bets[Date],L84,NBA_Bets[Risk])</f>
        <v>0</v>
      </c>
      <c r="Q84" s="89" t="str">
        <f>IFERROR("("&amp;ROUND((SUMIF(NBA_Bets[Date],L84,NBA_Bets[Winnings])-SUMIF(NBA_Bets[Date],L84,NBA_Bets[Risk]))/SUMIF(NBA_Bets[Date],L84,NBA_Bets[Risk]),2)*100&amp;"%)","")</f>
        <v/>
      </c>
    </row>
    <row r="85" spans="1:17" x14ac:dyDescent="0.25">
      <c r="A85" s="70">
        <f t="shared" si="4"/>
        <v>9</v>
      </c>
      <c r="B85" s="6">
        <v>43469</v>
      </c>
      <c r="C85" s="6" t="s">
        <v>300</v>
      </c>
      <c r="D85" s="7" t="s">
        <v>261</v>
      </c>
      <c r="E85" s="8" t="s">
        <v>262</v>
      </c>
      <c r="F85" s="66">
        <v>2.42</v>
      </c>
      <c r="G85" s="30">
        <v>-115</v>
      </c>
      <c r="H85" s="10" t="s">
        <v>37</v>
      </c>
      <c r="I8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4.5243478260869558</v>
      </c>
      <c r="J8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85"/>
      <c r="L85" s="71">
        <f t="shared" si="5"/>
        <v>0</v>
      </c>
      <c r="M85" s="71" t="str">
        <f>IFERROR(VLOOKUP(L85,NBA_Bets[[Date]:[Version]],2,0),"")</f>
        <v/>
      </c>
      <c r="N85" s="130" t="str">
        <f>COUNTIFS(NBA_Bets[Date],L85,NBA_Bets[Result],"W")&amp;"-"&amp;COUNTIFS(NBA_Bets[Date],L85,NBA_Bets[Result],"L")&amp;IF(COUNTIFS(NBA_Bets[Date],L85,NBA_Bets[Result],"Push")&gt;0,"-"&amp;COUNTIFS(NBA_Bets[Date],L85,NBA_Bets[Result],"Push"),"")</f>
        <v>0-0</v>
      </c>
      <c r="O85" s="131" t="str">
        <f>IFERROR(COUNTIFS(NBA_Bets[Date],L85,NBA_Bets[Result],"W")/(COUNTIFS(NBA_Bets[Date],L85,NBA_Bets[Result],"W")+COUNTIFS(NBA_Bets[Date],L85,NBA_Bets[Result],"L")),"")</f>
        <v/>
      </c>
      <c r="P85" s="88">
        <f>SUMIF(NBA_Bets[Date],L85,NBA_Bets[Winnings])-SUMIF(NBA_Bets[Date],L85,NBA_Bets[Risk])</f>
        <v>0</v>
      </c>
      <c r="Q85" s="89" t="str">
        <f>IFERROR("("&amp;ROUND((SUMIF(NBA_Bets[Date],L85,NBA_Bets[Winnings])-SUMIF(NBA_Bets[Date],L85,NBA_Bets[Risk]))/SUMIF(NBA_Bets[Date],L85,NBA_Bets[Risk]),2)*100&amp;"%)","")</f>
        <v/>
      </c>
    </row>
    <row r="86" spans="1:17" x14ac:dyDescent="0.25">
      <c r="A86" s="70">
        <f t="shared" si="4"/>
        <v>9</v>
      </c>
      <c r="B86" s="6">
        <v>43469</v>
      </c>
      <c r="C86" s="6" t="s">
        <v>300</v>
      </c>
      <c r="D86" s="7" t="s">
        <v>263</v>
      </c>
      <c r="E86" s="8" t="s">
        <v>151</v>
      </c>
      <c r="F86" s="66">
        <v>2.42</v>
      </c>
      <c r="G86" s="30">
        <v>-110</v>
      </c>
      <c r="H86" s="10" t="s">
        <v>7</v>
      </c>
      <c r="I8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8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86"/>
      <c r="L86" s="71">
        <f t="shared" si="5"/>
        <v>0</v>
      </c>
      <c r="M86" s="71" t="str">
        <f>IFERROR(VLOOKUP(L86,NBA_Bets[[Date]:[Version]],2,0),"")</f>
        <v/>
      </c>
      <c r="N86" s="130" t="str">
        <f>COUNTIFS(NBA_Bets[Date],L86,NBA_Bets[Result],"W")&amp;"-"&amp;COUNTIFS(NBA_Bets[Date],L86,NBA_Bets[Result],"L")&amp;IF(COUNTIFS(NBA_Bets[Date],L86,NBA_Bets[Result],"Push")&gt;0,"-"&amp;COUNTIFS(NBA_Bets[Date],L86,NBA_Bets[Result],"Push"),"")</f>
        <v>0-0</v>
      </c>
      <c r="O86" s="131" t="str">
        <f>IFERROR(COUNTIFS(NBA_Bets[Date],L86,NBA_Bets[Result],"W")/(COUNTIFS(NBA_Bets[Date],L86,NBA_Bets[Result],"W")+COUNTIFS(NBA_Bets[Date],L86,NBA_Bets[Result],"L")),"")</f>
        <v/>
      </c>
      <c r="P86" s="88">
        <f>SUMIF(NBA_Bets[Date],L86,NBA_Bets[Winnings])-SUMIF(NBA_Bets[Date],L86,NBA_Bets[Risk])</f>
        <v>0</v>
      </c>
      <c r="Q86" s="89" t="str">
        <f>IFERROR("("&amp;ROUND((SUMIF(NBA_Bets[Date],L86,NBA_Bets[Winnings])-SUMIF(NBA_Bets[Date],L86,NBA_Bets[Risk]))/SUMIF(NBA_Bets[Date],L86,NBA_Bets[Risk]),2)*100&amp;"%)","")</f>
        <v/>
      </c>
    </row>
    <row r="87" spans="1:17" x14ac:dyDescent="0.25">
      <c r="A87" s="70">
        <f t="shared" si="4"/>
        <v>9</v>
      </c>
      <c r="B87" s="6">
        <v>43469</v>
      </c>
      <c r="C87" s="6" t="s">
        <v>300</v>
      </c>
      <c r="D87" s="7" t="s">
        <v>263</v>
      </c>
      <c r="E87" s="8" t="s">
        <v>264</v>
      </c>
      <c r="F87" s="66">
        <v>2.42</v>
      </c>
      <c r="G87" s="30">
        <v>-115</v>
      </c>
      <c r="H87" s="10" t="s">
        <v>37</v>
      </c>
      <c r="I8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4.5243478260869558</v>
      </c>
      <c r="J8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87"/>
      <c r="L87" s="71">
        <f t="shared" si="5"/>
        <v>0</v>
      </c>
      <c r="M87" s="71" t="str">
        <f>IFERROR(VLOOKUP(L87,NBA_Bets[[Date]:[Version]],2,0),"")</f>
        <v/>
      </c>
      <c r="N87" s="130" t="str">
        <f>COUNTIFS(NBA_Bets[Date],L87,NBA_Bets[Result],"W")&amp;"-"&amp;COUNTIFS(NBA_Bets[Date],L87,NBA_Bets[Result],"L")&amp;IF(COUNTIFS(NBA_Bets[Date],L87,NBA_Bets[Result],"Push")&gt;0,"-"&amp;COUNTIFS(NBA_Bets[Date],L87,NBA_Bets[Result],"Push"),"")</f>
        <v>0-0</v>
      </c>
      <c r="O87" s="131" t="str">
        <f>IFERROR(COUNTIFS(NBA_Bets[Date],L87,NBA_Bets[Result],"W")/(COUNTIFS(NBA_Bets[Date],L87,NBA_Bets[Result],"W")+COUNTIFS(NBA_Bets[Date],L87,NBA_Bets[Result],"L")),"")</f>
        <v/>
      </c>
      <c r="P87" s="88">
        <f>SUMIF(NBA_Bets[Date],L87,NBA_Bets[Winnings])-SUMIF(NBA_Bets[Date],L87,NBA_Bets[Risk])</f>
        <v>0</v>
      </c>
      <c r="Q87" s="89" t="str">
        <f>IFERROR("("&amp;ROUND((SUMIF(NBA_Bets[Date],L87,NBA_Bets[Winnings])-SUMIF(NBA_Bets[Date],L87,NBA_Bets[Risk]))/SUMIF(NBA_Bets[Date],L87,NBA_Bets[Risk]),2)*100&amp;"%)","")</f>
        <v/>
      </c>
    </row>
    <row r="88" spans="1:17" x14ac:dyDescent="0.25">
      <c r="A88" s="70">
        <f t="shared" si="4"/>
        <v>9</v>
      </c>
      <c r="B88" s="6">
        <v>43469</v>
      </c>
      <c r="C88" s="6" t="s">
        <v>300</v>
      </c>
      <c r="D88" s="7" t="s">
        <v>265</v>
      </c>
      <c r="E88" s="8" t="s">
        <v>266</v>
      </c>
      <c r="F88" s="66">
        <v>2.42</v>
      </c>
      <c r="G88" s="30">
        <v>-105</v>
      </c>
      <c r="H88" s="10" t="s">
        <v>7</v>
      </c>
      <c r="I8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8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88"/>
      <c r="L88" s="71">
        <f t="shared" si="5"/>
        <v>0</v>
      </c>
      <c r="M88" s="71" t="str">
        <f>IFERROR(VLOOKUP(L88,NBA_Bets[[Date]:[Version]],2,0),"")</f>
        <v/>
      </c>
      <c r="N88" s="130" t="str">
        <f>COUNTIFS(NBA_Bets[Date],L88,NBA_Bets[Result],"W")&amp;"-"&amp;COUNTIFS(NBA_Bets[Date],L88,NBA_Bets[Result],"L")&amp;IF(COUNTIFS(NBA_Bets[Date],L88,NBA_Bets[Result],"Push")&gt;0,"-"&amp;COUNTIFS(NBA_Bets[Date],L88,NBA_Bets[Result],"Push"),"")</f>
        <v>0-0</v>
      </c>
      <c r="O88" s="131" t="str">
        <f>IFERROR(COUNTIFS(NBA_Bets[Date],L88,NBA_Bets[Result],"W")/(COUNTIFS(NBA_Bets[Date],L88,NBA_Bets[Result],"W")+COUNTIFS(NBA_Bets[Date],L88,NBA_Bets[Result],"L")),"")</f>
        <v/>
      </c>
      <c r="P88" s="88">
        <f>SUMIF(NBA_Bets[Date],L88,NBA_Bets[Winnings])-SUMIF(NBA_Bets[Date],L88,NBA_Bets[Risk])</f>
        <v>0</v>
      </c>
      <c r="Q88" s="89" t="str">
        <f>IFERROR("("&amp;ROUND((SUMIF(NBA_Bets[Date],L88,NBA_Bets[Winnings])-SUMIF(NBA_Bets[Date],L88,NBA_Bets[Risk]))/SUMIF(NBA_Bets[Date],L88,NBA_Bets[Risk]),2)*100&amp;"%)","")</f>
        <v/>
      </c>
    </row>
    <row r="89" spans="1:17" x14ac:dyDescent="0.25">
      <c r="A89" s="70">
        <f t="shared" si="4"/>
        <v>9</v>
      </c>
      <c r="B89" s="6">
        <v>43469</v>
      </c>
      <c r="C89" s="6" t="s">
        <v>300</v>
      </c>
      <c r="D89" s="7" t="s">
        <v>265</v>
      </c>
      <c r="E89" s="8" t="s">
        <v>267</v>
      </c>
      <c r="F89" s="66">
        <v>2.42</v>
      </c>
      <c r="G89" s="30">
        <v>-110</v>
      </c>
      <c r="H89" s="10" t="s">
        <v>37</v>
      </c>
      <c r="I8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4.6199999999999992</v>
      </c>
      <c r="J8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89"/>
      <c r="L89" s="71">
        <f t="shared" si="5"/>
        <v>0</v>
      </c>
      <c r="M89" s="71" t="str">
        <f>IFERROR(VLOOKUP(L89,NBA_Bets[[Date]:[Version]],2,0),"")</f>
        <v/>
      </c>
      <c r="N89" s="130" t="str">
        <f>COUNTIFS(NBA_Bets[Date],L89,NBA_Bets[Result],"W")&amp;"-"&amp;COUNTIFS(NBA_Bets[Date],L89,NBA_Bets[Result],"L")&amp;IF(COUNTIFS(NBA_Bets[Date],L89,NBA_Bets[Result],"Push")&gt;0,"-"&amp;COUNTIFS(NBA_Bets[Date],L89,NBA_Bets[Result],"Push"),"")</f>
        <v>0-0</v>
      </c>
      <c r="O89" s="131" t="str">
        <f>IFERROR(COUNTIFS(NBA_Bets[Date],L89,NBA_Bets[Result],"W")/(COUNTIFS(NBA_Bets[Date],L89,NBA_Bets[Result],"W")+COUNTIFS(NBA_Bets[Date],L89,NBA_Bets[Result],"L")),"")</f>
        <v/>
      </c>
      <c r="P89" s="88">
        <f>SUMIF(NBA_Bets[Date],L89,NBA_Bets[Winnings])-SUMIF(NBA_Bets[Date],L89,NBA_Bets[Risk])</f>
        <v>0</v>
      </c>
      <c r="Q89" s="89" t="str">
        <f>IFERROR("("&amp;ROUND((SUMIF(NBA_Bets[Date],L89,NBA_Bets[Winnings])-SUMIF(NBA_Bets[Date],L89,NBA_Bets[Risk]))/SUMIF(NBA_Bets[Date],L89,NBA_Bets[Risk]),2)*100&amp;"%)","")</f>
        <v/>
      </c>
    </row>
    <row r="90" spans="1:17" x14ac:dyDescent="0.25">
      <c r="A90" s="70">
        <f t="shared" si="4"/>
        <v>9</v>
      </c>
      <c r="B90" s="6">
        <v>43469</v>
      </c>
      <c r="C90" s="6" t="s">
        <v>300</v>
      </c>
      <c r="D90" s="7" t="s">
        <v>268</v>
      </c>
      <c r="E90" s="8" t="s">
        <v>227</v>
      </c>
      <c r="F90" s="66">
        <v>2.42</v>
      </c>
      <c r="G90" s="30">
        <v>-105</v>
      </c>
      <c r="H90" s="10" t="s">
        <v>7</v>
      </c>
      <c r="I9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9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90"/>
      <c r="L90" s="71">
        <f t="shared" si="5"/>
        <v>0</v>
      </c>
      <c r="M90" s="71" t="str">
        <f>IFERROR(VLOOKUP(L90,NBA_Bets[[Date]:[Version]],2,0),"")</f>
        <v/>
      </c>
      <c r="N90" s="130" t="str">
        <f>COUNTIFS(NBA_Bets[Date],L90,NBA_Bets[Result],"W")&amp;"-"&amp;COUNTIFS(NBA_Bets[Date],L90,NBA_Bets[Result],"L")&amp;IF(COUNTIFS(NBA_Bets[Date],L90,NBA_Bets[Result],"Push")&gt;0,"-"&amp;COUNTIFS(NBA_Bets[Date],L90,NBA_Bets[Result],"Push"),"")</f>
        <v>0-0</v>
      </c>
      <c r="O90" s="131" t="str">
        <f>IFERROR(COUNTIFS(NBA_Bets[Date],L90,NBA_Bets[Result],"W")/(COUNTIFS(NBA_Bets[Date],L90,NBA_Bets[Result],"W")+COUNTIFS(NBA_Bets[Date],L90,NBA_Bets[Result],"L")),"")</f>
        <v/>
      </c>
      <c r="P90" s="88">
        <f>SUMIF(NBA_Bets[Date],L90,NBA_Bets[Winnings])-SUMIF(NBA_Bets[Date],L90,NBA_Bets[Risk])</f>
        <v>0</v>
      </c>
      <c r="Q90" s="89" t="str">
        <f>IFERROR("("&amp;ROUND((SUMIF(NBA_Bets[Date],L90,NBA_Bets[Winnings])-SUMIF(NBA_Bets[Date],L90,NBA_Bets[Risk]))/SUMIF(NBA_Bets[Date],L90,NBA_Bets[Risk]),2)*100&amp;"%)","")</f>
        <v/>
      </c>
    </row>
    <row r="91" spans="1:17" x14ac:dyDescent="0.25">
      <c r="A91" s="70">
        <f t="shared" si="4"/>
        <v>9</v>
      </c>
      <c r="B91" s="6">
        <v>43469</v>
      </c>
      <c r="C91" s="6" t="s">
        <v>300</v>
      </c>
      <c r="D91" s="7" t="s">
        <v>268</v>
      </c>
      <c r="E91" s="8" t="s">
        <v>269</v>
      </c>
      <c r="F91" s="66">
        <v>2.42</v>
      </c>
      <c r="G91" s="30">
        <v>-105</v>
      </c>
      <c r="H91" s="10" t="s">
        <v>37</v>
      </c>
      <c r="I9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4.7247619047619045</v>
      </c>
      <c r="J9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91"/>
      <c r="L91" s="71">
        <f t="shared" si="5"/>
        <v>0</v>
      </c>
      <c r="M91" s="71" t="str">
        <f>IFERROR(VLOOKUP(L91,NBA_Bets[[Date]:[Version]],2,0),"")</f>
        <v/>
      </c>
      <c r="N91" s="130" t="str">
        <f>COUNTIFS(NBA_Bets[Date],L91,NBA_Bets[Result],"W")&amp;"-"&amp;COUNTIFS(NBA_Bets[Date],L91,NBA_Bets[Result],"L")&amp;IF(COUNTIFS(NBA_Bets[Date],L91,NBA_Bets[Result],"Push")&gt;0,"-"&amp;COUNTIFS(NBA_Bets[Date],L91,NBA_Bets[Result],"Push"),"")</f>
        <v>0-0</v>
      </c>
      <c r="O91" s="131" t="str">
        <f>IFERROR(COUNTIFS(NBA_Bets[Date],L91,NBA_Bets[Result],"W")/(COUNTIFS(NBA_Bets[Date],L91,NBA_Bets[Result],"W")+COUNTIFS(NBA_Bets[Date],L91,NBA_Bets[Result],"L")),"")</f>
        <v/>
      </c>
      <c r="P91" s="88">
        <f>SUMIF(NBA_Bets[Date],L91,NBA_Bets[Winnings])-SUMIF(NBA_Bets[Date],L91,NBA_Bets[Risk])</f>
        <v>0</v>
      </c>
      <c r="Q91" s="89" t="str">
        <f>IFERROR("("&amp;ROUND((SUMIF(NBA_Bets[Date],L91,NBA_Bets[Winnings])-SUMIF(NBA_Bets[Date],L91,NBA_Bets[Risk]))/SUMIF(NBA_Bets[Date],L91,NBA_Bets[Risk]),2)*100&amp;"%)","")</f>
        <v/>
      </c>
    </row>
    <row r="92" spans="1:17" x14ac:dyDescent="0.25">
      <c r="A92" s="70">
        <f t="shared" si="4"/>
        <v>9</v>
      </c>
      <c r="B92" s="6">
        <v>43469</v>
      </c>
      <c r="C92" s="6" t="s">
        <v>300</v>
      </c>
      <c r="D92" s="7" t="s">
        <v>270</v>
      </c>
      <c r="E92" s="8" t="s">
        <v>190</v>
      </c>
      <c r="F92" s="66">
        <v>2.42</v>
      </c>
      <c r="G92" s="30">
        <v>-115</v>
      </c>
      <c r="H92" s="10" t="s">
        <v>37</v>
      </c>
      <c r="I9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4.5243478260869558</v>
      </c>
      <c r="J9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92"/>
      <c r="L92" s="71">
        <f t="shared" si="5"/>
        <v>0</v>
      </c>
      <c r="M92" s="71" t="str">
        <f>IFERROR(VLOOKUP(L92,NBA_Bets[[Date]:[Version]],2,0),"")</f>
        <v/>
      </c>
      <c r="N92" s="130" t="str">
        <f>COUNTIFS(NBA_Bets[Date],L92,NBA_Bets[Result],"W")&amp;"-"&amp;COUNTIFS(NBA_Bets[Date],L92,NBA_Bets[Result],"L")&amp;IF(COUNTIFS(NBA_Bets[Date],L92,NBA_Bets[Result],"Push")&gt;0,"-"&amp;COUNTIFS(NBA_Bets[Date],L92,NBA_Bets[Result],"Push"),"")</f>
        <v>0-0</v>
      </c>
      <c r="O92" s="131" t="str">
        <f>IFERROR(COUNTIFS(NBA_Bets[Date],L92,NBA_Bets[Result],"W")/(COUNTIFS(NBA_Bets[Date],L92,NBA_Bets[Result],"W")+COUNTIFS(NBA_Bets[Date],L92,NBA_Bets[Result],"L")),"")</f>
        <v/>
      </c>
      <c r="P92" s="88">
        <f>SUMIF(NBA_Bets[Date],L92,NBA_Bets[Winnings])-SUMIF(NBA_Bets[Date],L92,NBA_Bets[Risk])</f>
        <v>0</v>
      </c>
      <c r="Q92" s="89" t="str">
        <f>IFERROR("("&amp;ROUND((SUMIF(NBA_Bets[Date],L92,NBA_Bets[Winnings])-SUMIF(NBA_Bets[Date],L92,NBA_Bets[Risk]))/SUMIF(NBA_Bets[Date],L92,NBA_Bets[Risk]),2)*100&amp;"%)","")</f>
        <v/>
      </c>
    </row>
    <row r="93" spans="1:17" x14ac:dyDescent="0.25">
      <c r="A93" s="70">
        <f t="shared" si="4"/>
        <v>9</v>
      </c>
      <c r="B93" s="6">
        <v>43469</v>
      </c>
      <c r="C93" s="6" t="s">
        <v>300</v>
      </c>
      <c r="D93" s="7" t="s">
        <v>270</v>
      </c>
      <c r="E93" s="8" t="s">
        <v>271</v>
      </c>
      <c r="F93" s="66">
        <v>2.42</v>
      </c>
      <c r="G93" s="30">
        <v>-115</v>
      </c>
      <c r="H93" s="10" t="s">
        <v>37</v>
      </c>
      <c r="I9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4.5243478260869558</v>
      </c>
      <c r="J9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93"/>
      <c r="L93" s="71">
        <f t="shared" si="5"/>
        <v>0</v>
      </c>
      <c r="M93" s="71" t="str">
        <f>IFERROR(VLOOKUP(L93,NBA_Bets[[Date]:[Version]],2,0),"")</f>
        <v/>
      </c>
      <c r="N93" s="130" t="str">
        <f>COUNTIFS(NBA_Bets[Date],L93,NBA_Bets[Result],"W")&amp;"-"&amp;COUNTIFS(NBA_Bets[Date],L93,NBA_Bets[Result],"L")&amp;IF(COUNTIFS(NBA_Bets[Date],L93,NBA_Bets[Result],"Push")&gt;0,"-"&amp;COUNTIFS(NBA_Bets[Date],L93,NBA_Bets[Result],"Push"),"")</f>
        <v>0-0</v>
      </c>
      <c r="O93" s="131" t="str">
        <f>IFERROR(COUNTIFS(NBA_Bets[Date],L93,NBA_Bets[Result],"W")/(COUNTIFS(NBA_Bets[Date],L93,NBA_Bets[Result],"W")+COUNTIFS(NBA_Bets[Date],L93,NBA_Bets[Result],"L")),"")</f>
        <v/>
      </c>
      <c r="P93" s="88">
        <f>SUMIF(NBA_Bets[Date],L93,NBA_Bets[Winnings])-SUMIF(NBA_Bets[Date],L93,NBA_Bets[Risk])</f>
        <v>0</v>
      </c>
      <c r="Q93" s="89" t="str">
        <f>IFERROR("("&amp;ROUND((SUMIF(NBA_Bets[Date],L93,NBA_Bets[Winnings])-SUMIF(NBA_Bets[Date],L93,NBA_Bets[Risk]))/SUMIF(NBA_Bets[Date],L93,NBA_Bets[Risk]),2)*100&amp;"%)","")</f>
        <v/>
      </c>
    </row>
    <row r="94" spans="1:17" x14ac:dyDescent="0.25">
      <c r="A94" s="70">
        <f t="shared" si="4"/>
        <v>9</v>
      </c>
      <c r="B94" s="6">
        <v>43469</v>
      </c>
      <c r="C94" s="6" t="s">
        <v>300</v>
      </c>
      <c r="D94" s="7" t="s">
        <v>272</v>
      </c>
      <c r="E94" s="8" t="s">
        <v>273</v>
      </c>
      <c r="F94" s="66">
        <v>2.42</v>
      </c>
      <c r="G94" s="30">
        <v>-105</v>
      </c>
      <c r="H94" s="10" t="s">
        <v>7</v>
      </c>
      <c r="I9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9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94"/>
      <c r="L94" s="71">
        <f t="shared" si="5"/>
        <v>0</v>
      </c>
      <c r="M94" s="71" t="str">
        <f>IFERROR(VLOOKUP(L94,NBA_Bets[[Date]:[Version]],2,0),"")</f>
        <v/>
      </c>
      <c r="N94" s="130" t="str">
        <f>COUNTIFS(NBA_Bets[Date],L94,NBA_Bets[Result],"W")&amp;"-"&amp;COUNTIFS(NBA_Bets[Date],L94,NBA_Bets[Result],"L")&amp;IF(COUNTIFS(NBA_Bets[Date],L94,NBA_Bets[Result],"Push")&gt;0,"-"&amp;COUNTIFS(NBA_Bets[Date],L94,NBA_Bets[Result],"Push"),"")</f>
        <v>0-0</v>
      </c>
      <c r="O94" s="131" t="str">
        <f>IFERROR(COUNTIFS(NBA_Bets[Date],L94,NBA_Bets[Result],"W")/(COUNTIFS(NBA_Bets[Date],L94,NBA_Bets[Result],"W")+COUNTIFS(NBA_Bets[Date],L94,NBA_Bets[Result],"L")),"")</f>
        <v/>
      </c>
      <c r="P94" s="88">
        <f>SUMIF(NBA_Bets[Date],L94,NBA_Bets[Winnings])-SUMIF(NBA_Bets[Date],L94,NBA_Bets[Risk])</f>
        <v>0</v>
      </c>
      <c r="Q94" s="89" t="str">
        <f>IFERROR("("&amp;ROUND((SUMIF(NBA_Bets[Date],L94,NBA_Bets[Winnings])-SUMIF(NBA_Bets[Date],L94,NBA_Bets[Risk]))/SUMIF(NBA_Bets[Date],L94,NBA_Bets[Risk]),2)*100&amp;"%)","")</f>
        <v/>
      </c>
    </row>
    <row r="95" spans="1:17" x14ac:dyDescent="0.25">
      <c r="A95" s="70">
        <f t="shared" si="4"/>
        <v>9</v>
      </c>
      <c r="B95" s="6">
        <v>43469</v>
      </c>
      <c r="C95" s="6" t="s">
        <v>300</v>
      </c>
      <c r="D95" s="7" t="s">
        <v>272</v>
      </c>
      <c r="E95" s="8" t="s">
        <v>274</v>
      </c>
      <c r="F95" s="66">
        <v>2.42</v>
      </c>
      <c r="G95" s="30">
        <v>-110</v>
      </c>
      <c r="H95" s="10" t="s">
        <v>7</v>
      </c>
      <c r="I9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9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95"/>
      <c r="L95" s="71">
        <f t="shared" si="5"/>
        <v>0</v>
      </c>
      <c r="M95" s="71" t="str">
        <f>IFERROR(VLOOKUP(L95,NBA_Bets[[Date]:[Version]],2,0),"")</f>
        <v/>
      </c>
      <c r="N95" s="130" t="str">
        <f>COUNTIFS(NBA_Bets[Date],L95,NBA_Bets[Result],"W")&amp;"-"&amp;COUNTIFS(NBA_Bets[Date],L95,NBA_Bets[Result],"L")&amp;IF(COUNTIFS(NBA_Bets[Date],L95,NBA_Bets[Result],"Push")&gt;0,"-"&amp;COUNTIFS(NBA_Bets[Date],L95,NBA_Bets[Result],"Push"),"")</f>
        <v>0-0</v>
      </c>
      <c r="O95" s="131" t="str">
        <f>IFERROR(COUNTIFS(NBA_Bets[Date],L95,NBA_Bets[Result],"W")/(COUNTIFS(NBA_Bets[Date],L95,NBA_Bets[Result],"W")+COUNTIFS(NBA_Bets[Date],L95,NBA_Bets[Result],"L")),"")</f>
        <v/>
      </c>
      <c r="P95" s="88">
        <f>SUMIF(NBA_Bets[Date],L95,NBA_Bets[Winnings])-SUMIF(NBA_Bets[Date],L95,NBA_Bets[Risk])</f>
        <v>0</v>
      </c>
      <c r="Q95" s="89" t="str">
        <f>IFERROR("("&amp;ROUND((SUMIF(NBA_Bets[Date],L95,NBA_Bets[Winnings])-SUMIF(NBA_Bets[Date],L95,NBA_Bets[Risk]))/SUMIF(NBA_Bets[Date],L95,NBA_Bets[Risk]),2)*100&amp;"%)","")</f>
        <v/>
      </c>
    </row>
    <row r="96" spans="1:17" x14ac:dyDescent="0.25">
      <c r="A96" s="70">
        <f t="shared" si="4"/>
        <v>9</v>
      </c>
      <c r="B96" s="6">
        <v>43469</v>
      </c>
      <c r="C96" s="6" t="s">
        <v>300</v>
      </c>
      <c r="D96" s="7" t="s">
        <v>275</v>
      </c>
      <c r="E96" s="8" t="s">
        <v>273</v>
      </c>
      <c r="F96" s="66">
        <v>2.42</v>
      </c>
      <c r="G96" s="30">
        <v>-110</v>
      </c>
      <c r="H96" s="10" t="s">
        <v>37</v>
      </c>
      <c r="I9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4.6199999999999992</v>
      </c>
      <c r="J9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96"/>
      <c r="L96" s="71">
        <f t="shared" si="5"/>
        <v>0</v>
      </c>
      <c r="M96" s="71" t="str">
        <f>IFERROR(VLOOKUP(L96,NBA_Bets[[Date]:[Version]],2,0),"")</f>
        <v/>
      </c>
      <c r="N96" s="130" t="str">
        <f>COUNTIFS(NBA_Bets[Date],L96,NBA_Bets[Result],"W")&amp;"-"&amp;COUNTIFS(NBA_Bets[Date],L96,NBA_Bets[Result],"L")&amp;IF(COUNTIFS(NBA_Bets[Date],L96,NBA_Bets[Result],"Push")&gt;0,"-"&amp;COUNTIFS(NBA_Bets[Date],L96,NBA_Bets[Result],"Push"),"")</f>
        <v>0-0</v>
      </c>
      <c r="O96" s="131" t="str">
        <f>IFERROR(COUNTIFS(NBA_Bets[Date],L96,NBA_Bets[Result],"W")/(COUNTIFS(NBA_Bets[Date],L96,NBA_Bets[Result],"W")+COUNTIFS(NBA_Bets[Date],L96,NBA_Bets[Result],"L")),"")</f>
        <v/>
      </c>
      <c r="P96" s="88">
        <f>SUMIF(NBA_Bets[Date],L96,NBA_Bets[Winnings])-SUMIF(NBA_Bets[Date],L96,NBA_Bets[Risk])</f>
        <v>0</v>
      </c>
      <c r="Q96" s="89" t="str">
        <f>IFERROR("("&amp;ROUND((SUMIF(NBA_Bets[Date],L96,NBA_Bets[Winnings])-SUMIF(NBA_Bets[Date],L96,NBA_Bets[Risk]))/SUMIF(NBA_Bets[Date],L96,NBA_Bets[Risk]),2)*100&amp;"%)","")</f>
        <v/>
      </c>
    </row>
    <row r="97" spans="1:17" x14ac:dyDescent="0.25">
      <c r="A97" s="70">
        <f t="shared" si="4"/>
        <v>9</v>
      </c>
      <c r="B97" s="6">
        <v>43469</v>
      </c>
      <c r="C97" s="6" t="s">
        <v>300</v>
      </c>
      <c r="D97" s="7" t="s">
        <v>275</v>
      </c>
      <c r="E97" s="8" t="s">
        <v>276</v>
      </c>
      <c r="F97" s="66">
        <v>2.42</v>
      </c>
      <c r="G97" s="30">
        <v>-105</v>
      </c>
      <c r="H97" s="10" t="s">
        <v>7</v>
      </c>
      <c r="I9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9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97"/>
      <c r="L97" s="71">
        <f t="shared" si="5"/>
        <v>0</v>
      </c>
      <c r="M97" s="71" t="str">
        <f>IFERROR(VLOOKUP(L97,NBA_Bets[[Date]:[Version]],2,0),"")</f>
        <v/>
      </c>
      <c r="N97" s="130" t="str">
        <f>COUNTIFS(NBA_Bets[Date],L97,NBA_Bets[Result],"W")&amp;"-"&amp;COUNTIFS(NBA_Bets[Date],L97,NBA_Bets[Result],"L")&amp;IF(COUNTIFS(NBA_Bets[Date],L97,NBA_Bets[Result],"Push")&gt;0,"-"&amp;COUNTIFS(NBA_Bets[Date],L97,NBA_Bets[Result],"Push"),"")</f>
        <v>0-0</v>
      </c>
      <c r="O97" s="131" t="str">
        <f>IFERROR(COUNTIFS(NBA_Bets[Date],L97,NBA_Bets[Result],"W")/(COUNTIFS(NBA_Bets[Date],L97,NBA_Bets[Result],"W")+COUNTIFS(NBA_Bets[Date],L97,NBA_Bets[Result],"L")),"")</f>
        <v/>
      </c>
      <c r="P97" s="88">
        <f>SUMIF(NBA_Bets[Date],L97,NBA_Bets[Winnings])-SUMIF(NBA_Bets[Date],L97,NBA_Bets[Risk])</f>
        <v>0</v>
      </c>
      <c r="Q97" s="89" t="str">
        <f>IFERROR("("&amp;ROUND((SUMIF(NBA_Bets[Date],L97,NBA_Bets[Winnings])-SUMIF(NBA_Bets[Date],L97,NBA_Bets[Risk]))/SUMIF(NBA_Bets[Date],L97,NBA_Bets[Risk]),2)*100&amp;"%)","")</f>
        <v/>
      </c>
    </row>
    <row r="98" spans="1:17" x14ac:dyDescent="0.25">
      <c r="A98" s="70">
        <f t="shared" si="4"/>
        <v>10</v>
      </c>
      <c r="B98" s="6">
        <v>43472</v>
      </c>
      <c r="C98" s="6" t="s">
        <v>297</v>
      </c>
      <c r="D98" s="7" t="s">
        <v>281</v>
      </c>
      <c r="E98" s="8" t="s">
        <v>151</v>
      </c>
      <c r="F98" s="66">
        <v>5</v>
      </c>
      <c r="G98" s="30">
        <v>-110</v>
      </c>
      <c r="H98" s="10" t="s">
        <v>7</v>
      </c>
      <c r="I9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9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98"/>
      <c r="L98" s="71">
        <f t="shared" si="5"/>
        <v>0</v>
      </c>
      <c r="M98" s="71" t="str">
        <f>IFERROR(VLOOKUP(L98,NBA_Bets[[Date]:[Version]],2,0),"")</f>
        <v/>
      </c>
      <c r="N98" s="130" t="str">
        <f>COUNTIFS(NBA_Bets[Date],L98,NBA_Bets[Result],"W")&amp;"-"&amp;COUNTIFS(NBA_Bets[Date],L98,NBA_Bets[Result],"L")&amp;IF(COUNTIFS(NBA_Bets[Date],L98,NBA_Bets[Result],"Push")&gt;0,"-"&amp;COUNTIFS(NBA_Bets[Date],L98,NBA_Bets[Result],"Push"),"")</f>
        <v>0-0</v>
      </c>
      <c r="O98" s="131" t="str">
        <f>IFERROR(COUNTIFS(NBA_Bets[Date],L98,NBA_Bets[Result],"W")/(COUNTIFS(NBA_Bets[Date],L98,NBA_Bets[Result],"W")+COUNTIFS(NBA_Bets[Date],L98,NBA_Bets[Result],"L")),"")</f>
        <v/>
      </c>
      <c r="P98" s="88">
        <f>SUMIF(NBA_Bets[Date],L98,NBA_Bets[Winnings])-SUMIF(NBA_Bets[Date],L98,NBA_Bets[Risk])</f>
        <v>0</v>
      </c>
      <c r="Q98" s="89" t="str">
        <f>IFERROR("("&amp;ROUND((SUMIF(NBA_Bets[Date],L98,NBA_Bets[Winnings])-SUMIF(NBA_Bets[Date],L98,NBA_Bets[Risk]))/SUMIF(NBA_Bets[Date],L98,NBA_Bets[Risk]),2)*100&amp;"%)","")</f>
        <v/>
      </c>
    </row>
    <row r="99" spans="1:17" x14ac:dyDescent="0.25">
      <c r="A99" s="70">
        <f t="shared" si="4"/>
        <v>10</v>
      </c>
      <c r="B99" s="6">
        <v>43472</v>
      </c>
      <c r="C99" s="6" t="s">
        <v>297</v>
      </c>
      <c r="D99" s="7" t="s">
        <v>281</v>
      </c>
      <c r="E99" s="8" t="s">
        <v>145</v>
      </c>
      <c r="F99" s="66">
        <v>5</v>
      </c>
      <c r="G99" s="30">
        <v>-105</v>
      </c>
      <c r="H99" s="10" t="s">
        <v>37</v>
      </c>
      <c r="I9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9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99"/>
      <c r="L99" s="71">
        <f t="shared" si="5"/>
        <v>0</v>
      </c>
      <c r="M99" s="71" t="str">
        <f>IFERROR(VLOOKUP(L99,NBA_Bets[[Date]:[Version]],2,0),"")</f>
        <v/>
      </c>
      <c r="N99" s="130" t="str">
        <f>COUNTIFS(NBA_Bets[Date],L99,NBA_Bets[Result],"W")&amp;"-"&amp;COUNTIFS(NBA_Bets[Date],L99,NBA_Bets[Result],"L")&amp;IF(COUNTIFS(NBA_Bets[Date],L99,NBA_Bets[Result],"Push")&gt;0,"-"&amp;COUNTIFS(NBA_Bets[Date],L99,NBA_Bets[Result],"Push"),"")</f>
        <v>0-0</v>
      </c>
      <c r="O99" s="131" t="str">
        <f>IFERROR(COUNTIFS(NBA_Bets[Date],L99,NBA_Bets[Result],"W")/(COUNTIFS(NBA_Bets[Date],L99,NBA_Bets[Result],"W")+COUNTIFS(NBA_Bets[Date],L99,NBA_Bets[Result],"L")),"")</f>
        <v/>
      </c>
      <c r="P99" s="88">
        <f>SUMIF(NBA_Bets[Date],L99,NBA_Bets[Winnings])-SUMIF(NBA_Bets[Date],L99,NBA_Bets[Risk])</f>
        <v>0</v>
      </c>
      <c r="Q99" s="89" t="str">
        <f>IFERROR("("&amp;ROUND((SUMIF(NBA_Bets[Date],L99,NBA_Bets[Winnings])-SUMIF(NBA_Bets[Date],L99,NBA_Bets[Risk]))/SUMIF(NBA_Bets[Date],L99,NBA_Bets[Risk]),2)*100&amp;"%)","")</f>
        <v/>
      </c>
    </row>
    <row r="100" spans="1:17" x14ac:dyDescent="0.25">
      <c r="A100" s="70">
        <f t="shared" si="4"/>
        <v>10</v>
      </c>
      <c r="B100" s="6">
        <v>43472</v>
      </c>
      <c r="C100" s="6" t="s">
        <v>297</v>
      </c>
      <c r="D100" s="7" t="s">
        <v>282</v>
      </c>
      <c r="E100" s="8" t="s">
        <v>283</v>
      </c>
      <c r="F100" s="66">
        <v>5</v>
      </c>
      <c r="G100" s="30">
        <v>-110</v>
      </c>
      <c r="H100" s="10" t="s">
        <v>37</v>
      </c>
      <c r="I10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0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00"/>
      <c r="L100" s="71">
        <f t="shared" si="5"/>
        <v>0</v>
      </c>
      <c r="M100" s="71" t="str">
        <f>IFERROR(VLOOKUP(L100,NBA_Bets[[Date]:[Version]],2,0),"")</f>
        <v/>
      </c>
      <c r="N100" s="130" t="str">
        <f>COUNTIFS(NBA_Bets[Date],L100,NBA_Bets[Result],"W")&amp;"-"&amp;COUNTIFS(NBA_Bets[Date],L100,NBA_Bets[Result],"L")&amp;IF(COUNTIFS(NBA_Bets[Date],L100,NBA_Bets[Result],"Push")&gt;0,"-"&amp;COUNTIFS(NBA_Bets[Date],L100,NBA_Bets[Result],"Push"),"")</f>
        <v>0-0</v>
      </c>
      <c r="O100" s="131" t="str">
        <f>IFERROR(COUNTIFS(NBA_Bets[Date],L100,NBA_Bets[Result],"W")/(COUNTIFS(NBA_Bets[Date],L100,NBA_Bets[Result],"W")+COUNTIFS(NBA_Bets[Date],L100,NBA_Bets[Result],"L")),"")</f>
        <v/>
      </c>
      <c r="P100" s="88">
        <f>SUMIF(NBA_Bets[Date],L100,NBA_Bets[Winnings])-SUMIF(NBA_Bets[Date],L100,NBA_Bets[Risk])</f>
        <v>0</v>
      </c>
      <c r="Q100" s="89" t="str">
        <f>IFERROR("("&amp;ROUND((SUMIF(NBA_Bets[Date],L100,NBA_Bets[Winnings])-SUMIF(NBA_Bets[Date],L100,NBA_Bets[Risk]))/SUMIF(NBA_Bets[Date],L100,NBA_Bets[Risk]),2)*100&amp;"%)","")</f>
        <v/>
      </c>
    </row>
    <row r="101" spans="1:17" x14ac:dyDescent="0.25">
      <c r="A101" s="70">
        <f t="shared" ref="A101:A132" si="6">IF(B101=B100,A100,A100+1)</f>
        <v>10</v>
      </c>
      <c r="B101" s="6">
        <v>43472</v>
      </c>
      <c r="C101" s="6" t="s">
        <v>297</v>
      </c>
      <c r="D101" s="7" t="s">
        <v>284</v>
      </c>
      <c r="E101" s="8" t="s">
        <v>230</v>
      </c>
      <c r="F101" s="66">
        <v>5</v>
      </c>
      <c r="G101" s="30">
        <v>-110</v>
      </c>
      <c r="H101" s="10" t="s">
        <v>37</v>
      </c>
      <c r="I10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0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01"/>
      <c r="L101" s="71">
        <f t="shared" ref="L101:L132" si="7">IFERROR(VLOOKUP(ROW()-4,A:B,2,0),0)</f>
        <v>0</v>
      </c>
      <c r="M101" s="71" t="str">
        <f>IFERROR(VLOOKUP(L101,NBA_Bets[[Date]:[Version]],2,0),"")</f>
        <v/>
      </c>
      <c r="N101" s="130" t="str">
        <f>COUNTIFS(NBA_Bets[Date],L101,NBA_Bets[Result],"W")&amp;"-"&amp;COUNTIFS(NBA_Bets[Date],L101,NBA_Bets[Result],"L")&amp;IF(COUNTIFS(NBA_Bets[Date],L101,NBA_Bets[Result],"Push")&gt;0,"-"&amp;COUNTIFS(NBA_Bets[Date],L101,NBA_Bets[Result],"Push"),"")</f>
        <v>0-0</v>
      </c>
      <c r="O101" s="131" t="str">
        <f>IFERROR(COUNTIFS(NBA_Bets[Date],L101,NBA_Bets[Result],"W")/(COUNTIFS(NBA_Bets[Date],L101,NBA_Bets[Result],"W")+COUNTIFS(NBA_Bets[Date],L101,NBA_Bets[Result],"L")),"")</f>
        <v/>
      </c>
      <c r="P101" s="88">
        <f>SUMIF(NBA_Bets[Date],L101,NBA_Bets[Winnings])-SUMIF(NBA_Bets[Date],L101,NBA_Bets[Risk])</f>
        <v>0</v>
      </c>
      <c r="Q101" s="89" t="str">
        <f>IFERROR("("&amp;ROUND((SUMIF(NBA_Bets[Date],L101,NBA_Bets[Winnings])-SUMIF(NBA_Bets[Date],L101,NBA_Bets[Risk]))/SUMIF(NBA_Bets[Date],L101,NBA_Bets[Risk]),2)*100&amp;"%)","")</f>
        <v/>
      </c>
    </row>
    <row r="102" spans="1:17" x14ac:dyDescent="0.25">
      <c r="A102" s="70">
        <f t="shared" si="6"/>
        <v>10</v>
      </c>
      <c r="B102" s="6">
        <v>43472</v>
      </c>
      <c r="C102" s="6" t="s">
        <v>297</v>
      </c>
      <c r="D102" s="7" t="s">
        <v>285</v>
      </c>
      <c r="E102" s="8" t="s">
        <v>266</v>
      </c>
      <c r="F102" s="66">
        <v>5</v>
      </c>
      <c r="G102" s="30">
        <v>-115</v>
      </c>
      <c r="H102" s="10" t="s">
        <v>7</v>
      </c>
      <c r="I10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0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02"/>
      <c r="L102" s="71">
        <f t="shared" si="7"/>
        <v>0</v>
      </c>
      <c r="M102" s="71" t="str">
        <f>IFERROR(VLOOKUP(L102,NBA_Bets[[Date]:[Version]],2,0),"")</f>
        <v/>
      </c>
      <c r="N102" s="130" t="str">
        <f>COUNTIFS(NBA_Bets[Date],L102,NBA_Bets[Result],"W")&amp;"-"&amp;COUNTIFS(NBA_Bets[Date],L102,NBA_Bets[Result],"L")&amp;IF(COUNTIFS(NBA_Bets[Date],L102,NBA_Bets[Result],"Push")&gt;0,"-"&amp;COUNTIFS(NBA_Bets[Date],L102,NBA_Bets[Result],"Push"),"")</f>
        <v>0-0</v>
      </c>
      <c r="O102" s="131" t="str">
        <f>IFERROR(COUNTIFS(NBA_Bets[Date],L102,NBA_Bets[Result],"W")/(COUNTIFS(NBA_Bets[Date],L102,NBA_Bets[Result],"W")+COUNTIFS(NBA_Bets[Date],L102,NBA_Bets[Result],"L")),"")</f>
        <v/>
      </c>
      <c r="P102" s="88">
        <f>SUMIF(NBA_Bets[Date],L102,NBA_Bets[Winnings])-SUMIF(NBA_Bets[Date],L102,NBA_Bets[Risk])</f>
        <v>0</v>
      </c>
      <c r="Q102" s="89" t="str">
        <f>IFERROR("("&amp;ROUND((SUMIF(NBA_Bets[Date],L102,NBA_Bets[Winnings])-SUMIF(NBA_Bets[Date],L102,NBA_Bets[Risk]))/SUMIF(NBA_Bets[Date],L102,NBA_Bets[Risk]),2)*100&amp;"%)","")</f>
        <v/>
      </c>
    </row>
    <row r="103" spans="1:17" x14ac:dyDescent="0.25">
      <c r="A103" s="70">
        <f t="shared" si="6"/>
        <v>10</v>
      </c>
      <c r="B103" s="6">
        <v>43472</v>
      </c>
      <c r="C103" s="6" t="s">
        <v>297</v>
      </c>
      <c r="D103" s="7" t="s">
        <v>285</v>
      </c>
      <c r="E103" s="8" t="s">
        <v>286</v>
      </c>
      <c r="F103" s="66">
        <v>5</v>
      </c>
      <c r="G103" s="30">
        <v>-110</v>
      </c>
      <c r="H103" s="10" t="s">
        <v>37</v>
      </c>
      <c r="I10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0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03"/>
      <c r="L103" s="71">
        <f t="shared" si="7"/>
        <v>0</v>
      </c>
      <c r="M103" s="71" t="str">
        <f>IFERROR(VLOOKUP(L103,NBA_Bets[[Date]:[Version]],2,0),"")</f>
        <v/>
      </c>
      <c r="N103" s="130" t="str">
        <f>COUNTIFS(NBA_Bets[Date],L103,NBA_Bets[Result],"W")&amp;"-"&amp;COUNTIFS(NBA_Bets[Date],L103,NBA_Bets[Result],"L")&amp;IF(COUNTIFS(NBA_Bets[Date],L103,NBA_Bets[Result],"Push")&gt;0,"-"&amp;COUNTIFS(NBA_Bets[Date],L103,NBA_Bets[Result],"Push"),"")</f>
        <v>0-0</v>
      </c>
      <c r="O103" s="131" t="str">
        <f>IFERROR(COUNTIFS(NBA_Bets[Date],L103,NBA_Bets[Result],"W")/(COUNTIFS(NBA_Bets[Date],L103,NBA_Bets[Result],"W")+COUNTIFS(NBA_Bets[Date],L103,NBA_Bets[Result],"L")),"")</f>
        <v/>
      </c>
      <c r="P103" s="88">
        <f>SUMIF(NBA_Bets[Date],L103,NBA_Bets[Winnings])-SUMIF(NBA_Bets[Date],L103,NBA_Bets[Risk])</f>
        <v>0</v>
      </c>
      <c r="Q103" s="89" t="str">
        <f>IFERROR("("&amp;ROUND((SUMIF(NBA_Bets[Date],L103,NBA_Bets[Winnings])-SUMIF(NBA_Bets[Date],L103,NBA_Bets[Risk]))/SUMIF(NBA_Bets[Date],L103,NBA_Bets[Risk]),2)*100&amp;"%)","")</f>
        <v/>
      </c>
    </row>
    <row r="104" spans="1:17" x14ac:dyDescent="0.25">
      <c r="A104" s="70">
        <f t="shared" si="6"/>
        <v>10</v>
      </c>
      <c r="B104" s="6">
        <v>43472</v>
      </c>
      <c r="C104" s="6" t="s">
        <v>297</v>
      </c>
      <c r="D104" s="7" t="s">
        <v>287</v>
      </c>
      <c r="E104" s="8" t="s">
        <v>288</v>
      </c>
      <c r="F104" s="66">
        <v>5</v>
      </c>
      <c r="G104" s="30">
        <v>-110</v>
      </c>
      <c r="H104" s="10" t="s">
        <v>37</v>
      </c>
      <c r="I10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0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04"/>
      <c r="L104" s="71">
        <f t="shared" si="7"/>
        <v>0</v>
      </c>
      <c r="M104" s="71" t="str">
        <f>IFERROR(VLOOKUP(L104,NBA_Bets[[Date]:[Version]],2,0),"")</f>
        <v/>
      </c>
      <c r="N104" s="130" t="str">
        <f>COUNTIFS(NBA_Bets[Date],L104,NBA_Bets[Result],"W")&amp;"-"&amp;COUNTIFS(NBA_Bets[Date],L104,NBA_Bets[Result],"L")&amp;IF(COUNTIFS(NBA_Bets[Date],L104,NBA_Bets[Result],"Push")&gt;0,"-"&amp;COUNTIFS(NBA_Bets[Date],L104,NBA_Bets[Result],"Push"),"")</f>
        <v>0-0</v>
      </c>
      <c r="O104" s="131" t="str">
        <f>IFERROR(COUNTIFS(NBA_Bets[Date],L104,NBA_Bets[Result],"W")/(COUNTIFS(NBA_Bets[Date],L104,NBA_Bets[Result],"W")+COUNTIFS(NBA_Bets[Date],L104,NBA_Bets[Result],"L")),"")</f>
        <v/>
      </c>
      <c r="P104" s="88">
        <f>SUMIF(NBA_Bets[Date],L104,NBA_Bets[Winnings])-SUMIF(NBA_Bets[Date],L104,NBA_Bets[Risk])</f>
        <v>0</v>
      </c>
      <c r="Q104" s="89" t="str">
        <f>IFERROR("("&amp;ROUND((SUMIF(NBA_Bets[Date],L104,NBA_Bets[Winnings])-SUMIF(NBA_Bets[Date],L104,NBA_Bets[Risk]))/SUMIF(NBA_Bets[Date],L104,NBA_Bets[Risk]),2)*100&amp;"%)","")</f>
        <v/>
      </c>
    </row>
    <row r="105" spans="1:17" x14ac:dyDescent="0.25">
      <c r="A105" s="70">
        <f t="shared" si="6"/>
        <v>10</v>
      </c>
      <c r="B105" s="6">
        <v>43472</v>
      </c>
      <c r="C105" s="6" t="s">
        <v>297</v>
      </c>
      <c r="D105" s="7" t="s">
        <v>287</v>
      </c>
      <c r="E105" s="8" t="s">
        <v>289</v>
      </c>
      <c r="F105" s="66">
        <v>5</v>
      </c>
      <c r="G105" s="30">
        <v>-115</v>
      </c>
      <c r="H105" s="10" t="s">
        <v>37</v>
      </c>
      <c r="I10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10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05"/>
      <c r="L105" s="71">
        <f t="shared" si="7"/>
        <v>0</v>
      </c>
      <c r="M105" s="71" t="str">
        <f>IFERROR(VLOOKUP(L105,NBA_Bets[[Date]:[Version]],2,0),"")</f>
        <v/>
      </c>
      <c r="N105" s="130" t="str">
        <f>COUNTIFS(NBA_Bets[Date],L105,NBA_Bets[Result],"W")&amp;"-"&amp;COUNTIFS(NBA_Bets[Date],L105,NBA_Bets[Result],"L")&amp;IF(COUNTIFS(NBA_Bets[Date],L105,NBA_Bets[Result],"Push")&gt;0,"-"&amp;COUNTIFS(NBA_Bets[Date],L105,NBA_Bets[Result],"Push"),"")</f>
        <v>0-0</v>
      </c>
      <c r="O105" s="131" t="str">
        <f>IFERROR(COUNTIFS(NBA_Bets[Date],L105,NBA_Bets[Result],"W")/(COUNTIFS(NBA_Bets[Date],L105,NBA_Bets[Result],"W")+COUNTIFS(NBA_Bets[Date],L105,NBA_Bets[Result],"L")),"")</f>
        <v/>
      </c>
      <c r="P105" s="88">
        <f>SUMIF(NBA_Bets[Date],L105,NBA_Bets[Winnings])-SUMIF(NBA_Bets[Date],L105,NBA_Bets[Risk])</f>
        <v>0</v>
      </c>
      <c r="Q105" s="89" t="str">
        <f>IFERROR("("&amp;ROUND((SUMIF(NBA_Bets[Date],L105,NBA_Bets[Winnings])-SUMIF(NBA_Bets[Date],L105,NBA_Bets[Risk]))/SUMIF(NBA_Bets[Date],L105,NBA_Bets[Risk]),2)*100&amp;"%)","")</f>
        <v/>
      </c>
    </row>
    <row r="106" spans="1:17" x14ac:dyDescent="0.25">
      <c r="A106" s="70">
        <f t="shared" si="6"/>
        <v>10</v>
      </c>
      <c r="B106" s="6">
        <v>43472</v>
      </c>
      <c r="C106" s="6" t="s">
        <v>297</v>
      </c>
      <c r="D106" s="7" t="s">
        <v>290</v>
      </c>
      <c r="E106" s="8" t="s">
        <v>116</v>
      </c>
      <c r="F106" s="66">
        <v>5</v>
      </c>
      <c r="G106" s="30">
        <v>-115</v>
      </c>
      <c r="H106" s="10" t="s">
        <v>37</v>
      </c>
      <c r="I10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10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06"/>
      <c r="L106" s="71">
        <f t="shared" si="7"/>
        <v>0</v>
      </c>
      <c r="M106" s="71" t="str">
        <f>IFERROR(VLOOKUP(L106,NBA_Bets[[Date]:[Version]],2,0),"")</f>
        <v/>
      </c>
      <c r="N106" s="130" t="str">
        <f>COUNTIFS(NBA_Bets[Date],L106,NBA_Bets[Result],"W")&amp;"-"&amp;COUNTIFS(NBA_Bets[Date],L106,NBA_Bets[Result],"L")&amp;IF(COUNTIFS(NBA_Bets[Date],L106,NBA_Bets[Result],"Push")&gt;0,"-"&amp;COUNTIFS(NBA_Bets[Date],L106,NBA_Bets[Result],"Push"),"")</f>
        <v>0-0</v>
      </c>
      <c r="O106" s="131" t="str">
        <f>IFERROR(COUNTIFS(NBA_Bets[Date],L106,NBA_Bets[Result],"W")/(COUNTIFS(NBA_Bets[Date],L106,NBA_Bets[Result],"W")+COUNTIFS(NBA_Bets[Date],L106,NBA_Bets[Result],"L")),"")</f>
        <v/>
      </c>
      <c r="P106" s="88">
        <f>SUMIF(NBA_Bets[Date],L106,NBA_Bets[Winnings])-SUMIF(NBA_Bets[Date],L106,NBA_Bets[Risk])</f>
        <v>0</v>
      </c>
      <c r="Q106" s="89" t="str">
        <f>IFERROR("("&amp;ROUND((SUMIF(NBA_Bets[Date],L106,NBA_Bets[Winnings])-SUMIF(NBA_Bets[Date],L106,NBA_Bets[Risk]))/SUMIF(NBA_Bets[Date],L106,NBA_Bets[Risk]),2)*100&amp;"%)","")</f>
        <v/>
      </c>
    </row>
    <row r="107" spans="1:17" x14ac:dyDescent="0.25">
      <c r="A107" s="70">
        <f t="shared" si="6"/>
        <v>10</v>
      </c>
      <c r="B107" s="6">
        <v>43472</v>
      </c>
      <c r="C107" s="6" t="s">
        <v>297</v>
      </c>
      <c r="D107" s="7" t="s">
        <v>290</v>
      </c>
      <c r="E107" s="8" t="s">
        <v>291</v>
      </c>
      <c r="F107" s="66">
        <v>5</v>
      </c>
      <c r="G107" s="30">
        <v>-110</v>
      </c>
      <c r="H107" s="10" t="s">
        <v>37</v>
      </c>
      <c r="I10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0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07"/>
      <c r="L107" s="71">
        <f t="shared" si="7"/>
        <v>0</v>
      </c>
      <c r="M107" s="71" t="str">
        <f>IFERROR(VLOOKUP(L107,NBA_Bets[[Date]:[Version]],2,0),"")</f>
        <v/>
      </c>
      <c r="N107" s="130" t="str">
        <f>COUNTIFS(NBA_Bets[Date],L107,NBA_Bets[Result],"W")&amp;"-"&amp;COUNTIFS(NBA_Bets[Date],L107,NBA_Bets[Result],"L")&amp;IF(COUNTIFS(NBA_Bets[Date],L107,NBA_Bets[Result],"Push")&gt;0,"-"&amp;COUNTIFS(NBA_Bets[Date],L107,NBA_Bets[Result],"Push"),"")</f>
        <v>0-0</v>
      </c>
      <c r="O107" s="131" t="str">
        <f>IFERROR(COUNTIFS(NBA_Bets[Date],L107,NBA_Bets[Result],"W")/(COUNTIFS(NBA_Bets[Date],L107,NBA_Bets[Result],"W")+COUNTIFS(NBA_Bets[Date],L107,NBA_Bets[Result],"L")),"")</f>
        <v/>
      </c>
      <c r="P107" s="88">
        <f>SUMIF(NBA_Bets[Date],L107,NBA_Bets[Winnings])-SUMIF(NBA_Bets[Date],L107,NBA_Bets[Risk])</f>
        <v>0</v>
      </c>
      <c r="Q107" s="89" t="str">
        <f>IFERROR("("&amp;ROUND((SUMIF(NBA_Bets[Date],L107,NBA_Bets[Winnings])-SUMIF(NBA_Bets[Date],L107,NBA_Bets[Risk]))/SUMIF(NBA_Bets[Date],L107,NBA_Bets[Risk]),2)*100&amp;"%)","")</f>
        <v/>
      </c>
    </row>
    <row r="108" spans="1:17" x14ac:dyDescent="0.25">
      <c r="A108" s="70">
        <f t="shared" si="6"/>
        <v>10</v>
      </c>
      <c r="B108" s="6">
        <v>43472</v>
      </c>
      <c r="C108" s="6" t="s">
        <v>297</v>
      </c>
      <c r="D108" s="7" t="s">
        <v>290</v>
      </c>
      <c r="E108" s="8" t="s">
        <v>296</v>
      </c>
      <c r="F108" s="66">
        <v>5</v>
      </c>
      <c r="G108" s="30">
        <v>285</v>
      </c>
      <c r="H108" s="10" t="s">
        <v>37</v>
      </c>
      <c r="I10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19.25</v>
      </c>
      <c r="J10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108"/>
      <c r="L108" s="71">
        <f t="shared" si="7"/>
        <v>0</v>
      </c>
      <c r="M108" s="71" t="str">
        <f>IFERROR(VLOOKUP(L108,NBA_Bets[[Date]:[Version]],2,0),"")</f>
        <v/>
      </c>
      <c r="N108" s="130" t="str">
        <f>COUNTIFS(NBA_Bets[Date],L108,NBA_Bets[Result],"W")&amp;"-"&amp;COUNTIFS(NBA_Bets[Date],L108,NBA_Bets[Result],"L")&amp;IF(COUNTIFS(NBA_Bets[Date],L108,NBA_Bets[Result],"Push")&gt;0,"-"&amp;COUNTIFS(NBA_Bets[Date],L108,NBA_Bets[Result],"Push"),"")</f>
        <v>0-0</v>
      </c>
      <c r="O108" s="131" t="str">
        <f>IFERROR(COUNTIFS(NBA_Bets[Date],L108,NBA_Bets[Result],"W")/(COUNTIFS(NBA_Bets[Date],L108,NBA_Bets[Result],"W")+COUNTIFS(NBA_Bets[Date],L108,NBA_Bets[Result],"L")),"")</f>
        <v/>
      </c>
      <c r="P108" s="88">
        <f>SUMIF(NBA_Bets[Date],L108,NBA_Bets[Winnings])-SUMIF(NBA_Bets[Date],L108,NBA_Bets[Risk])</f>
        <v>0</v>
      </c>
      <c r="Q108" s="89"/>
    </row>
    <row r="109" spans="1:17" x14ac:dyDescent="0.25">
      <c r="A109" s="70">
        <f t="shared" si="6"/>
        <v>10</v>
      </c>
      <c r="B109" s="6">
        <v>43472</v>
      </c>
      <c r="C109" s="6" t="s">
        <v>297</v>
      </c>
      <c r="D109" s="7" t="s">
        <v>292</v>
      </c>
      <c r="E109" s="8" t="s">
        <v>293</v>
      </c>
      <c r="F109" s="66">
        <v>5</v>
      </c>
      <c r="G109" s="30">
        <v>-110</v>
      </c>
      <c r="H109" s="10" t="s">
        <v>7</v>
      </c>
      <c r="I10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0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09"/>
      <c r="L109" s="71">
        <f t="shared" si="7"/>
        <v>0</v>
      </c>
      <c r="M109" s="71" t="str">
        <f>IFERROR(VLOOKUP(L109,NBA_Bets[[Date]:[Version]],2,0),"")</f>
        <v/>
      </c>
      <c r="N109" s="130" t="str">
        <f>COUNTIFS(NBA_Bets[Date],L109,NBA_Bets[Result],"W")&amp;"-"&amp;COUNTIFS(NBA_Bets[Date],L109,NBA_Bets[Result],"L")&amp;IF(COUNTIFS(NBA_Bets[Date],L109,NBA_Bets[Result],"Push")&gt;0,"-"&amp;COUNTIFS(NBA_Bets[Date],L109,NBA_Bets[Result],"Push"),"")</f>
        <v>0-0</v>
      </c>
      <c r="O109" s="131" t="str">
        <f>IFERROR(COUNTIFS(NBA_Bets[Date],L109,NBA_Bets[Result],"W")/(COUNTIFS(NBA_Bets[Date],L109,NBA_Bets[Result],"W")+COUNTIFS(NBA_Bets[Date],L109,NBA_Bets[Result],"L")),"")</f>
        <v/>
      </c>
      <c r="P109" s="88">
        <f>SUMIF(NBA_Bets[Date],L109,NBA_Bets[Winnings])-SUMIF(NBA_Bets[Date],L109,NBA_Bets[Risk])</f>
        <v>0</v>
      </c>
      <c r="Q109" s="89" t="str">
        <f>IFERROR("("&amp;ROUND((SUMIF(NBA_Bets[Date],L109,NBA_Bets[Winnings])-SUMIF(NBA_Bets[Date],L109,NBA_Bets[Risk]))/SUMIF(NBA_Bets[Date],L109,NBA_Bets[Risk]),2)*100&amp;"%)","")</f>
        <v/>
      </c>
    </row>
    <row r="110" spans="1:17" x14ac:dyDescent="0.25">
      <c r="A110" s="70">
        <f t="shared" si="6"/>
        <v>10</v>
      </c>
      <c r="B110" s="6">
        <v>43472</v>
      </c>
      <c r="C110" s="6" t="s">
        <v>297</v>
      </c>
      <c r="D110" s="7" t="s">
        <v>294</v>
      </c>
      <c r="E110" s="8" t="s">
        <v>283</v>
      </c>
      <c r="F110" s="66">
        <v>5</v>
      </c>
      <c r="G110" s="30">
        <v>-105</v>
      </c>
      <c r="H110" s="10" t="s">
        <v>37</v>
      </c>
      <c r="I11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11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10"/>
      <c r="L110" s="71">
        <f t="shared" si="7"/>
        <v>0</v>
      </c>
      <c r="M110" s="71" t="str">
        <f>IFERROR(VLOOKUP(L110,NBA_Bets[[Date]:[Version]],2,0),"")</f>
        <v/>
      </c>
      <c r="N110" s="130" t="str">
        <f>COUNTIFS(NBA_Bets[Date],L110,NBA_Bets[Result],"W")&amp;"-"&amp;COUNTIFS(NBA_Bets[Date],L110,NBA_Bets[Result],"L")&amp;IF(COUNTIFS(NBA_Bets[Date],L110,NBA_Bets[Result],"Push")&gt;0,"-"&amp;COUNTIFS(NBA_Bets[Date],L110,NBA_Bets[Result],"Push"),"")</f>
        <v>0-0</v>
      </c>
      <c r="O110" s="131" t="str">
        <f>IFERROR(COUNTIFS(NBA_Bets[Date],L110,NBA_Bets[Result],"W")/(COUNTIFS(NBA_Bets[Date],L110,NBA_Bets[Result],"W")+COUNTIFS(NBA_Bets[Date],L110,NBA_Bets[Result],"L")),"")</f>
        <v/>
      </c>
      <c r="P110" s="88">
        <f>SUMIF(NBA_Bets[Date],L110,NBA_Bets[Winnings])-SUMIF(NBA_Bets[Date],L110,NBA_Bets[Risk])</f>
        <v>0</v>
      </c>
      <c r="Q110" s="89" t="str">
        <f>IFERROR("("&amp;ROUND((SUMIF(NBA_Bets[Date],L110,NBA_Bets[Winnings])-SUMIF(NBA_Bets[Date],L110,NBA_Bets[Risk]))/SUMIF(NBA_Bets[Date],L110,NBA_Bets[Risk]),2)*100&amp;"%)","")</f>
        <v/>
      </c>
    </row>
    <row r="111" spans="1:17" x14ac:dyDescent="0.25">
      <c r="A111" s="70">
        <f t="shared" si="6"/>
        <v>10</v>
      </c>
      <c r="B111" s="6">
        <v>43472</v>
      </c>
      <c r="C111" s="6" t="s">
        <v>297</v>
      </c>
      <c r="D111" s="7" t="s">
        <v>294</v>
      </c>
      <c r="E111" s="8" t="s">
        <v>295</v>
      </c>
      <c r="F111" s="66">
        <v>5</v>
      </c>
      <c r="G111" s="30">
        <v>-105</v>
      </c>
      <c r="H111" s="10" t="s">
        <v>37</v>
      </c>
      <c r="I11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11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11"/>
      <c r="L111" s="71">
        <f t="shared" si="7"/>
        <v>0</v>
      </c>
      <c r="M111" s="71" t="str">
        <f>IFERROR(VLOOKUP(L111,NBA_Bets[[Date]:[Version]],2,0),"")</f>
        <v/>
      </c>
      <c r="N111" s="130" t="str">
        <f>COUNTIFS(NBA_Bets[Date],L111,NBA_Bets[Result],"W")&amp;"-"&amp;COUNTIFS(NBA_Bets[Date],L111,NBA_Bets[Result],"L")&amp;IF(COUNTIFS(NBA_Bets[Date],L111,NBA_Bets[Result],"Push")&gt;0,"-"&amp;COUNTIFS(NBA_Bets[Date],L111,NBA_Bets[Result],"Push"),"")</f>
        <v>0-0</v>
      </c>
      <c r="O111" s="131" t="str">
        <f>IFERROR(COUNTIFS(NBA_Bets[Date],L111,NBA_Bets[Result],"W")/(COUNTIFS(NBA_Bets[Date],L111,NBA_Bets[Result],"W")+COUNTIFS(NBA_Bets[Date],L111,NBA_Bets[Result],"L")),"")</f>
        <v/>
      </c>
      <c r="P111" s="88">
        <f>SUMIF(NBA_Bets[Date],L111,NBA_Bets[Winnings])-SUMIF(NBA_Bets[Date],L111,NBA_Bets[Risk])</f>
        <v>0</v>
      </c>
      <c r="Q111" s="89" t="str">
        <f>IFERROR("("&amp;ROUND((SUMIF(NBA_Bets[Date],L111,NBA_Bets[Winnings])-SUMIF(NBA_Bets[Date],L111,NBA_Bets[Risk]))/SUMIF(NBA_Bets[Date],L111,NBA_Bets[Risk]),2)*100&amp;"%)","")</f>
        <v/>
      </c>
    </row>
    <row r="112" spans="1:17" x14ac:dyDescent="0.25">
      <c r="A112" s="70">
        <f t="shared" si="6"/>
        <v>11</v>
      </c>
      <c r="B112" s="6">
        <v>43473</v>
      </c>
      <c r="C112" s="6" t="s">
        <v>297</v>
      </c>
      <c r="D112" s="7" t="s">
        <v>303</v>
      </c>
      <c r="E112" s="8" t="s">
        <v>304</v>
      </c>
      <c r="F112" s="66">
        <v>5</v>
      </c>
      <c r="G112" s="30">
        <v>-110</v>
      </c>
      <c r="H112" s="10" t="s">
        <v>7</v>
      </c>
      <c r="I11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1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12"/>
      <c r="L112" s="71">
        <f t="shared" si="7"/>
        <v>0</v>
      </c>
      <c r="M112" s="71" t="str">
        <f>IFERROR(VLOOKUP(L112,NBA_Bets[[Date]:[Version]],2,0),"")</f>
        <v/>
      </c>
      <c r="N112" s="130" t="str">
        <f>COUNTIFS(NBA_Bets[Date],L112,NBA_Bets[Result],"W")&amp;"-"&amp;COUNTIFS(NBA_Bets[Date],L112,NBA_Bets[Result],"L")&amp;IF(COUNTIFS(NBA_Bets[Date],L112,NBA_Bets[Result],"Push")&gt;0,"-"&amp;COUNTIFS(NBA_Bets[Date],L112,NBA_Bets[Result],"Push"),"")</f>
        <v>0-0</v>
      </c>
      <c r="O112" s="131" t="str">
        <f>IFERROR(COUNTIFS(NBA_Bets[Date],L112,NBA_Bets[Result],"W")/(COUNTIFS(NBA_Bets[Date],L112,NBA_Bets[Result],"W")+COUNTIFS(NBA_Bets[Date],L112,NBA_Bets[Result],"L")),"")</f>
        <v/>
      </c>
      <c r="P112" s="88">
        <f>SUMIF(NBA_Bets[Date],L112,NBA_Bets[Winnings])-SUMIF(NBA_Bets[Date],L112,NBA_Bets[Risk])</f>
        <v>0</v>
      </c>
      <c r="Q112" s="89" t="str">
        <f>IFERROR("("&amp;ROUND((SUMIF(NBA_Bets[Date],L112,NBA_Bets[Winnings])-SUMIF(NBA_Bets[Date],L112,NBA_Bets[Risk]))/SUMIF(NBA_Bets[Date],L112,NBA_Bets[Risk]),2)*100&amp;"%)","")</f>
        <v/>
      </c>
    </row>
    <row r="113" spans="1:17" x14ac:dyDescent="0.25">
      <c r="A113" s="70">
        <f t="shared" si="6"/>
        <v>11</v>
      </c>
      <c r="B113" s="6">
        <v>43473</v>
      </c>
      <c r="C113" s="6" t="s">
        <v>297</v>
      </c>
      <c r="D113" s="7" t="s">
        <v>303</v>
      </c>
      <c r="E113" s="8" t="s">
        <v>305</v>
      </c>
      <c r="F113" s="66">
        <v>5</v>
      </c>
      <c r="G113" s="30">
        <v>-110</v>
      </c>
      <c r="H113" s="10" t="s">
        <v>7</v>
      </c>
      <c r="I11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1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13"/>
      <c r="L113" s="71">
        <f t="shared" si="7"/>
        <v>0</v>
      </c>
      <c r="M113" s="71" t="str">
        <f>IFERROR(VLOOKUP(L113,NBA_Bets[[Date]:[Version]],2,0),"")</f>
        <v/>
      </c>
      <c r="N113" s="130" t="str">
        <f>COUNTIFS(NBA_Bets[Date],L113,NBA_Bets[Result],"W")&amp;"-"&amp;COUNTIFS(NBA_Bets[Date],L113,NBA_Bets[Result],"L")&amp;IF(COUNTIFS(NBA_Bets[Date],L113,NBA_Bets[Result],"Push")&gt;0,"-"&amp;COUNTIFS(NBA_Bets[Date],L113,NBA_Bets[Result],"Push"),"")</f>
        <v>0-0</v>
      </c>
      <c r="O113" s="131" t="str">
        <f>IFERROR(COUNTIFS(NBA_Bets[Date],L113,NBA_Bets[Result],"W")/(COUNTIFS(NBA_Bets[Date],L113,NBA_Bets[Result],"W")+COUNTIFS(NBA_Bets[Date],L113,NBA_Bets[Result],"L")),"")</f>
        <v/>
      </c>
      <c r="P113" s="88">
        <f>SUMIF(NBA_Bets[Date],L113,NBA_Bets[Winnings])-SUMIF(NBA_Bets[Date],L113,NBA_Bets[Risk])</f>
        <v>0</v>
      </c>
      <c r="Q113" s="89" t="str">
        <f>IFERROR("("&amp;ROUND((SUMIF(NBA_Bets[Date],L113,NBA_Bets[Winnings])-SUMIF(NBA_Bets[Date],L113,NBA_Bets[Risk]))/SUMIF(NBA_Bets[Date],L113,NBA_Bets[Risk]),2)*100&amp;"%)","")</f>
        <v/>
      </c>
    </row>
    <row r="114" spans="1:17" x14ac:dyDescent="0.25">
      <c r="A114" s="70">
        <f t="shared" si="6"/>
        <v>11</v>
      </c>
      <c r="B114" s="6">
        <v>43473</v>
      </c>
      <c r="C114" s="6" t="s">
        <v>297</v>
      </c>
      <c r="D114" s="7" t="s">
        <v>306</v>
      </c>
      <c r="E114" s="8" t="s">
        <v>224</v>
      </c>
      <c r="F114" s="66">
        <v>5</v>
      </c>
      <c r="G114" s="30">
        <v>-105</v>
      </c>
      <c r="H114" s="10" t="s">
        <v>37</v>
      </c>
      <c r="I11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11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14"/>
      <c r="L114" s="71">
        <f t="shared" si="7"/>
        <v>0</v>
      </c>
      <c r="M114" s="71" t="str">
        <f>IFERROR(VLOOKUP(L114,NBA_Bets[[Date]:[Version]],2,0),"")</f>
        <v/>
      </c>
      <c r="N114" s="130" t="str">
        <f>COUNTIFS(NBA_Bets[Date],L114,NBA_Bets[Result],"W")&amp;"-"&amp;COUNTIFS(NBA_Bets[Date],L114,NBA_Bets[Result],"L")&amp;IF(COUNTIFS(NBA_Bets[Date],L114,NBA_Bets[Result],"Push")&gt;0,"-"&amp;COUNTIFS(NBA_Bets[Date],L114,NBA_Bets[Result],"Push"),"")</f>
        <v>0-0</v>
      </c>
      <c r="O114" s="131" t="str">
        <f>IFERROR(COUNTIFS(NBA_Bets[Date],L114,NBA_Bets[Result],"W")/(COUNTIFS(NBA_Bets[Date],L114,NBA_Bets[Result],"W")+COUNTIFS(NBA_Bets[Date],L114,NBA_Bets[Result],"L")),"")</f>
        <v/>
      </c>
      <c r="P114" s="88">
        <f>SUMIF(NBA_Bets[Date],L114,NBA_Bets[Winnings])-SUMIF(NBA_Bets[Date],L114,NBA_Bets[Risk])</f>
        <v>0</v>
      </c>
      <c r="Q114" s="89" t="str">
        <f>IFERROR("("&amp;ROUND((SUMIF(NBA_Bets[Date],L114,NBA_Bets[Winnings])-SUMIF(NBA_Bets[Date],L114,NBA_Bets[Risk]))/SUMIF(NBA_Bets[Date],L114,NBA_Bets[Risk]),2)*100&amp;"%)","")</f>
        <v/>
      </c>
    </row>
    <row r="115" spans="1:17" x14ac:dyDescent="0.25">
      <c r="A115" s="70">
        <f t="shared" si="6"/>
        <v>11</v>
      </c>
      <c r="B115" s="6">
        <v>43473</v>
      </c>
      <c r="C115" s="6" t="s">
        <v>297</v>
      </c>
      <c r="D115" s="7" t="s">
        <v>306</v>
      </c>
      <c r="E115" s="8" t="s">
        <v>307</v>
      </c>
      <c r="F115" s="66">
        <v>5</v>
      </c>
      <c r="G115" s="30">
        <v>-110</v>
      </c>
      <c r="H115" s="10" t="s">
        <v>7</v>
      </c>
      <c r="I11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1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15"/>
      <c r="L115" s="71">
        <f t="shared" si="7"/>
        <v>0</v>
      </c>
      <c r="M115" s="71" t="str">
        <f>IFERROR(VLOOKUP(L115,NBA_Bets[[Date]:[Version]],2,0),"")</f>
        <v/>
      </c>
      <c r="N115" s="130" t="str">
        <f>COUNTIFS(NBA_Bets[Date],L115,NBA_Bets[Result],"W")&amp;"-"&amp;COUNTIFS(NBA_Bets[Date],L115,NBA_Bets[Result],"L")&amp;IF(COUNTIFS(NBA_Bets[Date],L115,NBA_Bets[Result],"Push")&gt;0,"-"&amp;COUNTIFS(NBA_Bets[Date],L115,NBA_Bets[Result],"Push"),"")</f>
        <v>0-0</v>
      </c>
      <c r="O115" s="131" t="str">
        <f>IFERROR(COUNTIFS(NBA_Bets[Date],L115,NBA_Bets[Result],"W")/(COUNTIFS(NBA_Bets[Date],L115,NBA_Bets[Result],"W")+COUNTIFS(NBA_Bets[Date],L115,NBA_Bets[Result],"L")),"")</f>
        <v/>
      </c>
      <c r="P115" s="88">
        <f>SUMIF(NBA_Bets[Date],L115,NBA_Bets[Winnings])-SUMIF(NBA_Bets[Date],L115,NBA_Bets[Risk])</f>
        <v>0</v>
      </c>
      <c r="Q115" s="89" t="str">
        <f>IFERROR("("&amp;ROUND((SUMIF(NBA_Bets[Date],L115,NBA_Bets[Winnings])-SUMIF(NBA_Bets[Date],L115,NBA_Bets[Risk]))/SUMIF(NBA_Bets[Date],L115,NBA_Bets[Risk]),2)*100&amp;"%)","")</f>
        <v/>
      </c>
    </row>
    <row r="116" spans="1:17" x14ac:dyDescent="0.25">
      <c r="A116" s="70">
        <f t="shared" si="6"/>
        <v>11</v>
      </c>
      <c r="B116" s="6">
        <v>43473</v>
      </c>
      <c r="C116" s="6" t="s">
        <v>297</v>
      </c>
      <c r="D116" s="7" t="s">
        <v>308</v>
      </c>
      <c r="E116" s="8" t="s">
        <v>194</v>
      </c>
      <c r="F116" s="66">
        <v>5</v>
      </c>
      <c r="G116" s="30">
        <v>-110</v>
      </c>
      <c r="H116" s="10" t="s">
        <v>37</v>
      </c>
      <c r="I11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1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16"/>
      <c r="L116" s="71">
        <f t="shared" si="7"/>
        <v>0</v>
      </c>
      <c r="M116" s="71" t="str">
        <f>IFERROR(VLOOKUP(L116,NBA_Bets[[Date]:[Version]],2,0),"")</f>
        <v/>
      </c>
      <c r="N116" s="130" t="str">
        <f>COUNTIFS(NBA_Bets[Date],L116,NBA_Bets[Result],"W")&amp;"-"&amp;COUNTIFS(NBA_Bets[Date],L116,NBA_Bets[Result],"L")&amp;IF(COUNTIFS(NBA_Bets[Date],L116,NBA_Bets[Result],"Push")&gt;0,"-"&amp;COUNTIFS(NBA_Bets[Date],L116,NBA_Bets[Result],"Push"),"")</f>
        <v>0-0</v>
      </c>
      <c r="O116" s="131" t="str">
        <f>IFERROR(COUNTIFS(NBA_Bets[Date],L116,NBA_Bets[Result],"W")/(COUNTIFS(NBA_Bets[Date],L116,NBA_Bets[Result],"W")+COUNTIFS(NBA_Bets[Date],L116,NBA_Bets[Result],"L")),"")</f>
        <v/>
      </c>
      <c r="P116" s="88">
        <f>SUMIF(NBA_Bets[Date],L116,NBA_Bets[Winnings])-SUMIF(NBA_Bets[Date],L116,NBA_Bets[Risk])</f>
        <v>0</v>
      </c>
      <c r="Q116" s="89" t="str">
        <f>IFERROR("("&amp;ROUND((SUMIF(NBA_Bets[Date],L116,NBA_Bets[Winnings])-SUMIF(NBA_Bets[Date],L116,NBA_Bets[Risk]))/SUMIF(NBA_Bets[Date],L116,NBA_Bets[Risk]),2)*100&amp;"%)","")</f>
        <v/>
      </c>
    </row>
    <row r="117" spans="1:17" x14ac:dyDescent="0.25">
      <c r="A117" s="70">
        <f t="shared" si="6"/>
        <v>11</v>
      </c>
      <c r="B117" s="6">
        <v>43473</v>
      </c>
      <c r="C117" s="6" t="s">
        <v>297</v>
      </c>
      <c r="D117" s="7" t="s">
        <v>308</v>
      </c>
      <c r="E117" s="8" t="s">
        <v>195</v>
      </c>
      <c r="F117" s="66">
        <v>5</v>
      </c>
      <c r="G117" s="30">
        <v>100</v>
      </c>
      <c r="H117" s="10" t="s">
        <v>37</v>
      </c>
      <c r="I11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</v>
      </c>
      <c r="J11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117"/>
      <c r="L117" s="71">
        <f t="shared" si="7"/>
        <v>0</v>
      </c>
      <c r="M117" s="71" t="str">
        <f>IFERROR(VLOOKUP(L117,NBA_Bets[[Date]:[Version]],2,0),"")</f>
        <v/>
      </c>
      <c r="N117" s="130" t="str">
        <f>COUNTIFS(NBA_Bets[Date],L117,NBA_Bets[Result],"W")&amp;"-"&amp;COUNTIFS(NBA_Bets[Date],L117,NBA_Bets[Result],"L")&amp;IF(COUNTIFS(NBA_Bets[Date],L117,NBA_Bets[Result],"Push")&gt;0,"-"&amp;COUNTIFS(NBA_Bets[Date],L117,NBA_Bets[Result],"Push"),"")</f>
        <v>0-0</v>
      </c>
      <c r="O117" s="131" t="str">
        <f>IFERROR(COUNTIFS(NBA_Bets[Date],L117,NBA_Bets[Result],"W")/(COUNTIFS(NBA_Bets[Date],L117,NBA_Bets[Result],"W")+COUNTIFS(NBA_Bets[Date],L117,NBA_Bets[Result],"L")),"")</f>
        <v/>
      </c>
      <c r="P117" s="88">
        <f>SUMIF(NBA_Bets[Date],L117,NBA_Bets[Winnings])-SUMIF(NBA_Bets[Date],L117,NBA_Bets[Risk])</f>
        <v>0</v>
      </c>
      <c r="Q117" s="89" t="str">
        <f>IFERROR("("&amp;ROUND((SUMIF(NBA_Bets[Date],L117,NBA_Bets[Winnings])-SUMIF(NBA_Bets[Date],L117,NBA_Bets[Risk]))/SUMIF(NBA_Bets[Date],L117,NBA_Bets[Risk]),2)*100&amp;"%)","")</f>
        <v/>
      </c>
    </row>
    <row r="118" spans="1:17" x14ac:dyDescent="0.25">
      <c r="A118" s="70">
        <f t="shared" si="6"/>
        <v>11</v>
      </c>
      <c r="B118" s="6">
        <v>43473</v>
      </c>
      <c r="C118" s="6" t="s">
        <v>297</v>
      </c>
      <c r="D118" s="7" t="s">
        <v>309</v>
      </c>
      <c r="E118" s="8" t="s">
        <v>233</v>
      </c>
      <c r="F118" s="66">
        <v>5</v>
      </c>
      <c r="G118" s="30">
        <v>-115</v>
      </c>
      <c r="H118" s="10" t="s">
        <v>7</v>
      </c>
      <c r="I11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1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18"/>
      <c r="L118" s="71">
        <f t="shared" si="7"/>
        <v>0</v>
      </c>
      <c r="M118" s="71" t="str">
        <f>IFERROR(VLOOKUP(L118,NBA_Bets[[Date]:[Version]],2,0),"")</f>
        <v/>
      </c>
      <c r="N118" s="130" t="str">
        <f>COUNTIFS(NBA_Bets[Date],L118,NBA_Bets[Result],"W")&amp;"-"&amp;COUNTIFS(NBA_Bets[Date],L118,NBA_Bets[Result],"L")&amp;IF(COUNTIFS(NBA_Bets[Date],L118,NBA_Bets[Result],"Push")&gt;0,"-"&amp;COUNTIFS(NBA_Bets[Date],L118,NBA_Bets[Result],"Push"),"")</f>
        <v>0-0</v>
      </c>
      <c r="O118" s="131" t="str">
        <f>IFERROR(COUNTIFS(NBA_Bets[Date],L118,NBA_Bets[Result],"W")/(COUNTIFS(NBA_Bets[Date],L118,NBA_Bets[Result],"W")+COUNTIFS(NBA_Bets[Date],L118,NBA_Bets[Result],"L")),"")</f>
        <v/>
      </c>
      <c r="P118" s="88">
        <f>SUMIF(NBA_Bets[Date],L118,NBA_Bets[Winnings])-SUMIF(NBA_Bets[Date],L118,NBA_Bets[Risk])</f>
        <v>0</v>
      </c>
      <c r="Q118" s="89" t="str">
        <f>IFERROR("("&amp;ROUND((SUMIF(NBA_Bets[Date],L118,NBA_Bets[Winnings])-SUMIF(NBA_Bets[Date],L118,NBA_Bets[Risk]))/SUMIF(NBA_Bets[Date],L118,NBA_Bets[Risk]),2)*100&amp;"%)","")</f>
        <v/>
      </c>
    </row>
    <row r="119" spans="1:17" x14ac:dyDescent="0.25">
      <c r="A119" s="70">
        <f t="shared" si="6"/>
        <v>11</v>
      </c>
      <c r="B119" s="6">
        <v>43473</v>
      </c>
      <c r="C119" s="6" t="s">
        <v>297</v>
      </c>
      <c r="D119" s="7" t="s">
        <v>309</v>
      </c>
      <c r="E119" s="8" t="s">
        <v>310</v>
      </c>
      <c r="F119" s="66">
        <v>5</v>
      </c>
      <c r="G119" s="30">
        <v>-110</v>
      </c>
      <c r="H119" s="10" t="s">
        <v>37</v>
      </c>
      <c r="I11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1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19"/>
      <c r="L119" s="71">
        <f t="shared" si="7"/>
        <v>0</v>
      </c>
      <c r="M119" s="71" t="str">
        <f>IFERROR(VLOOKUP(L119,NBA_Bets[[Date]:[Version]],2,0),"")</f>
        <v/>
      </c>
      <c r="N119" s="130" t="str">
        <f>COUNTIFS(NBA_Bets[Date],L119,NBA_Bets[Result],"W")&amp;"-"&amp;COUNTIFS(NBA_Bets[Date],L119,NBA_Bets[Result],"L")&amp;IF(COUNTIFS(NBA_Bets[Date],L119,NBA_Bets[Result],"Push")&gt;0,"-"&amp;COUNTIFS(NBA_Bets[Date],L119,NBA_Bets[Result],"Push"),"")</f>
        <v>0-0</v>
      </c>
      <c r="O119" s="131" t="str">
        <f>IFERROR(COUNTIFS(NBA_Bets[Date],L119,NBA_Bets[Result],"W")/(COUNTIFS(NBA_Bets[Date],L119,NBA_Bets[Result],"W")+COUNTIFS(NBA_Bets[Date],L119,NBA_Bets[Result],"L")),"")</f>
        <v/>
      </c>
      <c r="P119" s="88">
        <f>SUMIF(NBA_Bets[Date],L119,NBA_Bets[Winnings])-SUMIF(NBA_Bets[Date],L119,NBA_Bets[Risk])</f>
        <v>0</v>
      </c>
      <c r="Q119" s="89" t="str">
        <f>IFERROR("("&amp;ROUND((SUMIF(NBA_Bets[Date],L119,NBA_Bets[Winnings])-SUMIF(NBA_Bets[Date],L119,NBA_Bets[Risk]))/SUMIF(NBA_Bets[Date],L119,NBA_Bets[Risk]),2)*100&amp;"%)","")</f>
        <v/>
      </c>
    </row>
    <row r="120" spans="1:17" x14ac:dyDescent="0.25">
      <c r="A120" s="70">
        <f t="shared" si="6"/>
        <v>11</v>
      </c>
      <c r="B120" s="6">
        <v>43473</v>
      </c>
      <c r="C120" s="6" t="s">
        <v>297</v>
      </c>
      <c r="D120" s="7" t="s">
        <v>311</v>
      </c>
      <c r="E120" s="8" t="s">
        <v>219</v>
      </c>
      <c r="F120" s="66">
        <v>5</v>
      </c>
      <c r="G120" s="30">
        <v>-110</v>
      </c>
      <c r="H120" s="10" t="s">
        <v>37</v>
      </c>
      <c r="I12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2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20"/>
      <c r="L120" s="71">
        <f t="shared" si="7"/>
        <v>0</v>
      </c>
      <c r="M120" s="71" t="str">
        <f>IFERROR(VLOOKUP(L120,NBA_Bets[[Date]:[Version]],2,0),"")</f>
        <v/>
      </c>
      <c r="N120" s="130" t="str">
        <f>COUNTIFS(NBA_Bets[Date],L120,NBA_Bets[Result],"W")&amp;"-"&amp;COUNTIFS(NBA_Bets[Date],L120,NBA_Bets[Result],"L")&amp;IF(COUNTIFS(NBA_Bets[Date],L120,NBA_Bets[Result],"Push")&gt;0,"-"&amp;COUNTIFS(NBA_Bets[Date],L120,NBA_Bets[Result],"Push"),"")</f>
        <v>0-0</v>
      </c>
      <c r="O120" s="131" t="str">
        <f>IFERROR(COUNTIFS(NBA_Bets[Date],L120,NBA_Bets[Result],"W")/(COUNTIFS(NBA_Bets[Date],L120,NBA_Bets[Result],"W")+COUNTIFS(NBA_Bets[Date],L120,NBA_Bets[Result],"L")),"")</f>
        <v/>
      </c>
      <c r="P120" s="88">
        <f>SUMIF(NBA_Bets[Date],L120,NBA_Bets[Winnings])-SUMIF(NBA_Bets[Date],L120,NBA_Bets[Risk])</f>
        <v>0</v>
      </c>
      <c r="Q120" s="89" t="str">
        <f>IFERROR("("&amp;ROUND((SUMIF(NBA_Bets[Date],L120,NBA_Bets[Winnings])-SUMIF(NBA_Bets[Date],L120,NBA_Bets[Risk]))/SUMIF(NBA_Bets[Date],L120,NBA_Bets[Risk]),2)*100&amp;"%)","")</f>
        <v/>
      </c>
    </row>
    <row r="121" spans="1:17" x14ac:dyDescent="0.25">
      <c r="A121" s="70">
        <f t="shared" si="6"/>
        <v>11</v>
      </c>
      <c r="B121" s="6">
        <v>43473</v>
      </c>
      <c r="C121" s="6" t="s">
        <v>297</v>
      </c>
      <c r="D121" s="7" t="s">
        <v>311</v>
      </c>
      <c r="E121" s="8" t="s">
        <v>312</v>
      </c>
      <c r="F121" s="66">
        <v>5</v>
      </c>
      <c r="G121" s="30">
        <v>-110</v>
      </c>
      <c r="H121" s="10" t="s">
        <v>7</v>
      </c>
      <c r="I12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2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21"/>
      <c r="L121" s="71">
        <f t="shared" si="7"/>
        <v>0</v>
      </c>
      <c r="M121" s="71" t="str">
        <f>IFERROR(VLOOKUP(L121,NBA_Bets[[Date]:[Version]],2,0),"")</f>
        <v/>
      </c>
      <c r="N121" s="130" t="str">
        <f>COUNTIFS(NBA_Bets[Date],L121,NBA_Bets[Result],"W")&amp;"-"&amp;COUNTIFS(NBA_Bets[Date],L121,NBA_Bets[Result],"L")&amp;IF(COUNTIFS(NBA_Bets[Date],L121,NBA_Bets[Result],"Push")&gt;0,"-"&amp;COUNTIFS(NBA_Bets[Date],L121,NBA_Bets[Result],"Push"),"")</f>
        <v>0-0</v>
      </c>
      <c r="O121" s="131" t="str">
        <f>IFERROR(COUNTIFS(NBA_Bets[Date],L121,NBA_Bets[Result],"W")/(COUNTIFS(NBA_Bets[Date],L121,NBA_Bets[Result],"W")+COUNTIFS(NBA_Bets[Date],L121,NBA_Bets[Result],"L")),"")</f>
        <v/>
      </c>
      <c r="P121" s="88">
        <f>SUMIF(NBA_Bets[Date],L121,NBA_Bets[Winnings])-SUMIF(NBA_Bets[Date],L121,NBA_Bets[Risk])</f>
        <v>0</v>
      </c>
      <c r="Q121" s="89" t="str">
        <f>IFERROR("("&amp;ROUND((SUMIF(NBA_Bets[Date],L121,NBA_Bets[Winnings])-SUMIF(NBA_Bets[Date],L121,NBA_Bets[Risk]))/SUMIF(NBA_Bets[Date],L121,NBA_Bets[Risk]),2)*100&amp;"%)","")</f>
        <v/>
      </c>
    </row>
    <row r="122" spans="1:17" x14ac:dyDescent="0.25">
      <c r="A122" s="70">
        <f t="shared" si="6"/>
        <v>11</v>
      </c>
      <c r="B122" s="6">
        <v>43473</v>
      </c>
      <c r="C122" s="6" t="s">
        <v>297</v>
      </c>
      <c r="D122" s="7" t="s">
        <v>313</v>
      </c>
      <c r="E122" s="8" t="s">
        <v>174</v>
      </c>
      <c r="F122" s="66">
        <v>5</v>
      </c>
      <c r="G122" s="30">
        <v>-105</v>
      </c>
      <c r="H122" s="10" t="s">
        <v>37</v>
      </c>
      <c r="I12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12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22"/>
      <c r="L122" s="71">
        <f t="shared" si="7"/>
        <v>0</v>
      </c>
      <c r="M122" s="71" t="str">
        <f>IFERROR(VLOOKUP(L122,NBA_Bets[[Date]:[Version]],2,0),"")</f>
        <v/>
      </c>
      <c r="N122" s="130" t="str">
        <f>COUNTIFS(NBA_Bets[Date],L122,NBA_Bets[Result],"W")&amp;"-"&amp;COUNTIFS(NBA_Bets[Date],L122,NBA_Bets[Result],"L")&amp;IF(COUNTIFS(NBA_Bets[Date],L122,NBA_Bets[Result],"Push")&gt;0,"-"&amp;COUNTIFS(NBA_Bets[Date],L122,NBA_Bets[Result],"Push"),"")</f>
        <v>0-0</v>
      </c>
      <c r="O122" s="131" t="str">
        <f>IFERROR(COUNTIFS(NBA_Bets[Date],L122,NBA_Bets[Result],"W")/(COUNTIFS(NBA_Bets[Date],L122,NBA_Bets[Result],"W")+COUNTIFS(NBA_Bets[Date],L122,NBA_Bets[Result],"L")),"")</f>
        <v/>
      </c>
      <c r="P122" s="88">
        <f>SUMIF(NBA_Bets[Date],L122,NBA_Bets[Winnings])-SUMIF(NBA_Bets[Date],L122,NBA_Bets[Risk])</f>
        <v>0</v>
      </c>
      <c r="Q122" s="89" t="str">
        <f>IFERROR("("&amp;ROUND((SUMIF(NBA_Bets[Date],L122,NBA_Bets[Winnings])-SUMIF(NBA_Bets[Date],L122,NBA_Bets[Risk]))/SUMIF(NBA_Bets[Date],L122,NBA_Bets[Risk]),2)*100&amp;"%)","")</f>
        <v/>
      </c>
    </row>
    <row r="123" spans="1:17" x14ac:dyDescent="0.25">
      <c r="A123" s="70">
        <f t="shared" si="6"/>
        <v>11</v>
      </c>
      <c r="B123" s="6">
        <v>43473</v>
      </c>
      <c r="C123" s="6" t="s">
        <v>297</v>
      </c>
      <c r="D123" s="7" t="s">
        <v>313</v>
      </c>
      <c r="E123" s="8" t="s">
        <v>314</v>
      </c>
      <c r="F123" s="66">
        <v>5</v>
      </c>
      <c r="G123" s="30">
        <v>-115</v>
      </c>
      <c r="H123" s="10" t="s">
        <v>37</v>
      </c>
      <c r="I12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12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23"/>
      <c r="L123" s="71">
        <f t="shared" si="7"/>
        <v>0</v>
      </c>
      <c r="M123" s="71" t="str">
        <f>IFERROR(VLOOKUP(L123,NBA_Bets[[Date]:[Version]],2,0),"")</f>
        <v/>
      </c>
      <c r="N123" s="130" t="str">
        <f>COUNTIFS(NBA_Bets[Date],L123,NBA_Bets[Result],"W")&amp;"-"&amp;COUNTIFS(NBA_Bets[Date],L123,NBA_Bets[Result],"L")&amp;IF(COUNTIFS(NBA_Bets[Date],L123,NBA_Bets[Result],"Push")&gt;0,"-"&amp;COUNTIFS(NBA_Bets[Date],L123,NBA_Bets[Result],"Push"),"")</f>
        <v>0-0</v>
      </c>
      <c r="O123" s="131" t="str">
        <f>IFERROR(COUNTIFS(NBA_Bets[Date],L123,NBA_Bets[Result],"W")/(COUNTIFS(NBA_Bets[Date],L123,NBA_Bets[Result],"W")+COUNTIFS(NBA_Bets[Date],L123,NBA_Bets[Result],"L")),"")</f>
        <v/>
      </c>
      <c r="P123" s="88">
        <f>SUMIF(NBA_Bets[Date],L123,NBA_Bets[Winnings])-SUMIF(NBA_Bets[Date],L123,NBA_Bets[Risk])</f>
        <v>0</v>
      </c>
      <c r="Q123" s="89" t="str">
        <f>IFERROR("("&amp;ROUND((SUMIF(NBA_Bets[Date],L123,NBA_Bets[Winnings])-SUMIF(NBA_Bets[Date],L123,NBA_Bets[Risk]))/SUMIF(NBA_Bets[Date],L123,NBA_Bets[Risk]),2)*100&amp;"%)","")</f>
        <v/>
      </c>
    </row>
    <row r="124" spans="1:17" x14ac:dyDescent="0.25">
      <c r="A124" s="70">
        <f t="shared" si="6"/>
        <v>12</v>
      </c>
      <c r="B124" s="6">
        <v>43474</v>
      </c>
      <c r="C124" s="6" t="s">
        <v>297</v>
      </c>
      <c r="D124" s="7" t="s">
        <v>319</v>
      </c>
      <c r="E124" s="8" t="s">
        <v>151</v>
      </c>
      <c r="F124" s="66">
        <v>5</v>
      </c>
      <c r="G124" s="30">
        <v>-105</v>
      </c>
      <c r="H124" s="10" t="s">
        <v>7</v>
      </c>
      <c r="I12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2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24"/>
      <c r="L124" s="71">
        <f t="shared" si="7"/>
        <v>0</v>
      </c>
      <c r="M124" s="71" t="str">
        <f>IFERROR(VLOOKUP(L124,NBA_Bets[[Date]:[Version]],2,0),"")</f>
        <v/>
      </c>
      <c r="N124" s="130" t="str">
        <f>COUNTIFS(NBA_Bets[Date],L124,NBA_Bets[Result],"W")&amp;"-"&amp;COUNTIFS(NBA_Bets[Date],L124,NBA_Bets[Result],"L")&amp;IF(COUNTIFS(NBA_Bets[Date],L124,NBA_Bets[Result],"Push")&gt;0,"-"&amp;COUNTIFS(NBA_Bets[Date],L124,NBA_Bets[Result],"Push"),"")</f>
        <v>0-0</v>
      </c>
      <c r="O124" s="131" t="str">
        <f>IFERROR(COUNTIFS(NBA_Bets[Date],L124,NBA_Bets[Result],"W")/(COUNTIFS(NBA_Bets[Date],L124,NBA_Bets[Result],"W")+COUNTIFS(NBA_Bets[Date],L124,NBA_Bets[Result],"L")),"")</f>
        <v/>
      </c>
      <c r="P124" s="88">
        <f>SUMIF(NBA_Bets[Date],L124,NBA_Bets[Winnings])-SUMIF(NBA_Bets[Date],L124,NBA_Bets[Risk])</f>
        <v>0</v>
      </c>
      <c r="Q124" s="89" t="str">
        <f>IFERROR("("&amp;ROUND((SUMIF(NBA_Bets[Date],L124,NBA_Bets[Winnings])-SUMIF(NBA_Bets[Date],L124,NBA_Bets[Risk]))/SUMIF(NBA_Bets[Date],L124,NBA_Bets[Risk]),2)*100&amp;"%)","")</f>
        <v/>
      </c>
    </row>
    <row r="125" spans="1:17" x14ac:dyDescent="0.25">
      <c r="A125" s="70">
        <f t="shared" si="6"/>
        <v>12</v>
      </c>
      <c r="B125" s="6">
        <v>43474</v>
      </c>
      <c r="C125" s="6" t="s">
        <v>297</v>
      </c>
      <c r="D125" s="7" t="s">
        <v>319</v>
      </c>
      <c r="E125" s="8" t="s">
        <v>320</v>
      </c>
      <c r="F125" s="66">
        <v>5</v>
      </c>
      <c r="G125" s="30">
        <v>-110</v>
      </c>
      <c r="H125" s="10" t="s">
        <v>7</v>
      </c>
      <c r="I12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2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25"/>
      <c r="L125" s="71">
        <f t="shared" si="7"/>
        <v>0</v>
      </c>
      <c r="M125" s="71" t="str">
        <f>IFERROR(VLOOKUP(L125,NBA_Bets[[Date]:[Version]],2,0),"")</f>
        <v/>
      </c>
      <c r="N125" s="130" t="str">
        <f>COUNTIFS(NBA_Bets[Date],L125,NBA_Bets[Result],"W")&amp;"-"&amp;COUNTIFS(NBA_Bets[Date],L125,NBA_Bets[Result],"L")&amp;IF(COUNTIFS(NBA_Bets[Date],L125,NBA_Bets[Result],"Push")&gt;0,"-"&amp;COUNTIFS(NBA_Bets[Date],L125,NBA_Bets[Result],"Push"),"")</f>
        <v>0-0</v>
      </c>
      <c r="O125" s="131" t="str">
        <f>IFERROR(COUNTIFS(NBA_Bets[Date],L125,NBA_Bets[Result],"W")/(COUNTIFS(NBA_Bets[Date],L125,NBA_Bets[Result],"W")+COUNTIFS(NBA_Bets[Date],L125,NBA_Bets[Result],"L")),"")</f>
        <v/>
      </c>
      <c r="P125" s="88">
        <f>SUMIF(NBA_Bets[Date],L125,NBA_Bets[Winnings])-SUMIF(NBA_Bets[Date],L125,NBA_Bets[Risk])</f>
        <v>0</v>
      </c>
      <c r="Q125" s="89" t="str">
        <f>IFERROR("("&amp;ROUND((SUMIF(NBA_Bets[Date],L125,NBA_Bets[Winnings])-SUMIF(NBA_Bets[Date],L125,NBA_Bets[Risk]))/SUMIF(NBA_Bets[Date],L125,NBA_Bets[Risk]),2)*100&amp;"%)","")</f>
        <v/>
      </c>
    </row>
    <row r="126" spans="1:17" x14ac:dyDescent="0.25">
      <c r="A126" s="70">
        <f t="shared" si="6"/>
        <v>12</v>
      </c>
      <c r="B126" s="6">
        <v>43474</v>
      </c>
      <c r="C126" s="6" t="s">
        <v>297</v>
      </c>
      <c r="D126" s="7" t="s">
        <v>321</v>
      </c>
      <c r="E126" s="8" t="s">
        <v>322</v>
      </c>
      <c r="F126" s="66">
        <v>5</v>
      </c>
      <c r="G126" s="30">
        <v>-115</v>
      </c>
      <c r="H126" s="10" t="s">
        <v>37</v>
      </c>
      <c r="I12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12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26"/>
      <c r="L126" s="71">
        <f t="shared" si="7"/>
        <v>0</v>
      </c>
      <c r="M126" s="71" t="str">
        <f>IFERROR(VLOOKUP(L126,NBA_Bets[[Date]:[Version]],2,0),"")</f>
        <v/>
      </c>
      <c r="N126" s="130" t="str">
        <f>COUNTIFS(NBA_Bets[Date],L126,NBA_Bets[Result],"W")&amp;"-"&amp;COUNTIFS(NBA_Bets[Date],L126,NBA_Bets[Result],"L")&amp;IF(COUNTIFS(NBA_Bets[Date],L126,NBA_Bets[Result],"Push")&gt;0,"-"&amp;COUNTIFS(NBA_Bets[Date],L126,NBA_Bets[Result],"Push"),"")</f>
        <v>0-0</v>
      </c>
      <c r="O126" s="131" t="str">
        <f>IFERROR(COUNTIFS(NBA_Bets[Date],L126,NBA_Bets[Result],"W")/(COUNTIFS(NBA_Bets[Date],L126,NBA_Bets[Result],"W")+COUNTIFS(NBA_Bets[Date],L126,NBA_Bets[Result],"L")),"")</f>
        <v/>
      </c>
      <c r="P126" s="88">
        <f>SUMIF(NBA_Bets[Date],L126,NBA_Bets[Winnings])-SUMIF(NBA_Bets[Date],L126,NBA_Bets[Risk])</f>
        <v>0</v>
      </c>
      <c r="Q126" s="89" t="str">
        <f>IFERROR("("&amp;ROUND((SUMIF(NBA_Bets[Date],L126,NBA_Bets[Winnings])-SUMIF(NBA_Bets[Date],L126,NBA_Bets[Risk]))/SUMIF(NBA_Bets[Date],L126,NBA_Bets[Risk]),2)*100&amp;"%)","")</f>
        <v/>
      </c>
    </row>
    <row r="127" spans="1:17" x14ac:dyDescent="0.25">
      <c r="A127" s="70">
        <f t="shared" si="6"/>
        <v>12</v>
      </c>
      <c r="B127" s="6">
        <v>43474</v>
      </c>
      <c r="C127" s="6" t="s">
        <v>297</v>
      </c>
      <c r="D127" s="7" t="s">
        <v>323</v>
      </c>
      <c r="E127" s="8" t="s">
        <v>224</v>
      </c>
      <c r="F127" s="66">
        <v>5</v>
      </c>
      <c r="G127" s="30">
        <v>-110</v>
      </c>
      <c r="H127" s="10" t="s">
        <v>37</v>
      </c>
      <c r="I12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2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27"/>
      <c r="L127" s="71">
        <f t="shared" si="7"/>
        <v>0</v>
      </c>
      <c r="M127" s="71" t="str">
        <f>IFERROR(VLOOKUP(L127,NBA_Bets[[Date]:[Version]],2,0),"")</f>
        <v/>
      </c>
      <c r="N127" s="130" t="str">
        <f>COUNTIFS(NBA_Bets[Date],L127,NBA_Bets[Result],"W")&amp;"-"&amp;COUNTIFS(NBA_Bets[Date],L127,NBA_Bets[Result],"L")&amp;IF(COUNTIFS(NBA_Bets[Date],L127,NBA_Bets[Result],"Push")&gt;0,"-"&amp;COUNTIFS(NBA_Bets[Date],L127,NBA_Bets[Result],"Push"),"")</f>
        <v>0-0</v>
      </c>
      <c r="O127" s="131" t="str">
        <f>IFERROR(COUNTIFS(NBA_Bets[Date],L127,NBA_Bets[Result],"W")/(COUNTIFS(NBA_Bets[Date],L127,NBA_Bets[Result],"W")+COUNTIFS(NBA_Bets[Date],L127,NBA_Bets[Result],"L")),"")</f>
        <v/>
      </c>
      <c r="P127" s="88">
        <f>SUMIF(NBA_Bets[Date],L127,NBA_Bets[Winnings])-SUMIF(NBA_Bets[Date],L127,NBA_Bets[Risk])</f>
        <v>0</v>
      </c>
      <c r="Q127" s="89" t="str">
        <f>IFERROR("("&amp;ROUND((SUMIF(NBA_Bets[Date],L127,NBA_Bets[Winnings])-SUMIF(NBA_Bets[Date],L127,NBA_Bets[Risk]))/SUMIF(NBA_Bets[Date],L127,NBA_Bets[Risk]),2)*100&amp;"%)","")</f>
        <v/>
      </c>
    </row>
    <row r="128" spans="1:17" x14ac:dyDescent="0.25">
      <c r="A128" s="70">
        <f t="shared" si="6"/>
        <v>12</v>
      </c>
      <c r="B128" s="6">
        <v>43474</v>
      </c>
      <c r="C128" s="6" t="s">
        <v>297</v>
      </c>
      <c r="D128" s="7" t="s">
        <v>323</v>
      </c>
      <c r="E128" s="8" t="s">
        <v>324</v>
      </c>
      <c r="F128" s="66">
        <v>5</v>
      </c>
      <c r="G128" s="30">
        <v>-110</v>
      </c>
      <c r="H128" s="10" t="s">
        <v>37</v>
      </c>
      <c r="I12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2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28"/>
      <c r="L128" s="71">
        <f t="shared" si="7"/>
        <v>0</v>
      </c>
      <c r="M128" s="71" t="str">
        <f>IFERROR(VLOOKUP(L128,NBA_Bets[[Date]:[Version]],2,0),"")</f>
        <v/>
      </c>
      <c r="N128" s="130" t="str">
        <f>COUNTIFS(NBA_Bets[Date],L128,NBA_Bets[Result],"W")&amp;"-"&amp;COUNTIFS(NBA_Bets[Date],L128,NBA_Bets[Result],"L")&amp;IF(COUNTIFS(NBA_Bets[Date],L128,NBA_Bets[Result],"Push")&gt;0,"-"&amp;COUNTIFS(NBA_Bets[Date],L128,NBA_Bets[Result],"Push"),"")</f>
        <v>0-0</v>
      </c>
      <c r="O128" s="131" t="str">
        <f>IFERROR(COUNTIFS(NBA_Bets[Date],L128,NBA_Bets[Result],"W")/(COUNTIFS(NBA_Bets[Date],L128,NBA_Bets[Result],"W")+COUNTIFS(NBA_Bets[Date],L128,NBA_Bets[Result],"L")),"")</f>
        <v/>
      </c>
      <c r="P128" s="88">
        <f>SUMIF(NBA_Bets[Date],L128,NBA_Bets[Winnings])-SUMIF(NBA_Bets[Date],L128,NBA_Bets[Risk])</f>
        <v>0</v>
      </c>
      <c r="Q128" s="89" t="str">
        <f>IFERROR("("&amp;ROUND((SUMIF(NBA_Bets[Date],L128,NBA_Bets[Winnings])-SUMIF(NBA_Bets[Date],L128,NBA_Bets[Risk]))/SUMIF(NBA_Bets[Date],L128,NBA_Bets[Risk]),2)*100&amp;"%)","")</f>
        <v/>
      </c>
    </row>
    <row r="129" spans="1:17" x14ac:dyDescent="0.25">
      <c r="A129" s="70">
        <f t="shared" si="6"/>
        <v>12</v>
      </c>
      <c r="B129" s="6">
        <v>43474</v>
      </c>
      <c r="C129" s="6" t="s">
        <v>297</v>
      </c>
      <c r="D129" s="7" t="s">
        <v>325</v>
      </c>
      <c r="E129" s="8" t="s">
        <v>326</v>
      </c>
      <c r="F129" s="66">
        <v>5</v>
      </c>
      <c r="G129" s="30">
        <v>-110</v>
      </c>
      <c r="H129" s="10" t="s">
        <v>37</v>
      </c>
      <c r="I12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2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29"/>
      <c r="L129" s="71">
        <f t="shared" si="7"/>
        <v>0</v>
      </c>
      <c r="M129" s="71" t="str">
        <f>IFERROR(VLOOKUP(L129,NBA_Bets[[Date]:[Version]],2,0),"")</f>
        <v/>
      </c>
      <c r="N129" s="130" t="str">
        <f>COUNTIFS(NBA_Bets[Date],L129,NBA_Bets[Result],"W")&amp;"-"&amp;COUNTIFS(NBA_Bets[Date],L129,NBA_Bets[Result],"L")&amp;IF(COUNTIFS(NBA_Bets[Date],L129,NBA_Bets[Result],"Push")&gt;0,"-"&amp;COUNTIFS(NBA_Bets[Date],L129,NBA_Bets[Result],"Push"),"")</f>
        <v>0-0</v>
      </c>
      <c r="O129" s="131" t="str">
        <f>IFERROR(COUNTIFS(NBA_Bets[Date],L129,NBA_Bets[Result],"W")/(COUNTIFS(NBA_Bets[Date],L129,NBA_Bets[Result],"W")+COUNTIFS(NBA_Bets[Date],L129,NBA_Bets[Result],"L")),"")</f>
        <v/>
      </c>
      <c r="P129" s="88">
        <f>SUMIF(NBA_Bets[Date],L129,NBA_Bets[Winnings])-SUMIF(NBA_Bets[Date],L129,NBA_Bets[Risk])</f>
        <v>0</v>
      </c>
      <c r="Q129" s="89" t="str">
        <f>IFERROR("("&amp;ROUND((SUMIF(NBA_Bets[Date],L129,NBA_Bets[Winnings])-SUMIF(NBA_Bets[Date],L129,NBA_Bets[Risk]))/SUMIF(NBA_Bets[Date],L129,NBA_Bets[Risk]),2)*100&amp;"%)","")</f>
        <v/>
      </c>
    </row>
    <row r="130" spans="1:17" x14ac:dyDescent="0.25">
      <c r="A130" s="70">
        <f t="shared" si="6"/>
        <v>12</v>
      </c>
      <c r="B130" s="6">
        <v>43474</v>
      </c>
      <c r="C130" s="6" t="s">
        <v>297</v>
      </c>
      <c r="D130" s="7" t="s">
        <v>327</v>
      </c>
      <c r="E130" s="8" t="s">
        <v>328</v>
      </c>
      <c r="F130" s="66">
        <v>5</v>
      </c>
      <c r="G130" s="30">
        <v>-110</v>
      </c>
      <c r="H130" s="10" t="s">
        <v>7</v>
      </c>
      <c r="I13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3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30"/>
      <c r="L130" s="71">
        <f t="shared" si="7"/>
        <v>0</v>
      </c>
      <c r="M130" s="71" t="str">
        <f>IFERROR(VLOOKUP(L130,NBA_Bets[[Date]:[Version]],2,0),"")</f>
        <v/>
      </c>
      <c r="N130" s="130" t="str">
        <f>COUNTIFS(NBA_Bets[Date],L130,NBA_Bets[Result],"W")&amp;"-"&amp;COUNTIFS(NBA_Bets[Date],L130,NBA_Bets[Result],"L")&amp;IF(COUNTIFS(NBA_Bets[Date],L130,NBA_Bets[Result],"Push")&gt;0,"-"&amp;COUNTIFS(NBA_Bets[Date],L130,NBA_Bets[Result],"Push"),"")</f>
        <v>0-0</v>
      </c>
      <c r="O130" s="131" t="str">
        <f>IFERROR(COUNTIFS(NBA_Bets[Date],L130,NBA_Bets[Result],"W")/(COUNTIFS(NBA_Bets[Date],L130,NBA_Bets[Result],"W")+COUNTIFS(NBA_Bets[Date],L130,NBA_Bets[Result],"L")),"")</f>
        <v/>
      </c>
      <c r="P130" s="88">
        <f>SUMIF(NBA_Bets[Date],L130,NBA_Bets[Winnings])-SUMIF(NBA_Bets[Date],L130,NBA_Bets[Risk])</f>
        <v>0</v>
      </c>
      <c r="Q130" s="89" t="str">
        <f>IFERROR("("&amp;ROUND((SUMIF(NBA_Bets[Date],L130,NBA_Bets[Winnings])-SUMIF(NBA_Bets[Date],L130,NBA_Bets[Risk]))/SUMIF(NBA_Bets[Date],L130,NBA_Bets[Risk]),2)*100&amp;"%)","")</f>
        <v/>
      </c>
    </row>
    <row r="131" spans="1:17" x14ac:dyDescent="0.25">
      <c r="A131" s="70">
        <f t="shared" si="6"/>
        <v>12</v>
      </c>
      <c r="B131" s="6">
        <v>43474</v>
      </c>
      <c r="C131" s="6" t="s">
        <v>297</v>
      </c>
      <c r="D131" s="7" t="s">
        <v>327</v>
      </c>
      <c r="E131" s="8" t="s">
        <v>329</v>
      </c>
      <c r="F131" s="66">
        <v>5</v>
      </c>
      <c r="G131" s="30">
        <v>-105</v>
      </c>
      <c r="H131" s="10" t="s">
        <v>37</v>
      </c>
      <c r="I13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13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31"/>
      <c r="L131" s="71">
        <f t="shared" si="7"/>
        <v>0</v>
      </c>
      <c r="M131" s="71" t="str">
        <f>IFERROR(VLOOKUP(L131,NBA_Bets[[Date]:[Version]],2,0),"")</f>
        <v/>
      </c>
      <c r="N131" s="130" t="str">
        <f>COUNTIFS(NBA_Bets[Date],L131,NBA_Bets[Result],"W")&amp;"-"&amp;COUNTIFS(NBA_Bets[Date],L131,NBA_Bets[Result],"L")&amp;IF(COUNTIFS(NBA_Bets[Date],L131,NBA_Bets[Result],"Push")&gt;0,"-"&amp;COUNTIFS(NBA_Bets[Date],L131,NBA_Bets[Result],"Push"),"")</f>
        <v>0-0</v>
      </c>
      <c r="O131" s="131" t="str">
        <f>IFERROR(COUNTIFS(NBA_Bets[Date],L131,NBA_Bets[Result],"W")/(COUNTIFS(NBA_Bets[Date],L131,NBA_Bets[Result],"W")+COUNTIFS(NBA_Bets[Date],L131,NBA_Bets[Result],"L")),"")</f>
        <v/>
      </c>
      <c r="P131" s="88">
        <f>SUMIF(NBA_Bets[Date],L131,NBA_Bets[Winnings])-SUMIF(NBA_Bets[Date],L131,NBA_Bets[Risk])</f>
        <v>0</v>
      </c>
      <c r="Q131" s="89" t="str">
        <f>IFERROR("("&amp;ROUND((SUMIF(NBA_Bets[Date],L131,NBA_Bets[Winnings])-SUMIF(NBA_Bets[Date],L131,NBA_Bets[Risk]))/SUMIF(NBA_Bets[Date],L131,NBA_Bets[Risk]),2)*100&amp;"%)","")</f>
        <v/>
      </c>
    </row>
    <row r="132" spans="1:17" x14ac:dyDescent="0.25">
      <c r="A132" s="70">
        <f t="shared" si="6"/>
        <v>12</v>
      </c>
      <c r="B132" s="6">
        <v>43474</v>
      </c>
      <c r="C132" s="6" t="s">
        <v>297</v>
      </c>
      <c r="D132" s="7" t="s">
        <v>330</v>
      </c>
      <c r="E132" s="8" t="s">
        <v>255</v>
      </c>
      <c r="F132" s="66">
        <v>5</v>
      </c>
      <c r="G132" s="30">
        <v>-115</v>
      </c>
      <c r="H132" s="10" t="s">
        <v>37</v>
      </c>
      <c r="I13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13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32"/>
      <c r="L132" s="71">
        <f t="shared" si="7"/>
        <v>0</v>
      </c>
      <c r="M132" s="71" t="str">
        <f>IFERROR(VLOOKUP(L132,NBA_Bets[[Date]:[Version]],2,0),"")</f>
        <v/>
      </c>
      <c r="N132" s="130" t="str">
        <f>COUNTIFS(NBA_Bets[Date],L132,NBA_Bets[Result],"W")&amp;"-"&amp;COUNTIFS(NBA_Bets[Date],L132,NBA_Bets[Result],"L")&amp;IF(COUNTIFS(NBA_Bets[Date],L132,NBA_Bets[Result],"Push")&gt;0,"-"&amp;COUNTIFS(NBA_Bets[Date],L132,NBA_Bets[Result],"Push"),"")</f>
        <v>0-0</v>
      </c>
      <c r="O132" s="131" t="str">
        <f>IFERROR(COUNTIFS(NBA_Bets[Date],L132,NBA_Bets[Result],"W")/(COUNTIFS(NBA_Bets[Date],L132,NBA_Bets[Result],"W")+COUNTIFS(NBA_Bets[Date],L132,NBA_Bets[Result],"L")),"")</f>
        <v/>
      </c>
      <c r="P132" s="88">
        <f>SUMIF(NBA_Bets[Date],L132,NBA_Bets[Winnings])-SUMIF(NBA_Bets[Date],L132,NBA_Bets[Risk])</f>
        <v>0</v>
      </c>
      <c r="Q132" s="89" t="str">
        <f>IFERROR("("&amp;ROUND((SUMIF(NBA_Bets[Date],L132,NBA_Bets[Winnings])-SUMIF(NBA_Bets[Date],L132,NBA_Bets[Risk]))/SUMIF(NBA_Bets[Date],L132,NBA_Bets[Risk]),2)*100&amp;"%)","")</f>
        <v/>
      </c>
    </row>
    <row r="133" spans="1:17" x14ac:dyDescent="0.25">
      <c r="A133" s="70">
        <f>IF(B133=B132,A132,A132+1)</f>
        <v>12</v>
      </c>
      <c r="B133" s="6">
        <v>43474</v>
      </c>
      <c r="C133" s="6" t="s">
        <v>297</v>
      </c>
      <c r="D133" s="7" t="s">
        <v>330</v>
      </c>
      <c r="E133" s="8" t="s">
        <v>331</v>
      </c>
      <c r="F133" s="66">
        <v>5</v>
      </c>
      <c r="G133" s="30">
        <v>-110</v>
      </c>
      <c r="H133" s="10" t="s">
        <v>7</v>
      </c>
      <c r="I13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3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33"/>
      <c r="L133" s="71">
        <f t="shared" ref="L133:L158" si="8">IFERROR(VLOOKUP(ROW()-4,A:B,2,0),0)</f>
        <v>0</v>
      </c>
      <c r="M133" s="71" t="str">
        <f>IFERROR(VLOOKUP(L133,NBA_Bets[[Date]:[Version]],2,0),"")</f>
        <v/>
      </c>
      <c r="N133" s="130" t="str">
        <f>COUNTIFS(NBA_Bets[Date],L133,NBA_Bets[Result],"W")&amp;"-"&amp;COUNTIFS(NBA_Bets[Date],L133,NBA_Bets[Result],"L")&amp;IF(COUNTIFS(NBA_Bets[Date],L133,NBA_Bets[Result],"Push")&gt;0,"-"&amp;COUNTIFS(NBA_Bets[Date],L133,NBA_Bets[Result],"Push"),"")</f>
        <v>0-0</v>
      </c>
      <c r="O133" s="131" t="str">
        <f>IFERROR(COUNTIFS(NBA_Bets[Date],L133,NBA_Bets[Result],"W")/(COUNTIFS(NBA_Bets[Date],L133,NBA_Bets[Result],"W")+COUNTIFS(NBA_Bets[Date],L133,NBA_Bets[Result],"L")),"")</f>
        <v/>
      </c>
      <c r="P133" s="88">
        <f>SUMIF(NBA_Bets[Date],L133,NBA_Bets[Winnings])-SUMIF(NBA_Bets[Date],L133,NBA_Bets[Risk])</f>
        <v>0</v>
      </c>
      <c r="Q133" s="89" t="str">
        <f>IFERROR("("&amp;ROUND((SUMIF(NBA_Bets[Date],L133,NBA_Bets[Winnings])-SUMIF(NBA_Bets[Date],L133,NBA_Bets[Risk]))/SUMIF(NBA_Bets[Date],L133,NBA_Bets[Risk]),2)*100&amp;"%)","")</f>
        <v/>
      </c>
    </row>
    <row r="134" spans="1:17" x14ac:dyDescent="0.25">
      <c r="A134" s="70">
        <f t="shared" ref="A134:A197" si="9">IF(B134=B133,A133,A133+1)</f>
        <v>12</v>
      </c>
      <c r="B134" s="6">
        <v>43474</v>
      </c>
      <c r="C134" s="6" t="s">
        <v>297</v>
      </c>
      <c r="D134" s="7" t="s">
        <v>332</v>
      </c>
      <c r="E134" s="8" t="s">
        <v>333</v>
      </c>
      <c r="F134" s="66">
        <v>5</v>
      </c>
      <c r="G134" s="30">
        <v>-110</v>
      </c>
      <c r="H134" s="10" t="s">
        <v>37</v>
      </c>
      <c r="I13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3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34"/>
      <c r="L134" s="71">
        <f t="shared" si="8"/>
        <v>0</v>
      </c>
      <c r="M134" s="71" t="str">
        <f>IFERROR(VLOOKUP(L134,NBA_Bets[[Date]:[Version]],2,0),"")</f>
        <v/>
      </c>
      <c r="N134" s="130" t="str">
        <f>COUNTIFS(NBA_Bets[Date],L134,NBA_Bets[Result],"W")&amp;"-"&amp;COUNTIFS(NBA_Bets[Date],L134,NBA_Bets[Result],"L")&amp;IF(COUNTIFS(NBA_Bets[Date],L134,NBA_Bets[Result],"Push")&gt;0,"-"&amp;COUNTIFS(NBA_Bets[Date],L134,NBA_Bets[Result],"Push"),"")</f>
        <v>0-0</v>
      </c>
      <c r="O134" s="131" t="str">
        <f>IFERROR(COUNTIFS(NBA_Bets[Date],L134,NBA_Bets[Result],"W")/(COUNTIFS(NBA_Bets[Date],L134,NBA_Bets[Result],"W")+COUNTIFS(NBA_Bets[Date],L134,NBA_Bets[Result],"L")),"")</f>
        <v/>
      </c>
      <c r="P134" s="88">
        <f>SUMIF(NBA_Bets[Date],L134,NBA_Bets[Winnings])-SUMIF(NBA_Bets[Date],L134,NBA_Bets[Risk])</f>
        <v>0</v>
      </c>
      <c r="Q134" s="89" t="str">
        <f>IFERROR("("&amp;ROUND((SUMIF(NBA_Bets[Date],L134,NBA_Bets[Winnings])-SUMIF(NBA_Bets[Date],L134,NBA_Bets[Risk]))/SUMIF(NBA_Bets[Date],L134,NBA_Bets[Risk]),2)*100&amp;"%)","")</f>
        <v/>
      </c>
    </row>
    <row r="135" spans="1:17" x14ac:dyDescent="0.25">
      <c r="A135" s="70">
        <f t="shared" si="9"/>
        <v>12</v>
      </c>
      <c r="B135" s="6">
        <v>43474</v>
      </c>
      <c r="C135" s="6" t="s">
        <v>297</v>
      </c>
      <c r="D135" s="7" t="s">
        <v>334</v>
      </c>
      <c r="E135" s="8" t="s">
        <v>335</v>
      </c>
      <c r="F135" s="66">
        <v>5</v>
      </c>
      <c r="G135" s="30">
        <v>-110</v>
      </c>
      <c r="H135" s="10" t="s">
        <v>37</v>
      </c>
      <c r="I13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3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35"/>
      <c r="L135" s="71">
        <f t="shared" si="8"/>
        <v>0</v>
      </c>
      <c r="M135" s="71" t="str">
        <f>IFERROR(VLOOKUP(L135,NBA_Bets[[Date]:[Version]],2,0),"")</f>
        <v/>
      </c>
      <c r="N135" s="130" t="str">
        <f>COUNTIFS(NBA_Bets[Date],L135,NBA_Bets[Result],"W")&amp;"-"&amp;COUNTIFS(NBA_Bets[Date],L135,NBA_Bets[Result],"L")&amp;IF(COUNTIFS(NBA_Bets[Date],L135,NBA_Bets[Result],"Push")&gt;0,"-"&amp;COUNTIFS(NBA_Bets[Date],L135,NBA_Bets[Result],"Push"),"")</f>
        <v>0-0</v>
      </c>
      <c r="O135" s="131" t="str">
        <f>IFERROR(COUNTIFS(NBA_Bets[Date],L135,NBA_Bets[Result],"W")/(COUNTIFS(NBA_Bets[Date],L135,NBA_Bets[Result],"W")+COUNTIFS(NBA_Bets[Date],L135,NBA_Bets[Result],"L")),"")</f>
        <v/>
      </c>
      <c r="P135" s="88">
        <f>SUMIF(NBA_Bets[Date],L135,NBA_Bets[Winnings])-SUMIF(NBA_Bets[Date],L135,NBA_Bets[Risk])</f>
        <v>0</v>
      </c>
      <c r="Q135" s="89" t="str">
        <f>IFERROR("("&amp;ROUND((SUMIF(NBA_Bets[Date],L135,NBA_Bets[Winnings])-SUMIF(NBA_Bets[Date],L135,NBA_Bets[Risk]))/SUMIF(NBA_Bets[Date],L135,NBA_Bets[Risk]),2)*100&amp;"%)","")</f>
        <v/>
      </c>
    </row>
    <row r="136" spans="1:17" x14ac:dyDescent="0.25">
      <c r="A136" s="70">
        <f t="shared" si="9"/>
        <v>12</v>
      </c>
      <c r="B136" s="6">
        <v>43474</v>
      </c>
      <c r="C136" s="6" t="s">
        <v>297</v>
      </c>
      <c r="D136" s="7" t="s">
        <v>336</v>
      </c>
      <c r="E136" s="8" t="s">
        <v>209</v>
      </c>
      <c r="F136" s="66">
        <v>5</v>
      </c>
      <c r="G136" s="30">
        <v>-115</v>
      </c>
      <c r="H136" s="10" t="s">
        <v>37</v>
      </c>
      <c r="I13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13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36"/>
      <c r="L136" s="71">
        <f t="shared" si="8"/>
        <v>0</v>
      </c>
      <c r="M136" s="71" t="str">
        <f>IFERROR(VLOOKUP(L136,NBA_Bets[[Date]:[Version]],2,0),"")</f>
        <v/>
      </c>
      <c r="N136" s="130" t="str">
        <f>COUNTIFS(NBA_Bets[Date],L136,NBA_Bets[Result],"W")&amp;"-"&amp;COUNTIFS(NBA_Bets[Date],L136,NBA_Bets[Result],"L")&amp;IF(COUNTIFS(NBA_Bets[Date],L136,NBA_Bets[Result],"Push")&gt;0,"-"&amp;COUNTIFS(NBA_Bets[Date],L136,NBA_Bets[Result],"Push"),"")</f>
        <v>0-0</v>
      </c>
      <c r="O136" s="131" t="str">
        <f>IFERROR(COUNTIFS(NBA_Bets[Date],L136,NBA_Bets[Result],"W")/(COUNTIFS(NBA_Bets[Date],L136,NBA_Bets[Result],"W")+COUNTIFS(NBA_Bets[Date],L136,NBA_Bets[Result],"L")),"")</f>
        <v/>
      </c>
      <c r="P136" s="88">
        <f>SUMIF(NBA_Bets[Date],L136,NBA_Bets[Winnings])-SUMIF(NBA_Bets[Date],L136,NBA_Bets[Risk])</f>
        <v>0</v>
      </c>
      <c r="Q136" s="89" t="str">
        <f>IFERROR("("&amp;ROUND((SUMIF(NBA_Bets[Date],L136,NBA_Bets[Winnings])-SUMIF(NBA_Bets[Date],L136,NBA_Bets[Risk]))/SUMIF(NBA_Bets[Date],L136,NBA_Bets[Risk]),2)*100&amp;"%)","")</f>
        <v/>
      </c>
    </row>
    <row r="137" spans="1:17" x14ac:dyDescent="0.25">
      <c r="A137" s="70">
        <f t="shared" si="9"/>
        <v>12</v>
      </c>
      <c r="B137" s="6">
        <v>43474</v>
      </c>
      <c r="C137" s="6" t="s">
        <v>297</v>
      </c>
      <c r="D137" s="7" t="s">
        <v>336</v>
      </c>
      <c r="E137" s="8" t="s">
        <v>337</v>
      </c>
      <c r="F137" s="66">
        <v>5</v>
      </c>
      <c r="G137" s="30">
        <v>-110</v>
      </c>
      <c r="H137" s="10" t="s">
        <v>37</v>
      </c>
      <c r="I13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3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37"/>
      <c r="L137" s="71">
        <f t="shared" si="8"/>
        <v>0</v>
      </c>
      <c r="M137" s="71" t="str">
        <f>IFERROR(VLOOKUP(L137,NBA_Bets[[Date]:[Version]],2,0),"")</f>
        <v/>
      </c>
      <c r="N137" s="130" t="str">
        <f>COUNTIFS(NBA_Bets[Date],L137,NBA_Bets[Result],"W")&amp;"-"&amp;COUNTIFS(NBA_Bets[Date],L137,NBA_Bets[Result],"L")&amp;IF(COUNTIFS(NBA_Bets[Date],L137,NBA_Bets[Result],"Push")&gt;0,"-"&amp;COUNTIFS(NBA_Bets[Date],L137,NBA_Bets[Result],"Push"),"")</f>
        <v>0-0</v>
      </c>
      <c r="O137" s="131" t="str">
        <f>IFERROR(COUNTIFS(NBA_Bets[Date],L137,NBA_Bets[Result],"W")/(COUNTIFS(NBA_Bets[Date],L137,NBA_Bets[Result],"W")+COUNTIFS(NBA_Bets[Date],L137,NBA_Bets[Result],"L")),"")</f>
        <v/>
      </c>
      <c r="P137" s="88">
        <f>SUMIF(NBA_Bets[Date],L137,NBA_Bets[Winnings])-SUMIF(NBA_Bets[Date],L137,NBA_Bets[Risk])</f>
        <v>0</v>
      </c>
      <c r="Q137" s="89" t="str">
        <f>IFERROR("("&amp;ROUND((SUMIF(NBA_Bets[Date],L137,NBA_Bets[Winnings])-SUMIF(NBA_Bets[Date],L137,NBA_Bets[Risk]))/SUMIF(NBA_Bets[Date],L137,NBA_Bets[Risk]),2)*100&amp;"%)","")</f>
        <v/>
      </c>
    </row>
    <row r="138" spans="1:17" x14ac:dyDescent="0.25">
      <c r="A138" s="70">
        <f t="shared" si="9"/>
        <v>13</v>
      </c>
      <c r="B138" s="6">
        <v>43475</v>
      </c>
      <c r="C138" s="6" t="s">
        <v>297</v>
      </c>
      <c r="D138" s="7" t="s">
        <v>340</v>
      </c>
      <c r="E138" s="8" t="s">
        <v>187</v>
      </c>
      <c r="F138" s="66">
        <v>10</v>
      </c>
      <c r="G138" s="30">
        <v>-105</v>
      </c>
      <c r="H138" s="10" t="s">
        <v>7</v>
      </c>
      <c r="I13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3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38"/>
      <c r="L138" s="71">
        <f t="shared" si="8"/>
        <v>0</v>
      </c>
      <c r="M138" s="71" t="str">
        <f>IFERROR(VLOOKUP(L138,NBA_Bets[[Date]:[Version]],2,0),"")</f>
        <v/>
      </c>
      <c r="N138" s="130" t="str">
        <f>COUNTIFS(NBA_Bets[Date],L138,NBA_Bets[Result],"W")&amp;"-"&amp;COUNTIFS(NBA_Bets[Date],L138,NBA_Bets[Result],"L")&amp;IF(COUNTIFS(NBA_Bets[Date],L138,NBA_Bets[Result],"Push")&gt;0,"-"&amp;COUNTIFS(NBA_Bets[Date],L138,NBA_Bets[Result],"Push"),"")</f>
        <v>0-0</v>
      </c>
      <c r="O138" s="131" t="str">
        <f>IFERROR(COUNTIFS(NBA_Bets[Date],L138,NBA_Bets[Result],"W")/(COUNTIFS(NBA_Bets[Date],L138,NBA_Bets[Result],"W")+COUNTIFS(NBA_Bets[Date],L138,NBA_Bets[Result],"L")),"")</f>
        <v/>
      </c>
      <c r="P138" s="88">
        <f>SUMIF(NBA_Bets[Date],L138,NBA_Bets[Winnings])-SUMIF(NBA_Bets[Date],L138,NBA_Bets[Risk])</f>
        <v>0</v>
      </c>
      <c r="Q138" s="89" t="str">
        <f>IFERROR("("&amp;ROUND((SUMIF(NBA_Bets[Date],L138,NBA_Bets[Winnings])-SUMIF(NBA_Bets[Date],L138,NBA_Bets[Risk]))/SUMIF(NBA_Bets[Date],L138,NBA_Bets[Risk]),2)*100&amp;"%)","")</f>
        <v/>
      </c>
    </row>
    <row r="139" spans="1:17" x14ac:dyDescent="0.25">
      <c r="A139" s="70">
        <f t="shared" si="9"/>
        <v>13</v>
      </c>
      <c r="B139" s="6">
        <v>43475</v>
      </c>
      <c r="C139" s="6" t="s">
        <v>297</v>
      </c>
      <c r="D139" s="7" t="s">
        <v>340</v>
      </c>
      <c r="E139" s="8" t="s">
        <v>341</v>
      </c>
      <c r="F139" s="66">
        <v>10</v>
      </c>
      <c r="G139" s="30">
        <v>-105</v>
      </c>
      <c r="H139" s="10" t="s">
        <v>7</v>
      </c>
      <c r="I13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3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39"/>
      <c r="L139" s="71">
        <f t="shared" si="8"/>
        <v>0</v>
      </c>
      <c r="M139" s="71" t="str">
        <f>IFERROR(VLOOKUP(L139,NBA_Bets[[Date]:[Version]],2,0),"")</f>
        <v/>
      </c>
      <c r="N139" s="130" t="str">
        <f>COUNTIFS(NBA_Bets[Date],L139,NBA_Bets[Result],"W")&amp;"-"&amp;COUNTIFS(NBA_Bets[Date],L139,NBA_Bets[Result],"L")&amp;IF(COUNTIFS(NBA_Bets[Date],L139,NBA_Bets[Result],"Push")&gt;0,"-"&amp;COUNTIFS(NBA_Bets[Date],L139,NBA_Bets[Result],"Push"),"")</f>
        <v>0-0</v>
      </c>
      <c r="O139" s="131" t="str">
        <f>IFERROR(COUNTIFS(NBA_Bets[Date],L139,NBA_Bets[Result],"W")/(COUNTIFS(NBA_Bets[Date],L139,NBA_Bets[Result],"W")+COUNTIFS(NBA_Bets[Date],L139,NBA_Bets[Result],"L")),"")</f>
        <v/>
      </c>
      <c r="P139" s="88">
        <f>SUMIF(NBA_Bets[Date],L139,NBA_Bets[Winnings])-SUMIF(NBA_Bets[Date],L139,NBA_Bets[Risk])</f>
        <v>0</v>
      </c>
      <c r="Q139" s="89" t="str">
        <f>IFERROR("("&amp;ROUND((SUMIF(NBA_Bets[Date],L139,NBA_Bets[Winnings])-SUMIF(NBA_Bets[Date],L139,NBA_Bets[Risk]))/SUMIF(NBA_Bets[Date],L139,NBA_Bets[Risk]),2)*100&amp;"%)","")</f>
        <v/>
      </c>
    </row>
    <row r="140" spans="1:17" x14ac:dyDescent="0.25">
      <c r="A140" s="70">
        <f t="shared" si="9"/>
        <v>13</v>
      </c>
      <c r="B140" s="6">
        <v>43475</v>
      </c>
      <c r="C140" s="6" t="s">
        <v>297</v>
      </c>
      <c r="D140" s="7" t="s">
        <v>342</v>
      </c>
      <c r="E140" s="8" t="s">
        <v>233</v>
      </c>
      <c r="F140" s="66">
        <v>10</v>
      </c>
      <c r="G140" s="30">
        <v>-105</v>
      </c>
      <c r="H140" s="10" t="s">
        <v>37</v>
      </c>
      <c r="I14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19.523809523809526</v>
      </c>
      <c r="J14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40"/>
      <c r="L140" s="71">
        <f t="shared" si="8"/>
        <v>0</v>
      </c>
      <c r="M140" s="71" t="str">
        <f>IFERROR(VLOOKUP(L140,NBA_Bets[[Date]:[Version]],2,0),"")</f>
        <v/>
      </c>
      <c r="N140" s="130" t="str">
        <f>COUNTIFS(NBA_Bets[Date],L140,NBA_Bets[Result],"W")&amp;"-"&amp;COUNTIFS(NBA_Bets[Date],L140,NBA_Bets[Result],"L")&amp;IF(COUNTIFS(NBA_Bets[Date],L140,NBA_Bets[Result],"Push")&gt;0,"-"&amp;COUNTIFS(NBA_Bets[Date],L140,NBA_Bets[Result],"Push"),"")</f>
        <v>0-0</v>
      </c>
      <c r="O140" s="131" t="str">
        <f>IFERROR(COUNTIFS(NBA_Bets[Date],L140,NBA_Bets[Result],"W")/(COUNTIFS(NBA_Bets[Date],L140,NBA_Bets[Result],"W")+COUNTIFS(NBA_Bets[Date],L140,NBA_Bets[Result],"L")),"")</f>
        <v/>
      </c>
      <c r="P140" s="88">
        <f>SUMIF(NBA_Bets[Date],L140,NBA_Bets[Winnings])-SUMIF(NBA_Bets[Date],L140,NBA_Bets[Risk])</f>
        <v>0</v>
      </c>
      <c r="Q140" s="89" t="str">
        <f>IFERROR("("&amp;ROUND((SUMIF(NBA_Bets[Date],L140,NBA_Bets[Winnings])-SUMIF(NBA_Bets[Date],L140,NBA_Bets[Risk]))/SUMIF(NBA_Bets[Date],L140,NBA_Bets[Risk]),2)*100&amp;"%)","")</f>
        <v/>
      </c>
    </row>
    <row r="141" spans="1:17" x14ac:dyDescent="0.25">
      <c r="A141" s="70">
        <f t="shared" si="9"/>
        <v>13</v>
      </c>
      <c r="B141" s="6">
        <v>43475</v>
      </c>
      <c r="C141" s="6" t="s">
        <v>297</v>
      </c>
      <c r="D141" s="7" t="s">
        <v>342</v>
      </c>
      <c r="E141" s="8" t="s">
        <v>343</v>
      </c>
      <c r="F141" s="66">
        <v>10</v>
      </c>
      <c r="G141" s="30">
        <v>-105</v>
      </c>
      <c r="H141" s="10" t="s">
        <v>7</v>
      </c>
      <c r="I14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4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41"/>
      <c r="L141" s="71">
        <f t="shared" si="8"/>
        <v>0</v>
      </c>
      <c r="M141" s="71" t="str">
        <f>IFERROR(VLOOKUP(L141,NBA_Bets[[Date]:[Version]],2,0),"")</f>
        <v/>
      </c>
      <c r="N141" s="130" t="str">
        <f>COUNTIFS(NBA_Bets[Date],L141,NBA_Bets[Result],"W")&amp;"-"&amp;COUNTIFS(NBA_Bets[Date],L141,NBA_Bets[Result],"L")&amp;IF(COUNTIFS(NBA_Bets[Date],L141,NBA_Bets[Result],"Push")&gt;0,"-"&amp;COUNTIFS(NBA_Bets[Date],L141,NBA_Bets[Result],"Push"),"")</f>
        <v>0-0</v>
      </c>
      <c r="O141" s="131" t="str">
        <f>IFERROR(COUNTIFS(NBA_Bets[Date],L141,NBA_Bets[Result],"W")/(COUNTIFS(NBA_Bets[Date],L141,NBA_Bets[Result],"W")+COUNTIFS(NBA_Bets[Date],L141,NBA_Bets[Result],"L")),"")</f>
        <v/>
      </c>
      <c r="P141" s="88">
        <f>SUMIF(NBA_Bets[Date],L141,NBA_Bets[Winnings])-SUMIF(NBA_Bets[Date],L141,NBA_Bets[Risk])</f>
        <v>0</v>
      </c>
      <c r="Q141" s="89" t="str">
        <f>IFERROR("("&amp;ROUND((SUMIF(NBA_Bets[Date],L141,NBA_Bets[Winnings])-SUMIF(NBA_Bets[Date],L141,NBA_Bets[Risk]))/SUMIF(NBA_Bets[Date],L141,NBA_Bets[Risk]),2)*100&amp;"%)","")</f>
        <v/>
      </c>
    </row>
    <row r="142" spans="1:17" x14ac:dyDescent="0.25">
      <c r="A142" s="70">
        <f t="shared" si="9"/>
        <v>13</v>
      </c>
      <c r="B142" s="6">
        <v>43475</v>
      </c>
      <c r="C142" s="6" t="s">
        <v>297</v>
      </c>
      <c r="D142" s="7" t="s">
        <v>344</v>
      </c>
      <c r="E142" s="8" t="s">
        <v>113</v>
      </c>
      <c r="F142" s="66">
        <v>10</v>
      </c>
      <c r="G142" s="30">
        <v>-105</v>
      </c>
      <c r="H142" s="10" t="s">
        <v>7</v>
      </c>
      <c r="I14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4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42"/>
      <c r="L142" s="71">
        <f t="shared" si="8"/>
        <v>0</v>
      </c>
      <c r="M142" s="71" t="str">
        <f>IFERROR(VLOOKUP(L142,NBA_Bets[[Date]:[Version]],2,0),"")</f>
        <v/>
      </c>
      <c r="N142" s="130" t="str">
        <f>COUNTIFS(NBA_Bets[Date],L142,NBA_Bets[Result],"W")&amp;"-"&amp;COUNTIFS(NBA_Bets[Date],L142,NBA_Bets[Result],"L")&amp;IF(COUNTIFS(NBA_Bets[Date],L142,NBA_Bets[Result],"Push")&gt;0,"-"&amp;COUNTIFS(NBA_Bets[Date],L142,NBA_Bets[Result],"Push"),"")</f>
        <v>0-0</v>
      </c>
      <c r="O142" s="131" t="str">
        <f>IFERROR(COUNTIFS(NBA_Bets[Date],L142,NBA_Bets[Result],"W")/(COUNTIFS(NBA_Bets[Date],L142,NBA_Bets[Result],"W")+COUNTIFS(NBA_Bets[Date],L142,NBA_Bets[Result],"L")),"")</f>
        <v/>
      </c>
      <c r="P142" s="88">
        <f>SUMIF(NBA_Bets[Date],L142,NBA_Bets[Winnings])-SUMIF(NBA_Bets[Date],L142,NBA_Bets[Risk])</f>
        <v>0</v>
      </c>
      <c r="Q142" s="89" t="str">
        <f>IFERROR("("&amp;ROUND((SUMIF(NBA_Bets[Date],L142,NBA_Bets[Winnings])-SUMIF(NBA_Bets[Date],L142,NBA_Bets[Risk]))/SUMIF(NBA_Bets[Date],L142,NBA_Bets[Risk]),2)*100&amp;"%)","")</f>
        <v/>
      </c>
    </row>
    <row r="143" spans="1:17" x14ac:dyDescent="0.25">
      <c r="A143" s="70">
        <f t="shared" si="9"/>
        <v>13</v>
      </c>
      <c r="B143" s="6">
        <v>43475</v>
      </c>
      <c r="C143" s="6" t="s">
        <v>297</v>
      </c>
      <c r="D143" s="7" t="s">
        <v>344</v>
      </c>
      <c r="E143" s="8" t="s">
        <v>345</v>
      </c>
      <c r="F143" s="66">
        <v>10</v>
      </c>
      <c r="G143" s="30">
        <v>-110</v>
      </c>
      <c r="H143" s="10" t="s">
        <v>37</v>
      </c>
      <c r="I14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14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43"/>
      <c r="L143" s="71">
        <f t="shared" si="8"/>
        <v>0</v>
      </c>
      <c r="M143" s="71" t="str">
        <f>IFERROR(VLOOKUP(L143,NBA_Bets[[Date]:[Version]],2,0),"")</f>
        <v/>
      </c>
      <c r="N143" s="130" t="str">
        <f>COUNTIFS(NBA_Bets[Date],L143,NBA_Bets[Result],"W")&amp;"-"&amp;COUNTIFS(NBA_Bets[Date],L143,NBA_Bets[Result],"L")&amp;IF(COUNTIFS(NBA_Bets[Date],L143,NBA_Bets[Result],"Push")&gt;0,"-"&amp;COUNTIFS(NBA_Bets[Date],L143,NBA_Bets[Result],"Push"),"")</f>
        <v>0-0</v>
      </c>
      <c r="O143" s="131" t="str">
        <f>IFERROR(COUNTIFS(NBA_Bets[Date],L143,NBA_Bets[Result],"W")/(COUNTIFS(NBA_Bets[Date],L143,NBA_Bets[Result],"W")+COUNTIFS(NBA_Bets[Date],L143,NBA_Bets[Result],"L")),"")</f>
        <v/>
      </c>
      <c r="P143" s="88">
        <f>SUMIF(NBA_Bets[Date],L143,NBA_Bets[Winnings])-SUMIF(NBA_Bets[Date],L143,NBA_Bets[Risk])</f>
        <v>0</v>
      </c>
      <c r="Q143" s="89" t="str">
        <f>IFERROR("("&amp;ROUND((SUMIF(NBA_Bets[Date],L143,NBA_Bets[Winnings])-SUMIF(NBA_Bets[Date],L143,NBA_Bets[Risk]))/SUMIF(NBA_Bets[Date],L143,NBA_Bets[Risk]),2)*100&amp;"%)","")</f>
        <v/>
      </c>
    </row>
    <row r="144" spans="1:17" x14ac:dyDescent="0.25">
      <c r="A144" s="70">
        <f t="shared" si="9"/>
        <v>13</v>
      </c>
      <c r="B144" s="6">
        <v>43475</v>
      </c>
      <c r="C144" s="6" t="s">
        <v>297</v>
      </c>
      <c r="D144" s="7" t="s">
        <v>344</v>
      </c>
      <c r="E144" s="8" t="s">
        <v>205</v>
      </c>
      <c r="F144" s="66">
        <v>10</v>
      </c>
      <c r="G144" s="30">
        <v>105</v>
      </c>
      <c r="H144" s="10" t="s">
        <v>37</v>
      </c>
      <c r="I14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20.5</v>
      </c>
      <c r="J14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144"/>
      <c r="L144" s="71">
        <f t="shared" si="8"/>
        <v>0</v>
      </c>
      <c r="M144" s="71" t="str">
        <f>IFERROR(VLOOKUP(L144,NBA_Bets[[Date]:[Version]],2,0),"")</f>
        <v/>
      </c>
      <c r="N144" s="130" t="str">
        <f>COUNTIFS(NBA_Bets[Date],L144,NBA_Bets[Result],"W")&amp;"-"&amp;COUNTIFS(NBA_Bets[Date],L144,NBA_Bets[Result],"L")&amp;IF(COUNTIFS(NBA_Bets[Date],L144,NBA_Bets[Result],"Push")&gt;0,"-"&amp;COUNTIFS(NBA_Bets[Date],L144,NBA_Bets[Result],"Push"),"")</f>
        <v>0-0</v>
      </c>
      <c r="O144" s="131" t="str">
        <f>IFERROR(COUNTIFS(NBA_Bets[Date],L144,NBA_Bets[Result],"W")/(COUNTIFS(NBA_Bets[Date],L144,NBA_Bets[Result],"W")+COUNTIFS(NBA_Bets[Date],L144,NBA_Bets[Result],"L")),"")</f>
        <v/>
      </c>
      <c r="P144" s="88">
        <f>SUMIF(NBA_Bets[Date],L144,NBA_Bets[Winnings])-SUMIF(NBA_Bets[Date],L144,NBA_Bets[Risk])</f>
        <v>0</v>
      </c>
      <c r="Q144" s="89" t="str">
        <f>IFERROR("("&amp;ROUND((SUMIF(NBA_Bets[Date],L144,NBA_Bets[Winnings])-SUMIF(NBA_Bets[Date],L144,NBA_Bets[Risk]))/SUMIF(NBA_Bets[Date],L144,NBA_Bets[Risk]),2)*100&amp;"%)","")</f>
        <v/>
      </c>
    </row>
    <row r="145" spans="1:17" x14ac:dyDescent="0.25">
      <c r="A145" s="70">
        <f t="shared" si="9"/>
        <v>13</v>
      </c>
      <c r="B145" s="6">
        <v>43475</v>
      </c>
      <c r="C145" s="6" t="s">
        <v>297</v>
      </c>
      <c r="D145" s="7" t="s">
        <v>346</v>
      </c>
      <c r="E145" s="8" t="s">
        <v>116</v>
      </c>
      <c r="F145" s="66">
        <v>10</v>
      </c>
      <c r="G145" s="30">
        <v>-105</v>
      </c>
      <c r="H145" s="10" t="s">
        <v>37</v>
      </c>
      <c r="I14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19.523809523809526</v>
      </c>
      <c r="J14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45"/>
      <c r="L145" s="71">
        <f t="shared" si="8"/>
        <v>0</v>
      </c>
      <c r="M145" s="71" t="str">
        <f>IFERROR(VLOOKUP(L145,NBA_Bets[[Date]:[Version]],2,0),"")</f>
        <v/>
      </c>
      <c r="N145" s="130" t="str">
        <f>COUNTIFS(NBA_Bets[Date],L145,NBA_Bets[Result],"W")&amp;"-"&amp;COUNTIFS(NBA_Bets[Date],L145,NBA_Bets[Result],"L")&amp;IF(COUNTIFS(NBA_Bets[Date],L145,NBA_Bets[Result],"Push")&gt;0,"-"&amp;COUNTIFS(NBA_Bets[Date],L145,NBA_Bets[Result],"Push"),"")</f>
        <v>0-0</v>
      </c>
      <c r="O145" s="131" t="str">
        <f>IFERROR(COUNTIFS(NBA_Bets[Date],L145,NBA_Bets[Result],"W")/(COUNTIFS(NBA_Bets[Date],L145,NBA_Bets[Result],"W")+COUNTIFS(NBA_Bets[Date],L145,NBA_Bets[Result],"L")),"")</f>
        <v/>
      </c>
      <c r="P145" s="88">
        <f>SUMIF(NBA_Bets[Date],L145,NBA_Bets[Winnings])-SUMIF(NBA_Bets[Date],L145,NBA_Bets[Risk])</f>
        <v>0</v>
      </c>
      <c r="Q145" s="89" t="str">
        <f>IFERROR("("&amp;ROUND((SUMIF(NBA_Bets[Date],L145,NBA_Bets[Winnings])-SUMIF(NBA_Bets[Date],L145,NBA_Bets[Risk]))/SUMIF(NBA_Bets[Date],L145,NBA_Bets[Risk]),2)*100&amp;"%)","")</f>
        <v/>
      </c>
    </row>
    <row r="146" spans="1:17" x14ac:dyDescent="0.25">
      <c r="A146" s="70">
        <f t="shared" si="9"/>
        <v>13</v>
      </c>
      <c r="B146" s="6">
        <v>43475</v>
      </c>
      <c r="C146" s="6" t="s">
        <v>297</v>
      </c>
      <c r="D146" s="7" t="s">
        <v>346</v>
      </c>
      <c r="E146" s="8" t="s">
        <v>347</v>
      </c>
      <c r="F146" s="66">
        <v>10</v>
      </c>
      <c r="G146" s="30">
        <v>-110</v>
      </c>
      <c r="H146" s="10" t="s">
        <v>37</v>
      </c>
      <c r="I14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14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46"/>
      <c r="L146" s="71">
        <f t="shared" si="8"/>
        <v>0</v>
      </c>
      <c r="M146" s="71" t="str">
        <f>IFERROR(VLOOKUP(L146,NBA_Bets[[Date]:[Version]],2,0),"")</f>
        <v/>
      </c>
      <c r="N146" s="130" t="str">
        <f>COUNTIFS(NBA_Bets[Date],L146,NBA_Bets[Result],"W")&amp;"-"&amp;COUNTIFS(NBA_Bets[Date],L146,NBA_Bets[Result],"L")&amp;IF(COUNTIFS(NBA_Bets[Date],L146,NBA_Bets[Result],"Push")&gt;0,"-"&amp;COUNTIFS(NBA_Bets[Date],L146,NBA_Bets[Result],"Push"),"")</f>
        <v>0-0</v>
      </c>
      <c r="O146" s="131" t="str">
        <f>IFERROR(COUNTIFS(NBA_Bets[Date],L146,NBA_Bets[Result],"W")/(COUNTIFS(NBA_Bets[Date],L146,NBA_Bets[Result],"W")+COUNTIFS(NBA_Bets[Date],L146,NBA_Bets[Result],"L")),"")</f>
        <v/>
      </c>
      <c r="P146" s="88">
        <f>SUMIF(NBA_Bets[Date],L146,NBA_Bets[Winnings])-SUMIF(NBA_Bets[Date],L146,NBA_Bets[Risk])</f>
        <v>0</v>
      </c>
      <c r="Q146" s="89" t="str">
        <f>IFERROR("("&amp;ROUND((SUMIF(NBA_Bets[Date],L146,NBA_Bets[Winnings])-SUMIF(NBA_Bets[Date],L146,NBA_Bets[Risk]))/SUMIF(NBA_Bets[Date],L146,NBA_Bets[Risk]),2)*100&amp;"%)","")</f>
        <v/>
      </c>
    </row>
    <row r="147" spans="1:17" x14ac:dyDescent="0.25">
      <c r="A147" s="70">
        <f t="shared" si="9"/>
        <v>14</v>
      </c>
      <c r="B147" s="6">
        <v>43476</v>
      </c>
      <c r="C147" s="6" t="s">
        <v>366</v>
      </c>
      <c r="D147" s="7" t="s">
        <v>349</v>
      </c>
      <c r="E147" s="8" t="s">
        <v>350</v>
      </c>
      <c r="F147" s="66">
        <v>10</v>
      </c>
      <c r="G147" s="30">
        <v>-115</v>
      </c>
      <c r="H147" s="10" t="s">
        <v>7</v>
      </c>
      <c r="I14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4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47"/>
      <c r="L147" s="71">
        <f t="shared" si="8"/>
        <v>0</v>
      </c>
      <c r="M147" s="71" t="str">
        <f>IFERROR(VLOOKUP(L147,NBA_Bets[[Date]:[Version]],2,0),"")</f>
        <v/>
      </c>
      <c r="N147" s="130" t="str">
        <f>COUNTIFS(NBA_Bets[Date],L147,NBA_Bets[Result],"W")&amp;"-"&amp;COUNTIFS(NBA_Bets[Date],L147,NBA_Bets[Result],"L")&amp;IF(COUNTIFS(NBA_Bets[Date],L147,NBA_Bets[Result],"Push")&gt;0,"-"&amp;COUNTIFS(NBA_Bets[Date],L147,NBA_Bets[Result],"Push"),"")</f>
        <v>0-0</v>
      </c>
      <c r="O147" s="131" t="str">
        <f>IFERROR(COUNTIFS(NBA_Bets[Date],L147,NBA_Bets[Result],"W")/(COUNTIFS(NBA_Bets[Date],L147,NBA_Bets[Result],"W")+COUNTIFS(NBA_Bets[Date],L147,NBA_Bets[Result],"L")),"")</f>
        <v/>
      </c>
      <c r="P147" s="88">
        <f>SUMIF(NBA_Bets[Date],L147,NBA_Bets[Winnings])-SUMIF(NBA_Bets[Date],L147,NBA_Bets[Risk])</f>
        <v>0</v>
      </c>
      <c r="Q147" s="89" t="str">
        <f>IFERROR("("&amp;ROUND((SUMIF(NBA_Bets[Date],L147,NBA_Bets[Winnings])-SUMIF(NBA_Bets[Date],L147,NBA_Bets[Risk]))/SUMIF(NBA_Bets[Date],L147,NBA_Bets[Risk]),2)*100&amp;"%)","")</f>
        <v/>
      </c>
    </row>
    <row r="148" spans="1:17" x14ac:dyDescent="0.25">
      <c r="A148" s="70">
        <f t="shared" si="9"/>
        <v>14</v>
      </c>
      <c r="B148" s="6">
        <v>43476</v>
      </c>
      <c r="C148" s="6" t="s">
        <v>366</v>
      </c>
      <c r="D148" s="7" t="s">
        <v>349</v>
      </c>
      <c r="E148" s="8" t="s">
        <v>351</v>
      </c>
      <c r="F148" s="66">
        <v>10</v>
      </c>
      <c r="G148" s="30">
        <v>-110</v>
      </c>
      <c r="H148" s="10" t="s">
        <v>7</v>
      </c>
      <c r="I14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4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48"/>
      <c r="L148" s="71">
        <f t="shared" si="8"/>
        <v>0</v>
      </c>
      <c r="M148" s="71" t="str">
        <f>IFERROR(VLOOKUP(L148,NBA_Bets[[Date]:[Version]],2,0),"")</f>
        <v/>
      </c>
      <c r="N148" s="130" t="str">
        <f>COUNTIFS(NBA_Bets[Date],L148,NBA_Bets[Result],"W")&amp;"-"&amp;COUNTIFS(NBA_Bets[Date],L148,NBA_Bets[Result],"L")&amp;IF(COUNTIFS(NBA_Bets[Date],L148,NBA_Bets[Result],"Push")&gt;0,"-"&amp;COUNTIFS(NBA_Bets[Date],L148,NBA_Bets[Result],"Push"),"")</f>
        <v>0-0</v>
      </c>
      <c r="O148" s="131" t="str">
        <f>IFERROR(COUNTIFS(NBA_Bets[Date],L148,NBA_Bets[Result],"W")/(COUNTIFS(NBA_Bets[Date],L148,NBA_Bets[Result],"W")+COUNTIFS(NBA_Bets[Date],L148,NBA_Bets[Result],"L")),"")</f>
        <v/>
      </c>
      <c r="P148" s="88">
        <f>SUMIF(NBA_Bets[Date],L148,NBA_Bets[Winnings])-SUMIF(NBA_Bets[Date],L148,NBA_Bets[Risk])</f>
        <v>0</v>
      </c>
      <c r="Q148" s="89" t="str">
        <f>IFERROR("("&amp;ROUND((SUMIF(NBA_Bets[Date],L148,NBA_Bets[Winnings])-SUMIF(NBA_Bets[Date],L148,NBA_Bets[Risk]))/SUMIF(NBA_Bets[Date],L148,NBA_Bets[Risk]),2)*100&amp;"%)","")</f>
        <v/>
      </c>
    </row>
    <row r="149" spans="1:17" x14ac:dyDescent="0.25">
      <c r="A149" s="70">
        <f t="shared" si="9"/>
        <v>14</v>
      </c>
      <c r="B149" s="6">
        <v>43476</v>
      </c>
      <c r="C149" s="6" t="s">
        <v>366</v>
      </c>
      <c r="D149" s="7" t="s">
        <v>352</v>
      </c>
      <c r="E149" s="8" t="s">
        <v>353</v>
      </c>
      <c r="F149" s="66">
        <v>10</v>
      </c>
      <c r="G149" s="30">
        <v>-115</v>
      </c>
      <c r="H149" s="10" t="s">
        <v>37</v>
      </c>
      <c r="I14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18.695652173913043</v>
      </c>
      <c r="J14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49"/>
      <c r="L149" s="71">
        <f t="shared" si="8"/>
        <v>0</v>
      </c>
      <c r="M149" s="71" t="str">
        <f>IFERROR(VLOOKUP(L149,NBA_Bets[[Date]:[Version]],2,0),"")</f>
        <v/>
      </c>
      <c r="N149" s="130" t="str">
        <f>COUNTIFS(NBA_Bets[Date],L149,NBA_Bets[Result],"W")&amp;"-"&amp;COUNTIFS(NBA_Bets[Date],L149,NBA_Bets[Result],"L")&amp;IF(COUNTIFS(NBA_Bets[Date],L149,NBA_Bets[Result],"Push")&gt;0,"-"&amp;COUNTIFS(NBA_Bets[Date],L149,NBA_Bets[Result],"Push"),"")</f>
        <v>0-0</v>
      </c>
      <c r="O149" s="131" t="str">
        <f>IFERROR(COUNTIFS(NBA_Bets[Date],L149,NBA_Bets[Result],"W")/(COUNTIFS(NBA_Bets[Date],L149,NBA_Bets[Result],"W")+COUNTIFS(NBA_Bets[Date],L149,NBA_Bets[Result],"L")),"")</f>
        <v/>
      </c>
      <c r="P149" s="88">
        <f>SUMIF(NBA_Bets[Date],L149,NBA_Bets[Winnings])-SUMIF(NBA_Bets[Date],L149,NBA_Bets[Risk])</f>
        <v>0</v>
      </c>
      <c r="Q149" s="89" t="str">
        <f>IFERROR("("&amp;ROUND((SUMIF(NBA_Bets[Date],L149,NBA_Bets[Winnings])-SUMIF(NBA_Bets[Date],L149,NBA_Bets[Risk]))/SUMIF(NBA_Bets[Date],L149,NBA_Bets[Risk]),2)*100&amp;"%)","")</f>
        <v/>
      </c>
    </row>
    <row r="150" spans="1:17" x14ac:dyDescent="0.25">
      <c r="A150" s="70">
        <f t="shared" si="9"/>
        <v>14</v>
      </c>
      <c r="B150" s="6">
        <v>43476</v>
      </c>
      <c r="C150" s="6" t="s">
        <v>366</v>
      </c>
      <c r="D150" s="7" t="s">
        <v>352</v>
      </c>
      <c r="E150" s="8" t="s">
        <v>289</v>
      </c>
      <c r="F150" s="66">
        <v>10</v>
      </c>
      <c r="G150" s="30">
        <v>-110</v>
      </c>
      <c r="H150" s="10" t="s">
        <v>7</v>
      </c>
      <c r="I15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5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50"/>
      <c r="L150" s="71">
        <f t="shared" si="8"/>
        <v>0</v>
      </c>
      <c r="M150" s="71" t="str">
        <f>IFERROR(VLOOKUP(L150,NBA_Bets[[Date]:[Version]],2,0),"")</f>
        <v/>
      </c>
      <c r="N150" s="130" t="str">
        <f>COUNTIFS(NBA_Bets[Date],L150,NBA_Bets[Result],"W")&amp;"-"&amp;COUNTIFS(NBA_Bets[Date],L150,NBA_Bets[Result],"L")&amp;IF(COUNTIFS(NBA_Bets[Date],L150,NBA_Bets[Result],"Push")&gt;0,"-"&amp;COUNTIFS(NBA_Bets[Date],L150,NBA_Bets[Result],"Push"),"")</f>
        <v>0-0</v>
      </c>
      <c r="O150" s="131" t="str">
        <f>IFERROR(COUNTIFS(NBA_Bets[Date],L150,NBA_Bets[Result],"W")/(COUNTIFS(NBA_Bets[Date],L150,NBA_Bets[Result],"W")+COUNTIFS(NBA_Bets[Date],L150,NBA_Bets[Result],"L")),"")</f>
        <v/>
      </c>
      <c r="P150" s="88">
        <f>SUMIF(NBA_Bets[Date],L150,NBA_Bets[Winnings])-SUMIF(NBA_Bets[Date],L150,NBA_Bets[Risk])</f>
        <v>0</v>
      </c>
      <c r="Q150" s="89" t="str">
        <f>IFERROR("("&amp;ROUND((SUMIF(NBA_Bets[Date],L150,NBA_Bets[Winnings])-SUMIF(NBA_Bets[Date],L150,NBA_Bets[Risk]))/SUMIF(NBA_Bets[Date],L150,NBA_Bets[Risk]),2)*100&amp;"%)","")</f>
        <v/>
      </c>
    </row>
    <row r="151" spans="1:17" x14ac:dyDescent="0.25">
      <c r="A151" s="70">
        <f t="shared" si="9"/>
        <v>14</v>
      </c>
      <c r="B151" s="6">
        <v>43476</v>
      </c>
      <c r="C151" s="6" t="s">
        <v>366</v>
      </c>
      <c r="D151" s="7" t="s">
        <v>354</v>
      </c>
      <c r="E151" s="8" t="s">
        <v>355</v>
      </c>
      <c r="F151" s="66">
        <v>10</v>
      </c>
      <c r="G151" s="30">
        <v>-115</v>
      </c>
      <c r="H151" s="10" t="s">
        <v>37</v>
      </c>
      <c r="I15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18.695652173913043</v>
      </c>
      <c r="J15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51"/>
      <c r="L151" s="71">
        <f t="shared" si="8"/>
        <v>0</v>
      </c>
      <c r="M151" s="71" t="str">
        <f>IFERROR(VLOOKUP(L151,NBA_Bets[[Date]:[Version]],2,0),"")</f>
        <v/>
      </c>
      <c r="N151" s="130" t="str">
        <f>COUNTIFS(NBA_Bets[Date],L151,NBA_Bets[Result],"W")&amp;"-"&amp;COUNTIFS(NBA_Bets[Date],L151,NBA_Bets[Result],"L")&amp;IF(COUNTIFS(NBA_Bets[Date],L151,NBA_Bets[Result],"Push")&gt;0,"-"&amp;COUNTIFS(NBA_Bets[Date],L151,NBA_Bets[Result],"Push"),"")</f>
        <v>0-0</v>
      </c>
      <c r="O151" s="131" t="str">
        <f>IFERROR(COUNTIFS(NBA_Bets[Date],L151,NBA_Bets[Result],"W")/(COUNTIFS(NBA_Bets[Date],L151,NBA_Bets[Result],"W")+COUNTIFS(NBA_Bets[Date],L151,NBA_Bets[Result],"L")),"")</f>
        <v/>
      </c>
      <c r="P151" s="88">
        <f>SUMIF(NBA_Bets[Date],L151,NBA_Bets[Winnings])-SUMIF(NBA_Bets[Date],L151,NBA_Bets[Risk])</f>
        <v>0</v>
      </c>
      <c r="Q151" s="89" t="str">
        <f>IFERROR("("&amp;ROUND((SUMIF(NBA_Bets[Date],L151,NBA_Bets[Winnings])-SUMIF(NBA_Bets[Date],L151,NBA_Bets[Risk]))/SUMIF(NBA_Bets[Date],L151,NBA_Bets[Risk]),2)*100&amp;"%)","")</f>
        <v/>
      </c>
    </row>
    <row r="152" spans="1:17" x14ac:dyDescent="0.25">
      <c r="A152" s="70">
        <f t="shared" si="9"/>
        <v>14</v>
      </c>
      <c r="B152" s="6">
        <v>43476</v>
      </c>
      <c r="C152" s="6" t="s">
        <v>366</v>
      </c>
      <c r="D152" s="7" t="s">
        <v>356</v>
      </c>
      <c r="E152" s="8" t="s">
        <v>357</v>
      </c>
      <c r="F152" s="66">
        <v>10</v>
      </c>
      <c r="G152" s="30">
        <v>-110</v>
      </c>
      <c r="H152" s="10" t="s">
        <v>7</v>
      </c>
      <c r="I15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5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52"/>
      <c r="L152" s="71">
        <f t="shared" si="8"/>
        <v>0</v>
      </c>
      <c r="M152" s="71" t="str">
        <f>IFERROR(VLOOKUP(L152,NBA_Bets[[Date]:[Version]],2,0),"")</f>
        <v/>
      </c>
      <c r="N152" s="130" t="str">
        <f>COUNTIFS(NBA_Bets[Date],L152,NBA_Bets[Result],"W")&amp;"-"&amp;COUNTIFS(NBA_Bets[Date],L152,NBA_Bets[Result],"L")&amp;IF(COUNTIFS(NBA_Bets[Date],L152,NBA_Bets[Result],"Push")&gt;0,"-"&amp;COUNTIFS(NBA_Bets[Date],L152,NBA_Bets[Result],"Push"),"")</f>
        <v>0-0</v>
      </c>
      <c r="O152" s="131" t="str">
        <f>IFERROR(COUNTIFS(NBA_Bets[Date],L152,NBA_Bets[Result],"W")/(COUNTIFS(NBA_Bets[Date],L152,NBA_Bets[Result],"W")+COUNTIFS(NBA_Bets[Date],L152,NBA_Bets[Result],"L")),"")</f>
        <v/>
      </c>
      <c r="P152" s="88">
        <f>SUMIF(NBA_Bets[Date],L152,NBA_Bets[Winnings])-SUMIF(NBA_Bets[Date],L152,NBA_Bets[Risk])</f>
        <v>0</v>
      </c>
      <c r="Q152" s="89" t="str">
        <f>IFERROR("("&amp;ROUND((SUMIF(NBA_Bets[Date],L152,NBA_Bets[Winnings])-SUMIF(NBA_Bets[Date],L152,NBA_Bets[Risk]))/SUMIF(NBA_Bets[Date],L152,NBA_Bets[Risk]),2)*100&amp;"%)","")</f>
        <v/>
      </c>
    </row>
    <row r="153" spans="1:17" x14ac:dyDescent="0.25">
      <c r="A153" s="70">
        <f t="shared" si="9"/>
        <v>14</v>
      </c>
      <c r="B153" s="6">
        <v>43476</v>
      </c>
      <c r="C153" s="6" t="s">
        <v>366</v>
      </c>
      <c r="D153" s="7" t="s">
        <v>356</v>
      </c>
      <c r="E153" s="8" t="s">
        <v>358</v>
      </c>
      <c r="F153" s="66">
        <v>10</v>
      </c>
      <c r="G153" s="30">
        <v>-110</v>
      </c>
      <c r="H153" s="10" t="s">
        <v>37</v>
      </c>
      <c r="I15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15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53"/>
      <c r="L153" s="71">
        <f t="shared" si="8"/>
        <v>0</v>
      </c>
      <c r="M153" s="71" t="str">
        <f>IFERROR(VLOOKUP(L153,NBA_Bets[[Date]:[Version]],2,0),"")</f>
        <v/>
      </c>
      <c r="N153" s="130" t="str">
        <f>COUNTIFS(NBA_Bets[Date],L153,NBA_Bets[Result],"W")&amp;"-"&amp;COUNTIFS(NBA_Bets[Date],L153,NBA_Bets[Result],"L")&amp;IF(COUNTIFS(NBA_Bets[Date],L153,NBA_Bets[Result],"Push")&gt;0,"-"&amp;COUNTIFS(NBA_Bets[Date],L153,NBA_Bets[Result],"Push"),"")</f>
        <v>0-0</v>
      </c>
      <c r="O153" s="131" t="str">
        <f>IFERROR(COUNTIFS(NBA_Bets[Date],L153,NBA_Bets[Result],"W")/(COUNTIFS(NBA_Bets[Date],L153,NBA_Bets[Result],"W")+COUNTIFS(NBA_Bets[Date],L153,NBA_Bets[Result],"L")),"")</f>
        <v/>
      </c>
      <c r="P153" s="88">
        <f>SUMIF(NBA_Bets[Date],L153,NBA_Bets[Winnings])-SUMIF(NBA_Bets[Date],L153,NBA_Bets[Risk])</f>
        <v>0</v>
      </c>
      <c r="Q153" s="89" t="str">
        <f>IFERROR("("&amp;ROUND((SUMIF(NBA_Bets[Date],L153,NBA_Bets[Winnings])-SUMIF(NBA_Bets[Date],L153,NBA_Bets[Risk]))/SUMIF(NBA_Bets[Date],L153,NBA_Bets[Risk]),2)*100&amp;"%)","")</f>
        <v/>
      </c>
    </row>
    <row r="154" spans="1:17" x14ac:dyDescent="0.25">
      <c r="A154" s="70">
        <f t="shared" si="9"/>
        <v>14</v>
      </c>
      <c r="B154" s="6">
        <v>43476</v>
      </c>
      <c r="C154" s="6" t="s">
        <v>366</v>
      </c>
      <c r="D154" s="7" t="s">
        <v>359</v>
      </c>
      <c r="E154" s="8" t="s">
        <v>209</v>
      </c>
      <c r="F154" s="66">
        <v>10</v>
      </c>
      <c r="G154" s="30">
        <v>-105</v>
      </c>
      <c r="H154" s="10" t="s">
        <v>7</v>
      </c>
      <c r="I15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5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54"/>
      <c r="L154" s="71">
        <f t="shared" si="8"/>
        <v>0</v>
      </c>
      <c r="M154" s="71" t="str">
        <f>IFERROR(VLOOKUP(L154,NBA_Bets[[Date]:[Version]],2,0),"")</f>
        <v/>
      </c>
      <c r="N154" s="130" t="str">
        <f>COUNTIFS(NBA_Bets[Date],L154,NBA_Bets[Result],"W")&amp;"-"&amp;COUNTIFS(NBA_Bets[Date],L154,NBA_Bets[Result],"L")&amp;IF(COUNTIFS(NBA_Bets[Date],L154,NBA_Bets[Result],"Push")&gt;0,"-"&amp;COUNTIFS(NBA_Bets[Date],L154,NBA_Bets[Result],"Push"),"")</f>
        <v>0-0</v>
      </c>
      <c r="O154" s="131" t="str">
        <f>IFERROR(COUNTIFS(NBA_Bets[Date],L154,NBA_Bets[Result],"W")/(COUNTIFS(NBA_Bets[Date],L154,NBA_Bets[Result],"W")+COUNTIFS(NBA_Bets[Date],L154,NBA_Bets[Result],"L")),"")</f>
        <v/>
      </c>
      <c r="P154" s="88">
        <f>SUMIF(NBA_Bets[Date],L154,NBA_Bets[Winnings])-SUMIF(NBA_Bets[Date],L154,NBA_Bets[Risk])</f>
        <v>0</v>
      </c>
      <c r="Q154" s="89" t="str">
        <f>IFERROR("("&amp;ROUND((SUMIF(NBA_Bets[Date],L154,NBA_Bets[Winnings])-SUMIF(NBA_Bets[Date],L154,NBA_Bets[Risk]))/SUMIF(NBA_Bets[Date],L154,NBA_Bets[Risk]),2)*100&amp;"%)","")</f>
        <v/>
      </c>
    </row>
    <row r="155" spans="1:17" x14ac:dyDescent="0.25">
      <c r="A155" s="70">
        <f t="shared" si="9"/>
        <v>14</v>
      </c>
      <c r="B155" s="6">
        <v>43476</v>
      </c>
      <c r="C155" s="6" t="s">
        <v>366</v>
      </c>
      <c r="D155" s="7" t="s">
        <v>359</v>
      </c>
      <c r="E155" s="8" t="s">
        <v>360</v>
      </c>
      <c r="F155" s="66">
        <v>10</v>
      </c>
      <c r="G155" s="30">
        <v>-105</v>
      </c>
      <c r="H155" s="10" t="s">
        <v>37</v>
      </c>
      <c r="I15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19.523809523809526</v>
      </c>
      <c r="J15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55"/>
      <c r="L155" s="71">
        <f t="shared" si="8"/>
        <v>0</v>
      </c>
      <c r="M155" s="71" t="str">
        <f>IFERROR(VLOOKUP(L155,NBA_Bets[[Date]:[Version]],2,0),"")</f>
        <v/>
      </c>
      <c r="N155" s="130" t="str">
        <f>COUNTIFS(NBA_Bets[Date],L155,NBA_Bets[Result],"W")&amp;"-"&amp;COUNTIFS(NBA_Bets[Date],L155,NBA_Bets[Result],"L")&amp;IF(COUNTIFS(NBA_Bets[Date],L155,NBA_Bets[Result],"Push")&gt;0,"-"&amp;COUNTIFS(NBA_Bets[Date],L155,NBA_Bets[Result],"Push"),"")</f>
        <v>0-0</v>
      </c>
      <c r="O155" s="131" t="str">
        <f>IFERROR(COUNTIFS(NBA_Bets[Date],L155,NBA_Bets[Result],"W")/(COUNTIFS(NBA_Bets[Date],L155,NBA_Bets[Result],"W")+COUNTIFS(NBA_Bets[Date],L155,NBA_Bets[Result],"L")),"")</f>
        <v/>
      </c>
      <c r="P155" s="88">
        <f>SUMIF(NBA_Bets[Date],L155,NBA_Bets[Winnings])-SUMIF(NBA_Bets[Date],L155,NBA_Bets[Risk])</f>
        <v>0</v>
      </c>
      <c r="Q155" s="89" t="str">
        <f>IFERROR("("&amp;ROUND((SUMIF(NBA_Bets[Date],L155,NBA_Bets[Winnings])-SUMIF(NBA_Bets[Date],L155,NBA_Bets[Risk]))/SUMIF(NBA_Bets[Date],L155,NBA_Bets[Risk]),2)*100&amp;"%)","")</f>
        <v/>
      </c>
    </row>
    <row r="156" spans="1:17" x14ac:dyDescent="0.25">
      <c r="A156" s="70">
        <f t="shared" si="9"/>
        <v>14</v>
      </c>
      <c r="B156" s="6">
        <v>43476</v>
      </c>
      <c r="C156" s="6" t="s">
        <v>366</v>
      </c>
      <c r="D156" s="7" t="s">
        <v>361</v>
      </c>
      <c r="E156" s="8" t="s">
        <v>154</v>
      </c>
      <c r="F156" s="66">
        <v>10</v>
      </c>
      <c r="G156" s="30">
        <v>-105</v>
      </c>
      <c r="H156" s="10" t="s">
        <v>7</v>
      </c>
      <c r="I15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5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56"/>
      <c r="L156" s="71">
        <f t="shared" si="8"/>
        <v>0</v>
      </c>
      <c r="M156" s="71" t="str">
        <f>IFERROR(VLOOKUP(L156,NBA_Bets[[Date]:[Version]],2,0),"")</f>
        <v/>
      </c>
      <c r="N156" s="130" t="str">
        <f>COUNTIFS(NBA_Bets[Date],L156,NBA_Bets[Result],"W")&amp;"-"&amp;COUNTIFS(NBA_Bets[Date],L156,NBA_Bets[Result],"L")&amp;IF(COUNTIFS(NBA_Bets[Date],L156,NBA_Bets[Result],"Push")&gt;0,"-"&amp;COUNTIFS(NBA_Bets[Date],L156,NBA_Bets[Result],"Push"),"")</f>
        <v>0-0</v>
      </c>
      <c r="O156" s="131" t="str">
        <f>IFERROR(COUNTIFS(NBA_Bets[Date],L156,NBA_Bets[Result],"W")/(COUNTIFS(NBA_Bets[Date],L156,NBA_Bets[Result],"W")+COUNTIFS(NBA_Bets[Date],L156,NBA_Bets[Result],"L")),"")</f>
        <v/>
      </c>
      <c r="P156" s="88">
        <f>SUMIF(NBA_Bets[Date],L156,NBA_Bets[Winnings])-SUMIF(NBA_Bets[Date],L156,NBA_Bets[Risk])</f>
        <v>0</v>
      </c>
      <c r="Q156" s="89" t="str">
        <f>IFERROR("("&amp;ROUND((SUMIF(NBA_Bets[Date],L156,NBA_Bets[Winnings])-SUMIF(NBA_Bets[Date],L156,NBA_Bets[Risk]))/SUMIF(NBA_Bets[Date],L156,NBA_Bets[Risk]),2)*100&amp;"%)","")</f>
        <v/>
      </c>
    </row>
    <row r="157" spans="1:17" x14ac:dyDescent="0.25">
      <c r="A157" s="70">
        <f t="shared" si="9"/>
        <v>14</v>
      </c>
      <c r="B157" s="6">
        <v>43476</v>
      </c>
      <c r="C157" s="6" t="s">
        <v>366</v>
      </c>
      <c r="D157" s="7" t="s">
        <v>362</v>
      </c>
      <c r="E157" s="8" t="s">
        <v>291</v>
      </c>
      <c r="F157" s="66">
        <v>10</v>
      </c>
      <c r="G157" s="30">
        <v>-110</v>
      </c>
      <c r="H157" s="10" t="s">
        <v>7</v>
      </c>
      <c r="I15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5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57"/>
      <c r="L157" s="71">
        <f t="shared" si="8"/>
        <v>0</v>
      </c>
      <c r="M157" s="71" t="str">
        <f>IFERROR(VLOOKUP(L157,NBA_Bets[[Date]:[Version]],2,0),"")</f>
        <v/>
      </c>
      <c r="N157" s="130" t="str">
        <f>COUNTIFS(NBA_Bets[Date],L157,NBA_Bets[Result],"W")&amp;"-"&amp;COUNTIFS(NBA_Bets[Date],L157,NBA_Bets[Result],"L")&amp;IF(COUNTIFS(NBA_Bets[Date],L157,NBA_Bets[Result],"Push")&gt;0,"-"&amp;COUNTIFS(NBA_Bets[Date],L157,NBA_Bets[Result],"Push"),"")</f>
        <v>0-0</v>
      </c>
      <c r="O157" s="131" t="str">
        <f>IFERROR(COUNTIFS(NBA_Bets[Date],L157,NBA_Bets[Result],"W")/(COUNTIFS(NBA_Bets[Date],L157,NBA_Bets[Result],"W")+COUNTIFS(NBA_Bets[Date],L157,NBA_Bets[Result],"L")),"")</f>
        <v/>
      </c>
      <c r="P157" s="88">
        <f>SUMIF(NBA_Bets[Date],L157,NBA_Bets[Winnings])-SUMIF(NBA_Bets[Date],L157,NBA_Bets[Risk])</f>
        <v>0</v>
      </c>
      <c r="Q157" s="89" t="str">
        <f>IFERROR("("&amp;ROUND((SUMIF(NBA_Bets[Date],L157,NBA_Bets[Winnings])-SUMIF(NBA_Bets[Date],L157,NBA_Bets[Risk]))/SUMIF(NBA_Bets[Date],L157,NBA_Bets[Risk]),2)*100&amp;"%)","")</f>
        <v/>
      </c>
    </row>
    <row r="158" spans="1:17" x14ac:dyDescent="0.25">
      <c r="A158" s="70">
        <f t="shared" si="9"/>
        <v>14</v>
      </c>
      <c r="B158" s="6">
        <v>43476</v>
      </c>
      <c r="C158" s="6" t="s">
        <v>366</v>
      </c>
      <c r="D158" s="7" t="s">
        <v>363</v>
      </c>
      <c r="E158" s="8" t="s">
        <v>288</v>
      </c>
      <c r="F158" s="66">
        <v>10</v>
      </c>
      <c r="G158" s="30">
        <v>-105</v>
      </c>
      <c r="H158" s="10" t="s">
        <v>7</v>
      </c>
      <c r="I15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5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58"/>
      <c r="L158" s="71">
        <f t="shared" si="8"/>
        <v>0</v>
      </c>
      <c r="M158" s="71" t="str">
        <f>IFERROR(VLOOKUP(L158,NBA_Bets[[Date]:[Version]],2,0),"")</f>
        <v/>
      </c>
      <c r="N158" s="130" t="str">
        <f>COUNTIFS(NBA_Bets[Date],L158,NBA_Bets[Result],"W")&amp;"-"&amp;COUNTIFS(NBA_Bets[Date],L158,NBA_Bets[Result],"L")&amp;IF(COUNTIFS(NBA_Bets[Date],L158,NBA_Bets[Result],"Push")&gt;0,"-"&amp;COUNTIFS(NBA_Bets[Date],L158,NBA_Bets[Result],"Push"),"")</f>
        <v>0-0</v>
      </c>
      <c r="O158" s="131" t="str">
        <f>IFERROR(COUNTIFS(NBA_Bets[Date],L158,NBA_Bets[Result],"W")/(COUNTIFS(NBA_Bets[Date],L158,NBA_Bets[Result],"W")+COUNTIFS(NBA_Bets[Date],L158,NBA_Bets[Result],"L")),"")</f>
        <v/>
      </c>
      <c r="P158" s="88">
        <f>SUMIF(NBA_Bets[Date],L158,NBA_Bets[Winnings])-SUMIF(NBA_Bets[Date],L158,NBA_Bets[Risk])</f>
        <v>0</v>
      </c>
      <c r="Q158" s="89" t="str">
        <f>IFERROR("("&amp;ROUND((SUMIF(NBA_Bets[Date],L158,NBA_Bets[Winnings])-SUMIF(NBA_Bets[Date],L158,NBA_Bets[Risk]))/SUMIF(NBA_Bets[Date],L158,NBA_Bets[Risk]),2)*100&amp;"%)","")</f>
        <v/>
      </c>
    </row>
    <row r="159" spans="1:17" x14ac:dyDescent="0.25">
      <c r="A159" s="70">
        <f t="shared" si="9"/>
        <v>14</v>
      </c>
      <c r="B159" s="6">
        <v>43476</v>
      </c>
      <c r="C159" s="6" t="s">
        <v>366</v>
      </c>
      <c r="D159" s="7" t="s">
        <v>363</v>
      </c>
      <c r="E159" s="8" t="s">
        <v>364</v>
      </c>
      <c r="F159" s="66">
        <v>10</v>
      </c>
      <c r="G159" s="30">
        <v>-105</v>
      </c>
      <c r="H159" s="10" t="s">
        <v>37</v>
      </c>
      <c r="I15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19.523809523809526</v>
      </c>
      <c r="J15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59"/>
      <c r="L159" s="71"/>
      <c r="M159" s="71"/>
      <c r="N159" s="94"/>
      <c r="P159" s="88"/>
      <c r="Q159" s="89"/>
    </row>
    <row r="160" spans="1:17" x14ac:dyDescent="0.25">
      <c r="A160" s="70">
        <f t="shared" si="9"/>
        <v>15</v>
      </c>
      <c r="B160" s="6">
        <v>43479</v>
      </c>
      <c r="C160" s="6" t="s">
        <v>366</v>
      </c>
      <c r="D160" s="7" t="s">
        <v>383</v>
      </c>
      <c r="E160" s="8" t="s">
        <v>384</v>
      </c>
      <c r="F160" s="66">
        <v>10</v>
      </c>
      <c r="G160" s="96">
        <v>-115</v>
      </c>
      <c r="H160" s="10" t="s">
        <v>7</v>
      </c>
      <c r="I16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6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60" s="71"/>
      <c r="M160" s="71"/>
      <c r="N160" s="94"/>
      <c r="P160" s="89"/>
    </row>
    <row r="161" spans="1:16" x14ac:dyDescent="0.25">
      <c r="A161" s="70">
        <f t="shared" si="9"/>
        <v>15</v>
      </c>
      <c r="B161" s="6">
        <v>43479</v>
      </c>
      <c r="C161" s="6" t="s">
        <v>366</v>
      </c>
      <c r="D161" s="7" t="s">
        <v>383</v>
      </c>
      <c r="E161" s="8" t="s">
        <v>341</v>
      </c>
      <c r="F161" s="66">
        <v>10</v>
      </c>
      <c r="G161" s="96">
        <v>-110</v>
      </c>
      <c r="H161" s="10" t="s">
        <v>7</v>
      </c>
      <c r="I16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6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61" s="71"/>
      <c r="M161" s="71"/>
      <c r="N161" s="94"/>
      <c r="P161" s="89"/>
    </row>
    <row r="162" spans="1:16" x14ac:dyDescent="0.25">
      <c r="A162" s="70">
        <f t="shared" si="9"/>
        <v>15</v>
      </c>
      <c r="B162" s="6">
        <v>43479</v>
      </c>
      <c r="C162" s="6" t="s">
        <v>366</v>
      </c>
      <c r="D162" s="7" t="s">
        <v>385</v>
      </c>
      <c r="E162" s="8" t="s">
        <v>134</v>
      </c>
      <c r="F162" s="66">
        <v>10</v>
      </c>
      <c r="G162" s="96">
        <v>-105</v>
      </c>
      <c r="H162" s="10" t="s">
        <v>7</v>
      </c>
      <c r="I16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6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62" s="71"/>
      <c r="M162" s="71"/>
      <c r="N162" s="94"/>
      <c r="P162" s="89"/>
    </row>
    <row r="163" spans="1:16" x14ac:dyDescent="0.25">
      <c r="A163" s="70">
        <f t="shared" si="9"/>
        <v>15</v>
      </c>
      <c r="B163" s="6">
        <v>43479</v>
      </c>
      <c r="C163" s="6" t="s">
        <v>366</v>
      </c>
      <c r="D163" s="7" t="s">
        <v>385</v>
      </c>
      <c r="E163" s="8" t="s">
        <v>386</v>
      </c>
      <c r="F163" s="66">
        <v>10</v>
      </c>
      <c r="G163" s="96">
        <v>-105</v>
      </c>
      <c r="H163" s="10" t="s">
        <v>37</v>
      </c>
      <c r="I16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19.523809523809526</v>
      </c>
      <c r="J16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63" s="71"/>
      <c r="M163" s="71"/>
      <c r="N163" s="94"/>
      <c r="P163" s="89"/>
    </row>
    <row r="164" spans="1:16" x14ac:dyDescent="0.25">
      <c r="A164" s="70">
        <f t="shared" si="9"/>
        <v>15</v>
      </c>
      <c r="B164" s="6">
        <v>43479</v>
      </c>
      <c r="C164" s="6" t="s">
        <v>366</v>
      </c>
      <c r="D164" s="7" t="s">
        <v>387</v>
      </c>
      <c r="E164" s="8" t="s">
        <v>388</v>
      </c>
      <c r="F164" s="66">
        <v>10</v>
      </c>
      <c r="G164" s="96">
        <v>-105</v>
      </c>
      <c r="H164" s="10" t="s">
        <v>7</v>
      </c>
      <c r="I16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6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164" s="71"/>
      <c r="M164" s="71"/>
      <c r="N164" s="94"/>
      <c r="P164" s="89"/>
    </row>
    <row r="165" spans="1:16" x14ac:dyDescent="0.25">
      <c r="A165" s="70">
        <f t="shared" si="9"/>
        <v>15</v>
      </c>
      <c r="B165" s="6">
        <v>43479</v>
      </c>
      <c r="C165" s="6" t="s">
        <v>366</v>
      </c>
      <c r="D165" s="7" t="s">
        <v>387</v>
      </c>
      <c r="E165" s="8" t="s">
        <v>389</v>
      </c>
      <c r="F165" s="66">
        <v>10</v>
      </c>
      <c r="G165" s="96">
        <v>-105</v>
      </c>
      <c r="H165" s="10" t="s">
        <v>7</v>
      </c>
      <c r="I16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6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65" s="71"/>
      <c r="M165" s="71"/>
      <c r="N165" s="94"/>
      <c r="P165" s="89"/>
    </row>
    <row r="166" spans="1:16" x14ac:dyDescent="0.25">
      <c r="A166" s="70">
        <f t="shared" si="9"/>
        <v>15</v>
      </c>
      <c r="B166" s="6">
        <v>43479</v>
      </c>
      <c r="C166" s="6" t="s">
        <v>366</v>
      </c>
      <c r="D166" s="7" t="s">
        <v>390</v>
      </c>
      <c r="E166" s="8" t="s">
        <v>391</v>
      </c>
      <c r="F166" s="66">
        <v>10</v>
      </c>
      <c r="G166" s="96">
        <v>-110</v>
      </c>
      <c r="H166" s="10" t="s">
        <v>37</v>
      </c>
      <c r="I16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16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66" s="71"/>
      <c r="M166" s="71"/>
      <c r="N166" s="94"/>
      <c r="P166" s="89"/>
    </row>
    <row r="167" spans="1:16" x14ac:dyDescent="0.25">
      <c r="A167" s="70">
        <f t="shared" si="9"/>
        <v>15</v>
      </c>
      <c r="B167" s="6">
        <v>43479</v>
      </c>
      <c r="C167" s="6" t="s">
        <v>366</v>
      </c>
      <c r="D167" s="7" t="s">
        <v>392</v>
      </c>
      <c r="E167" s="8" t="s">
        <v>224</v>
      </c>
      <c r="F167" s="66">
        <v>10</v>
      </c>
      <c r="G167" s="96">
        <v>-115</v>
      </c>
      <c r="H167" s="10" t="s">
        <v>37</v>
      </c>
      <c r="I16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18.695652173913043</v>
      </c>
      <c r="J16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67" s="71"/>
      <c r="M167" s="71"/>
      <c r="N167" s="94"/>
      <c r="P167" s="89"/>
    </row>
    <row r="168" spans="1:16" x14ac:dyDescent="0.25">
      <c r="A168" s="70">
        <f t="shared" si="9"/>
        <v>15</v>
      </c>
      <c r="B168" s="6">
        <v>43479</v>
      </c>
      <c r="C168" s="6" t="s">
        <v>366</v>
      </c>
      <c r="D168" s="7" t="s">
        <v>392</v>
      </c>
      <c r="E168" s="8" t="s">
        <v>393</v>
      </c>
      <c r="F168" s="66">
        <v>10</v>
      </c>
      <c r="G168" s="96">
        <v>-105</v>
      </c>
      <c r="H168" s="10" t="s">
        <v>7</v>
      </c>
      <c r="I16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6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68" s="71"/>
      <c r="M168" s="71"/>
      <c r="N168" s="94"/>
      <c r="P168" s="89"/>
    </row>
    <row r="169" spans="1:16" x14ac:dyDescent="0.25">
      <c r="A169" s="70">
        <f t="shared" si="9"/>
        <v>15</v>
      </c>
      <c r="B169" s="6">
        <v>43479</v>
      </c>
      <c r="C169" s="6" t="s">
        <v>366</v>
      </c>
      <c r="D169" s="7" t="s">
        <v>394</v>
      </c>
      <c r="E169" s="8" t="s">
        <v>395</v>
      </c>
      <c r="F169" s="66">
        <v>10</v>
      </c>
      <c r="G169" s="96">
        <v>-110</v>
      </c>
      <c r="H169" s="10" t="s">
        <v>37</v>
      </c>
      <c r="I16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16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69" s="71"/>
      <c r="M169" s="71"/>
      <c r="N169" s="94"/>
      <c r="P169" s="89"/>
    </row>
    <row r="170" spans="1:16" x14ac:dyDescent="0.25">
      <c r="A170" s="70">
        <f t="shared" si="9"/>
        <v>15</v>
      </c>
      <c r="B170" s="6">
        <v>43479</v>
      </c>
      <c r="C170" s="6" t="s">
        <v>366</v>
      </c>
      <c r="D170" s="7" t="s">
        <v>394</v>
      </c>
      <c r="E170" s="8" t="s">
        <v>396</v>
      </c>
      <c r="F170" s="66">
        <v>10</v>
      </c>
      <c r="G170" s="96">
        <v>-110</v>
      </c>
      <c r="H170" s="10" t="s">
        <v>37</v>
      </c>
      <c r="I17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17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70" s="71"/>
      <c r="M170" s="71"/>
      <c r="N170" s="94"/>
      <c r="P170" s="89"/>
    </row>
    <row r="171" spans="1:16" x14ac:dyDescent="0.25">
      <c r="A171" s="70">
        <f t="shared" si="9"/>
        <v>15</v>
      </c>
      <c r="B171" s="6">
        <v>43479</v>
      </c>
      <c r="C171" s="6" t="s">
        <v>366</v>
      </c>
      <c r="D171" s="7" t="s">
        <v>394</v>
      </c>
      <c r="E171" s="8" t="s">
        <v>192</v>
      </c>
      <c r="F171" s="66">
        <v>10</v>
      </c>
      <c r="G171" s="96">
        <v>120</v>
      </c>
      <c r="H171" s="10" t="s">
        <v>37</v>
      </c>
      <c r="I17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22</v>
      </c>
      <c r="J17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171" s="71"/>
      <c r="M171" s="71"/>
      <c r="N171" s="94"/>
      <c r="P171" s="89"/>
    </row>
    <row r="172" spans="1:16" x14ac:dyDescent="0.25">
      <c r="A172" s="70">
        <f t="shared" si="9"/>
        <v>16</v>
      </c>
      <c r="B172" s="6">
        <v>43480</v>
      </c>
      <c r="C172" s="6" t="s">
        <v>366</v>
      </c>
      <c r="D172" s="7" t="s">
        <v>397</v>
      </c>
      <c r="E172" s="8" t="s">
        <v>350</v>
      </c>
      <c r="F172" s="66">
        <v>10</v>
      </c>
      <c r="G172" s="30">
        <v>-110</v>
      </c>
      <c r="H172" s="10" t="s">
        <v>7</v>
      </c>
      <c r="I17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7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72" s="71"/>
      <c r="M172" s="71"/>
      <c r="N172" s="94"/>
      <c r="P172" s="89"/>
    </row>
    <row r="173" spans="1:16" x14ac:dyDescent="0.25">
      <c r="A173" s="70">
        <f t="shared" si="9"/>
        <v>16</v>
      </c>
      <c r="B173" s="6">
        <v>43480</v>
      </c>
      <c r="C173" s="6" t="s">
        <v>366</v>
      </c>
      <c r="D173" s="7" t="s">
        <v>397</v>
      </c>
      <c r="E173" s="8" t="s">
        <v>398</v>
      </c>
      <c r="F173" s="66">
        <v>10</v>
      </c>
      <c r="G173" s="30">
        <v>-110</v>
      </c>
      <c r="H173" s="10" t="s">
        <v>7</v>
      </c>
      <c r="I17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7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73" s="71"/>
      <c r="M173" s="71"/>
      <c r="N173" s="94"/>
      <c r="P173" s="89"/>
    </row>
    <row r="174" spans="1:16" x14ac:dyDescent="0.25">
      <c r="A174" s="70">
        <f t="shared" si="9"/>
        <v>16</v>
      </c>
      <c r="B174" s="6">
        <v>43480</v>
      </c>
      <c r="C174" s="6" t="s">
        <v>366</v>
      </c>
      <c r="D174" s="7" t="s">
        <v>399</v>
      </c>
      <c r="E174" s="8" t="s">
        <v>357</v>
      </c>
      <c r="F174" s="66">
        <v>10</v>
      </c>
      <c r="G174" s="30">
        <v>-110</v>
      </c>
      <c r="H174" s="10" t="s">
        <v>7</v>
      </c>
      <c r="I17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7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74" s="71"/>
      <c r="M174" s="71"/>
      <c r="N174" s="94"/>
      <c r="P174" s="89"/>
    </row>
    <row r="175" spans="1:16" x14ac:dyDescent="0.25">
      <c r="A175" s="70">
        <f t="shared" si="9"/>
        <v>16</v>
      </c>
      <c r="B175" s="6">
        <v>43480</v>
      </c>
      <c r="C175" s="6" t="s">
        <v>366</v>
      </c>
      <c r="D175" s="7" t="s">
        <v>400</v>
      </c>
      <c r="E175" s="8" t="s">
        <v>190</v>
      </c>
      <c r="F175" s="66">
        <v>10</v>
      </c>
      <c r="G175" s="30">
        <v>-105</v>
      </c>
      <c r="H175" s="10" t="s">
        <v>7</v>
      </c>
      <c r="I17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7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75" s="71"/>
      <c r="M175" s="71"/>
      <c r="N175" s="94"/>
      <c r="P175" s="89"/>
    </row>
    <row r="176" spans="1:16" x14ac:dyDescent="0.25">
      <c r="A176" s="70">
        <f t="shared" si="9"/>
        <v>16</v>
      </c>
      <c r="B176" s="6">
        <v>43480</v>
      </c>
      <c r="C176" s="6" t="s">
        <v>366</v>
      </c>
      <c r="D176" s="7" t="s">
        <v>400</v>
      </c>
      <c r="E176" s="8" t="s">
        <v>401</v>
      </c>
      <c r="F176" s="66">
        <v>10</v>
      </c>
      <c r="G176" s="30">
        <v>-105</v>
      </c>
      <c r="H176" s="10" t="s">
        <v>7</v>
      </c>
      <c r="I17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7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76" s="71"/>
      <c r="M176" s="71"/>
      <c r="N176" s="94"/>
      <c r="P176" s="89"/>
    </row>
    <row r="177" spans="1:16" x14ac:dyDescent="0.25">
      <c r="A177" s="70">
        <f t="shared" si="9"/>
        <v>16</v>
      </c>
      <c r="B177" s="6">
        <v>43480</v>
      </c>
      <c r="C177" s="6" t="s">
        <v>366</v>
      </c>
      <c r="D177" s="7" t="s">
        <v>402</v>
      </c>
      <c r="E177" s="8" t="s">
        <v>403</v>
      </c>
      <c r="F177" s="66">
        <v>10</v>
      </c>
      <c r="G177" s="30">
        <v>-110</v>
      </c>
      <c r="H177" s="10" t="s">
        <v>37</v>
      </c>
      <c r="I17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17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77" s="71"/>
      <c r="M177" s="71"/>
      <c r="N177" s="94"/>
      <c r="P177" s="89"/>
    </row>
    <row r="178" spans="1:16" x14ac:dyDescent="0.25">
      <c r="A178" s="70">
        <f t="shared" si="9"/>
        <v>16</v>
      </c>
      <c r="B178" s="6">
        <v>43480</v>
      </c>
      <c r="C178" s="6" t="s">
        <v>366</v>
      </c>
      <c r="D178" s="7" t="s">
        <v>404</v>
      </c>
      <c r="E178" s="8" t="s">
        <v>224</v>
      </c>
      <c r="F178" s="66">
        <v>10</v>
      </c>
      <c r="G178" s="30">
        <v>-115</v>
      </c>
      <c r="H178" s="10" t="s">
        <v>7</v>
      </c>
      <c r="I17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7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78" s="71"/>
      <c r="M178" s="71"/>
      <c r="N178" s="94"/>
      <c r="P178" s="89"/>
    </row>
    <row r="179" spans="1:16" x14ac:dyDescent="0.25">
      <c r="A179" s="70">
        <f t="shared" si="9"/>
        <v>16</v>
      </c>
      <c r="B179" s="6">
        <v>43480</v>
      </c>
      <c r="C179" s="6" t="s">
        <v>366</v>
      </c>
      <c r="D179" s="7" t="s">
        <v>404</v>
      </c>
      <c r="E179" s="8" t="s">
        <v>405</v>
      </c>
      <c r="F179" s="66">
        <v>10</v>
      </c>
      <c r="G179" s="30">
        <v>-110</v>
      </c>
      <c r="H179" s="10" t="s">
        <v>37</v>
      </c>
      <c r="I17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17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79" s="71"/>
      <c r="M179" s="71"/>
      <c r="N179" s="94"/>
      <c r="P179" s="89"/>
    </row>
    <row r="180" spans="1:16" x14ac:dyDescent="0.25">
      <c r="A180" s="70">
        <f t="shared" si="9"/>
        <v>16</v>
      </c>
      <c r="B180" s="6">
        <v>43480</v>
      </c>
      <c r="C180" s="6" t="s">
        <v>366</v>
      </c>
      <c r="D180" s="7" t="s">
        <v>406</v>
      </c>
      <c r="E180" s="8" t="s">
        <v>407</v>
      </c>
      <c r="F180" s="66">
        <v>10</v>
      </c>
      <c r="G180" s="30">
        <v>-110</v>
      </c>
      <c r="H180" s="10" t="s">
        <v>37</v>
      </c>
      <c r="I18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18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80" s="71"/>
      <c r="M180" s="71"/>
      <c r="N180" s="94"/>
      <c r="P180" s="89"/>
    </row>
    <row r="181" spans="1:16" x14ac:dyDescent="0.25">
      <c r="A181" s="70">
        <f t="shared" si="9"/>
        <v>16</v>
      </c>
      <c r="B181" s="6">
        <v>43480</v>
      </c>
      <c r="C181" s="6" t="s">
        <v>366</v>
      </c>
      <c r="D181" s="7" t="s">
        <v>406</v>
      </c>
      <c r="E181" s="8" t="s">
        <v>408</v>
      </c>
      <c r="F181" s="66">
        <v>10</v>
      </c>
      <c r="G181" s="30">
        <v>-110</v>
      </c>
      <c r="H181" s="10" t="s">
        <v>69</v>
      </c>
      <c r="I18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</v>
      </c>
      <c r="J18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81" s="71"/>
      <c r="M181" s="71"/>
      <c r="N181" s="94"/>
      <c r="P181" s="89"/>
    </row>
    <row r="182" spans="1:16" x14ac:dyDescent="0.25">
      <c r="A182" s="70">
        <f t="shared" si="9"/>
        <v>17</v>
      </c>
      <c r="B182" s="6">
        <v>43481</v>
      </c>
      <c r="C182" s="6" t="s">
        <v>366</v>
      </c>
      <c r="D182" s="7" t="s">
        <v>410</v>
      </c>
      <c r="E182" s="8" t="s">
        <v>411</v>
      </c>
      <c r="F182" s="66">
        <v>5</v>
      </c>
      <c r="G182" s="30">
        <v>-110</v>
      </c>
      <c r="H182" s="10" t="s">
        <v>7</v>
      </c>
      <c r="I18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8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82" s="71"/>
      <c r="M182" s="71"/>
      <c r="N182" s="94"/>
      <c r="P182" s="89"/>
    </row>
    <row r="183" spans="1:16" x14ac:dyDescent="0.25">
      <c r="A183" s="70">
        <f t="shared" si="9"/>
        <v>17</v>
      </c>
      <c r="B183" s="6">
        <v>43481</v>
      </c>
      <c r="C183" s="6" t="s">
        <v>366</v>
      </c>
      <c r="D183" s="7" t="s">
        <v>410</v>
      </c>
      <c r="E183" s="8" t="s">
        <v>412</v>
      </c>
      <c r="F183" s="66">
        <v>5</v>
      </c>
      <c r="G183" s="30">
        <v>-110</v>
      </c>
      <c r="H183" s="10" t="s">
        <v>7</v>
      </c>
      <c r="I18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8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83" s="71"/>
      <c r="M183" s="71"/>
      <c r="N183" s="94"/>
      <c r="P183" s="89"/>
    </row>
    <row r="184" spans="1:16" x14ac:dyDescent="0.25">
      <c r="A184" s="70">
        <f t="shared" si="9"/>
        <v>17</v>
      </c>
      <c r="B184" s="6">
        <v>43481</v>
      </c>
      <c r="C184" s="6" t="s">
        <v>366</v>
      </c>
      <c r="D184" s="7" t="s">
        <v>413</v>
      </c>
      <c r="E184" s="8" t="s">
        <v>273</v>
      </c>
      <c r="F184" s="66">
        <v>5</v>
      </c>
      <c r="G184" s="30">
        <v>-110</v>
      </c>
      <c r="H184" s="10" t="s">
        <v>7</v>
      </c>
      <c r="I18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8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84" s="71"/>
      <c r="M184" s="71"/>
      <c r="N184" s="94"/>
      <c r="P184" s="89"/>
    </row>
    <row r="185" spans="1:16" x14ac:dyDescent="0.25">
      <c r="A185" s="70">
        <f t="shared" si="9"/>
        <v>17</v>
      </c>
      <c r="B185" s="6">
        <v>43481</v>
      </c>
      <c r="C185" s="6" t="s">
        <v>366</v>
      </c>
      <c r="D185" s="7" t="s">
        <v>413</v>
      </c>
      <c r="E185" s="8" t="s">
        <v>386</v>
      </c>
      <c r="F185" s="66">
        <v>5</v>
      </c>
      <c r="G185" s="30">
        <v>-110</v>
      </c>
      <c r="H185" s="10" t="s">
        <v>7</v>
      </c>
      <c r="I18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8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85" s="71"/>
      <c r="M185" s="71"/>
      <c r="N185" s="94"/>
      <c r="P185" s="89"/>
    </row>
    <row r="186" spans="1:16" x14ac:dyDescent="0.25">
      <c r="A186" s="70">
        <f t="shared" si="9"/>
        <v>17</v>
      </c>
      <c r="B186" s="6">
        <v>43481</v>
      </c>
      <c r="C186" s="6" t="s">
        <v>366</v>
      </c>
      <c r="D186" s="7" t="s">
        <v>414</v>
      </c>
      <c r="E186" s="8" t="s">
        <v>187</v>
      </c>
      <c r="F186" s="66">
        <v>5</v>
      </c>
      <c r="G186" s="30">
        <v>-110</v>
      </c>
      <c r="H186" s="10" t="s">
        <v>69</v>
      </c>
      <c r="I18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5</v>
      </c>
      <c r="J18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86" s="71"/>
      <c r="M186" s="71"/>
      <c r="N186" s="94"/>
      <c r="P186" s="89"/>
    </row>
    <row r="187" spans="1:16" x14ac:dyDescent="0.25">
      <c r="A187" s="70">
        <f t="shared" si="9"/>
        <v>17</v>
      </c>
      <c r="B187" s="6">
        <v>43481</v>
      </c>
      <c r="C187" s="6" t="s">
        <v>366</v>
      </c>
      <c r="D187" s="7" t="s">
        <v>414</v>
      </c>
      <c r="E187" s="8" t="s">
        <v>415</v>
      </c>
      <c r="F187" s="66">
        <v>5</v>
      </c>
      <c r="G187" s="30">
        <v>-110</v>
      </c>
      <c r="H187" s="10" t="s">
        <v>37</v>
      </c>
      <c r="I18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8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87" s="71"/>
      <c r="M187" s="71"/>
      <c r="N187" s="94"/>
      <c r="P187" s="89"/>
    </row>
    <row r="188" spans="1:16" x14ac:dyDescent="0.25">
      <c r="A188" s="70">
        <f t="shared" si="9"/>
        <v>17</v>
      </c>
      <c r="B188" s="6">
        <v>43481</v>
      </c>
      <c r="C188" s="6" t="s">
        <v>366</v>
      </c>
      <c r="D188" s="7" t="s">
        <v>416</v>
      </c>
      <c r="E188" s="8" t="s">
        <v>116</v>
      </c>
      <c r="F188" s="66">
        <v>5</v>
      </c>
      <c r="G188" s="30">
        <v>-105</v>
      </c>
      <c r="H188" s="10" t="s">
        <v>7</v>
      </c>
      <c r="I18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8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88" s="71"/>
      <c r="M188" s="71"/>
      <c r="N188" s="94"/>
      <c r="P188" s="89"/>
    </row>
    <row r="189" spans="1:16" x14ac:dyDescent="0.25">
      <c r="A189" s="70">
        <f t="shared" si="9"/>
        <v>17</v>
      </c>
      <c r="B189" s="6">
        <v>43481</v>
      </c>
      <c r="C189" s="6" t="s">
        <v>366</v>
      </c>
      <c r="D189" s="7" t="s">
        <v>416</v>
      </c>
      <c r="E189" s="8" t="s">
        <v>417</v>
      </c>
      <c r="F189" s="66">
        <v>5</v>
      </c>
      <c r="G189" s="30">
        <v>-110</v>
      </c>
      <c r="H189" s="10" t="s">
        <v>7</v>
      </c>
      <c r="I18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8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89" s="71"/>
      <c r="M189" s="71"/>
      <c r="N189" s="94"/>
      <c r="P189" s="89"/>
    </row>
    <row r="190" spans="1:16" x14ac:dyDescent="0.25">
      <c r="A190" s="70">
        <f t="shared" si="9"/>
        <v>17</v>
      </c>
      <c r="B190" s="6">
        <v>43481</v>
      </c>
      <c r="C190" s="6" t="s">
        <v>366</v>
      </c>
      <c r="D190" s="7" t="s">
        <v>416</v>
      </c>
      <c r="E190" s="8" t="s">
        <v>200</v>
      </c>
      <c r="F190" s="66">
        <v>5</v>
      </c>
      <c r="G190" s="30">
        <v>110</v>
      </c>
      <c r="H190" s="10" t="s">
        <v>7</v>
      </c>
      <c r="I19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9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190" s="71"/>
      <c r="M190" s="71"/>
      <c r="N190" s="94"/>
      <c r="P190" s="89"/>
    </row>
    <row r="191" spans="1:16" x14ac:dyDescent="0.25">
      <c r="A191" s="70">
        <f t="shared" si="9"/>
        <v>17</v>
      </c>
      <c r="B191" s="6">
        <v>43481</v>
      </c>
      <c r="C191" s="6" t="s">
        <v>366</v>
      </c>
      <c r="D191" s="7" t="s">
        <v>418</v>
      </c>
      <c r="E191" s="8" t="s">
        <v>419</v>
      </c>
      <c r="F191" s="66">
        <v>5</v>
      </c>
      <c r="G191" s="30">
        <v>-110</v>
      </c>
      <c r="H191" s="10" t="s">
        <v>37</v>
      </c>
      <c r="I19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9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91" s="71"/>
      <c r="M191" s="71"/>
      <c r="N191" s="94"/>
      <c r="P191" s="89"/>
    </row>
    <row r="192" spans="1:16" x14ac:dyDescent="0.25">
      <c r="A192" s="70">
        <f t="shared" si="9"/>
        <v>17</v>
      </c>
      <c r="B192" s="6">
        <v>43481</v>
      </c>
      <c r="C192" s="6" t="s">
        <v>366</v>
      </c>
      <c r="D192" s="7" t="s">
        <v>420</v>
      </c>
      <c r="E192" s="8" t="s">
        <v>421</v>
      </c>
      <c r="F192" s="66">
        <v>5</v>
      </c>
      <c r="G192" s="30">
        <v>-110</v>
      </c>
      <c r="H192" s="10" t="s">
        <v>37</v>
      </c>
      <c r="I19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9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92" s="71"/>
      <c r="M192" s="71"/>
      <c r="N192" s="94"/>
      <c r="P192" s="89"/>
    </row>
    <row r="193" spans="1:16" x14ac:dyDescent="0.25">
      <c r="A193" s="70">
        <f t="shared" si="9"/>
        <v>17</v>
      </c>
      <c r="B193" s="6">
        <v>43481</v>
      </c>
      <c r="C193" s="6" t="s">
        <v>366</v>
      </c>
      <c r="D193" s="7" t="s">
        <v>422</v>
      </c>
      <c r="E193" s="8" t="s">
        <v>423</v>
      </c>
      <c r="F193" s="66">
        <v>5</v>
      </c>
      <c r="G193" s="30">
        <v>-105</v>
      </c>
      <c r="H193" s="10" t="s">
        <v>7</v>
      </c>
      <c r="I19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9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93" s="71"/>
      <c r="M193" s="71"/>
      <c r="N193" s="94"/>
      <c r="P193" s="89"/>
    </row>
    <row r="194" spans="1:16" x14ac:dyDescent="0.25">
      <c r="A194" s="70">
        <f t="shared" si="9"/>
        <v>17</v>
      </c>
      <c r="B194" s="6">
        <v>43481</v>
      </c>
      <c r="C194" s="6" t="s">
        <v>366</v>
      </c>
      <c r="D194" s="7" t="s">
        <v>422</v>
      </c>
      <c r="E194" s="8" t="s">
        <v>424</v>
      </c>
      <c r="F194" s="66">
        <v>5</v>
      </c>
      <c r="G194" s="30">
        <v>-110</v>
      </c>
      <c r="H194" s="10" t="s">
        <v>69</v>
      </c>
      <c r="I19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5</v>
      </c>
      <c r="J19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94" s="71"/>
      <c r="M194" s="71"/>
      <c r="N194" s="94"/>
      <c r="P194" s="89"/>
    </row>
    <row r="195" spans="1:16" x14ac:dyDescent="0.25">
      <c r="A195" s="70">
        <f t="shared" si="9"/>
        <v>17</v>
      </c>
      <c r="B195" s="6">
        <v>43481</v>
      </c>
      <c r="C195" s="6" t="s">
        <v>366</v>
      </c>
      <c r="D195" s="7" t="s">
        <v>425</v>
      </c>
      <c r="E195" s="8" t="s">
        <v>116</v>
      </c>
      <c r="F195" s="66">
        <v>5</v>
      </c>
      <c r="G195" s="30">
        <v>-110</v>
      </c>
      <c r="H195" s="10" t="s">
        <v>7</v>
      </c>
      <c r="I19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9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95" s="71"/>
      <c r="M195" s="71"/>
      <c r="N195" s="94"/>
      <c r="P195" s="89"/>
    </row>
    <row r="196" spans="1:16" x14ac:dyDescent="0.25">
      <c r="A196" s="70">
        <f t="shared" si="9"/>
        <v>17</v>
      </c>
      <c r="B196" s="6">
        <v>43481</v>
      </c>
      <c r="C196" s="6" t="s">
        <v>366</v>
      </c>
      <c r="D196" s="7" t="s">
        <v>425</v>
      </c>
      <c r="E196" s="8" t="s">
        <v>426</v>
      </c>
      <c r="F196" s="66">
        <v>5</v>
      </c>
      <c r="G196" s="30">
        <v>-110</v>
      </c>
      <c r="H196" s="10" t="s">
        <v>7</v>
      </c>
      <c r="I19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9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96" s="71"/>
      <c r="M196" s="71"/>
      <c r="N196" s="94"/>
      <c r="P196" s="89"/>
    </row>
    <row r="197" spans="1:16" x14ac:dyDescent="0.25">
      <c r="A197" s="70">
        <f t="shared" si="9"/>
        <v>18</v>
      </c>
      <c r="B197" s="6">
        <v>43482</v>
      </c>
      <c r="C197" s="6" t="s">
        <v>427</v>
      </c>
      <c r="D197" s="7" t="s">
        <v>431</v>
      </c>
      <c r="E197" s="8" t="s">
        <v>432</v>
      </c>
      <c r="F197" s="66">
        <v>5</v>
      </c>
      <c r="G197" s="30">
        <v>-105</v>
      </c>
      <c r="H197" s="10" t="s">
        <v>7</v>
      </c>
      <c r="I19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19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197" s="71"/>
      <c r="M197" s="71"/>
      <c r="N197" s="94"/>
      <c r="P197" s="89"/>
    </row>
    <row r="198" spans="1:16" x14ac:dyDescent="0.25">
      <c r="A198" s="70">
        <f t="shared" ref="A198:A261" si="10">IF(B198=B197,A197,A197+1)</f>
        <v>18</v>
      </c>
      <c r="B198" s="6">
        <v>43482</v>
      </c>
      <c r="C198" s="6" t="s">
        <v>427</v>
      </c>
      <c r="D198" s="7" t="s">
        <v>433</v>
      </c>
      <c r="E198" s="8" t="s">
        <v>113</v>
      </c>
      <c r="F198" s="66">
        <v>5</v>
      </c>
      <c r="G198" s="30">
        <v>-110</v>
      </c>
      <c r="H198" s="10" t="s">
        <v>37</v>
      </c>
      <c r="I19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9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198" s="71"/>
      <c r="M198" s="71"/>
      <c r="N198" s="94"/>
      <c r="P198" s="89"/>
    </row>
    <row r="199" spans="1:16" x14ac:dyDescent="0.25">
      <c r="A199" s="70">
        <f t="shared" si="10"/>
        <v>18</v>
      </c>
      <c r="B199" s="6">
        <v>43482</v>
      </c>
      <c r="C199" s="6" t="s">
        <v>427</v>
      </c>
      <c r="D199" s="7" t="s">
        <v>433</v>
      </c>
      <c r="E199" s="8" t="s">
        <v>434</v>
      </c>
      <c r="F199" s="66">
        <v>5</v>
      </c>
      <c r="G199" s="30">
        <v>-110</v>
      </c>
      <c r="H199" s="10" t="s">
        <v>37</v>
      </c>
      <c r="I19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19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199" s="71"/>
      <c r="M199" s="71"/>
      <c r="N199" s="94"/>
      <c r="P199" s="89"/>
    </row>
    <row r="200" spans="1:16" x14ac:dyDescent="0.25">
      <c r="A200" s="70">
        <f t="shared" si="10"/>
        <v>18</v>
      </c>
      <c r="B200" s="6">
        <v>43482</v>
      </c>
      <c r="C200" s="6" t="s">
        <v>427</v>
      </c>
      <c r="D200" s="7" t="s">
        <v>433</v>
      </c>
      <c r="E200" s="8" t="s">
        <v>435</v>
      </c>
      <c r="F200" s="66">
        <v>5</v>
      </c>
      <c r="G200" s="30">
        <v>130</v>
      </c>
      <c r="H200" s="10" t="s">
        <v>37</v>
      </c>
      <c r="I20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11.5</v>
      </c>
      <c r="J20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200" s="71"/>
      <c r="M200" s="71"/>
      <c r="N200" s="94"/>
      <c r="P200" s="89"/>
    </row>
    <row r="201" spans="1:16" x14ac:dyDescent="0.25">
      <c r="A201" s="70">
        <f t="shared" si="10"/>
        <v>18</v>
      </c>
      <c r="B201" s="6">
        <v>43482</v>
      </c>
      <c r="C201" s="6" t="s">
        <v>427</v>
      </c>
      <c r="D201" s="7" t="s">
        <v>436</v>
      </c>
      <c r="E201" s="8" t="s">
        <v>174</v>
      </c>
      <c r="F201" s="66">
        <v>5</v>
      </c>
      <c r="G201" s="30">
        <v>-115</v>
      </c>
      <c r="H201" s="10" t="s">
        <v>37</v>
      </c>
      <c r="I20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20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01" s="71"/>
      <c r="M201" s="71"/>
      <c r="N201" s="94"/>
      <c r="P201" s="89"/>
    </row>
    <row r="202" spans="1:16" x14ac:dyDescent="0.25">
      <c r="A202" s="70">
        <f t="shared" si="10"/>
        <v>18</v>
      </c>
      <c r="B202" s="6">
        <v>43482</v>
      </c>
      <c r="C202" s="6" t="s">
        <v>427</v>
      </c>
      <c r="D202" s="7" t="s">
        <v>436</v>
      </c>
      <c r="E202" s="8" t="s">
        <v>437</v>
      </c>
      <c r="F202" s="66">
        <v>5</v>
      </c>
      <c r="G202" s="30">
        <v>-105</v>
      </c>
      <c r="H202" s="10" t="s">
        <v>7</v>
      </c>
      <c r="I20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0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02" s="71"/>
      <c r="M202" s="71"/>
      <c r="N202" s="94"/>
      <c r="P202" s="89"/>
    </row>
    <row r="203" spans="1:16" x14ac:dyDescent="0.25">
      <c r="A203" s="70">
        <f t="shared" si="10"/>
        <v>18</v>
      </c>
      <c r="B203" s="6">
        <v>43482</v>
      </c>
      <c r="C203" s="6" t="s">
        <v>427</v>
      </c>
      <c r="D203" s="7" t="s">
        <v>436</v>
      </c>
      <c r="E203" s="8" t="s">
        <v>160</v>
      </c>
      <c r="F203" s="66">
        <v>5</v>
      </c>
      <c r="G203" s="30">
        <v>130</v>
      </c>
      <c r="H203" s="10" t="s">
        <v>7</v>
      </c>
      <c r="I20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0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203" s="71"/>
      <c r="M203" s="71"/>
      <c r="N203" s="94"/>
      <c r="P203" s="89"/>
    </row>
    <row r="204" spans="1:16" x14ac:dyDescent="0.25">
      <c r="A204" s="70">
        <f t="shared" si="10"/>
        <v>18</v>
      </c>
      <c r="B204" s="6">
        <v>43482</v>
      </c>
      <c r="C204" s="6" t="s">
        <v>427</v>
      </c>
      <c r="D204" s="7" t="s">
        <v>438</v>
      </c>
      <c r="E204" s="8" t="s">
        <v>151</v>
      </c>
      <c r="F204" s="66">
        <v>5</v>
      </c>
      <c r="G204" s="30">
        <v>-115</v>
      </c>
      <c r="H204" s="10" t="s">
        <v>7</v>
      </c>
      <c r="I20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0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04" s="71"/>
      <c r="M204" s="71"/>
      <c r="N204" s="94"/>
      <c r="P204" s="89"/>
    </row>
    <row r="205" spans="1:16" x14ac:dyDescent="0.25">
      <c r="A205" s="70">
        <f t="shared" si="10"/>
        <v>18</v>
      </c>
      <c r="B205" s="6">
        <v>43482</v>
      </c>
      <c r="C205" s="6" t="s">
        <v>427</v>
      </c>
      <c r="D205" s="7" t="s">
        <v>438</v>
      </c>
      <c r="E205" s="8" t="s">
        <v>439</v>
      </c>
      <c r="F205" s="66">
        <v>5</v>
      </c>
      <c r="G205" s="30">
        <v>-110</v>
      </c>
      <c r="H205" s="10" t="s">
        <v>37</v>
      </c>
      <c r="I20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20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05" s="71"/>
      <c r="M205" s="71"/>
      <c r="N205" s="94"/>
      <c r="P205" s="89"/>
    </row>
    <row r="206" spans="1:16" x14ac:dyDescent="0.25">
      <c r="A206" s="70">
        <f t="shared" si="10"/>
        <v>18</v>
      </c>
      <c r="B206" s="6">
        <v>43482</v>
      </c>
      <c r="C206" s="6" t="s">
        <v>427</v>
      </c>
      <c r="D206" s="7" t="s">
        <v>440</v>
      </c>
      <c r="E206" s="8" t="s">
        <v>441</v>
      </c>
      <c r="F206" s="66">
        <v>5</v>
      </c>
      <c r="G206" s="30">
        <v>-110</v>
      </c>
      <c r="H206" s="10" t="s">
        <v>7</v>
      </c>
      <c r="I20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0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06" s="71"/>
      <c r="M206" s="71"/>
      <c r="N206" s="94"/>
      <c r="P206" s="89"/>
    </row>
    <row r="207" spans="1:16" x14ac:dyDescent="0.25">
      <c r="A207" s="70">
        <f t="shared" si="10"/>
        <v>18</v>
      </c>
      <c r="B207" s="6">
        <v>43482</v>
      </c>
      <c r="C207" s="6" t="s">
        <v>427</v>
      </c>
      <c r="D207" s="7" t="s">
        <v>440</v>
      </c>
      <c r="E207" s="8" t="s">
        <v>442</v>
      </c>
      <c r="F207" s="66">
        <v>5</v>
      </c>
      <c r="G207" s="30">
        <v>-110</v>
      </c>
      <c r="H207" s="10" t="s">
        <v>37</v>
      </c>
      <c r="I20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20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/>
      </c>
      <c r="K207" s="71"/>
      <c r="M207" s="71"/>
      <c r="N207" s="94"/>
      <c r="P207" s="89"/>
    </row>
    <row r="208" spans="1:16" x14ac:dyDescent="0.25">
      <c r="A208" s="70">
        <f t="shared" si="10"/>
        <v>19</v>
      </c>
      <c r="B208" s="6">
        <v>43483</v>
      </c>
      <c r="C208" s="6" t="s">
        <v>427</v>
      </c>
      <c r="D208" s="7" t="s">
        <v>455</v>
      </c>
      <c r="E208" s="8" t="s">
        <v>456</v>
      </c>
      <c r="F208" s="66">
        <v>5</v>
      </c>
      <c r="G208" s="30">
        <v>-110</v>
      </c>
      <c r="H208" s="10" t="s">
        <v>7</v>
      </c>
      <c r="I20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0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08" s="71"/>
      <c r="M208" s="71"/>
      <c r="N208" s="94"/>
      <c r="P208" s="89"/>
    </row>
    <row r="209" spans="1:16" x14ac:dyDescent="0.25">
      <c r="A209" s="70">
        <f t="shared" si="10"/>
        <v>19</v>
      </c>
      <c r="B209" s="6">
        <v>43483</v>
      </c>
      <c r="C209" s="6" t="s">
        <v>427</v>
      </c>
      <c r="D209" s="7" t="s">
        <v>455</v>
      </c>
      <c r="E209" s="8" t="s">
        <v>457</v>
      </c>
      <c r="F209" s="66">
        <v>5</v>
      </c>
      <c r="G209" s="30">
        <v>-110</v>
      </c>
      <c r="H209" s="10" t="s">
        <v>37</v>
      </c>
      <c r="I20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20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09" s="71"/>
      <c r="M209" s="71"/>
      <c r="N209" s="94"/>
      <c r="P209" s="89"/>
    </row>
    <row r="210" spans="1:16" x14ac:dyDescent="0.25">
      <c r="A210" s="70">
        <f t="shared" si="10"/>
        <v>19</v>
      </c>
      <c r="B210" s="6">
        <v>43483</v>
      </c>
      <c r="C210" s="6" t="s">
        <v>427</v>
      </c>
      <c r="D210" s="7" t="s">
        <v>455</v>
      </c>
      <c r="E210" s="8" t="s">
        <v>257</v>
      </c>
      <c r="F210" s="66">
        <v>5</v>
      </c>
      <c r="G210" s="30">
        <v>105</v>
      </c>
      <c r="H210" s="10" t="s">
        <v>37</v>
      </c>
      <c r="I21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10.25</v>
      </c>
      <c r="J21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210" s="71"/>
      <c r="M210" s="71"/>
      <c r="N210" s="94"/>
      <c r="P210" s="89"/>
    </row>
    <row r="211" spans="1:16" x14ac:dyDescent="0.25">
      <c r="A211" s="70">
        <f t="shared" si="10"/>
        <v>19</v>
      </c>
      <c r="B211" s="6">
        <v>43483</v>
      </c>
      <c r="C211" s="6" t="s">
        <v>427</v>
      </c>
      <c r="D211" s="7" t="s">
        <v>458</v>
      </c>
      <c r="E211" s="8" t="s">
        <v>129</v>
      </c>
      <c r="F211" s="66">
        <v>5</v>
      </c>
      <c r="G211" s="30">
        <v>-105</v>
      </c>
      <c r="H211" s="10" t="s">
        <v>37</v>
      </c>
      <c r="I21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21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11" s="71"/>
      <c r="M211" s="71"/>
      <c r="N211" s="94"/>
      <c r="P211" s="89"/>
    </row>
    <row r="212" spans="1:16" x14ac:dyDescent="0.25">
      <c r="A212" s="70">
        <f t="shared" si="10"/>
        <v>19</v>
      </c>
      <c r="B212" s="6">
        <v>43483</v>
      </c>
      <c r="C212" s="6" t="s">
        <v>427</v>
      </c>
      <c r="D212" s="7" t="s">
        <v>458</v>
      </c>
      <c r="E212" s="8" t="s">
        <v>459</v>
      </c>
      <c r="F212" s="66">
        <v>5</v>
      </c>
      <c r="G212" s="30">
        <v>-105</v>
      </c>
      <c r="H212" s="10" t="s">
        <v>7</v>
      </c>
      <c r="I21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1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12" s="71"/>
      <c r="M212" s="71"/>
      <c r="N212" s="94"/>
      <c r="P212" s="89"/>
    </row>
    <row r="213" spans="1:16" x14ac:dyDescent="0.25">
      <c r="A213" s="70">
        <f t="shared" si="10"/>
        <v>19</v>
      </c>
      <c r="B213" s="6">
        <v>43483</v>
      </c>
      <c r="C213" s="6" t="s">
        <v>427</v>
      </c>
      <c r="D213" s="7" t="s">
        <v>460</v>
      </c>
      <c r="E213" s="8" t="s">
        <v>129</v>
      </c>
      <c r="F213" s="66">
        <v>5</v>
      </c>
      <c r="G213" s="30">
        <v>-105</v>
      </c>
      <c r="H213" s="10" t="s">
        <v>7</v>
      </c>
      <c r="I21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1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13" s="71"/>
      <c r="M213" s="71"/>
      <c r="N213" s="94"/>
      <c r="P213" s="89"/>
    </row>
    <row r="214" spans="1:16" x14ac:dyDescent="0.25">
      <c r="A214" s="70">
        <f t="shared" si="10"/>
        <v>19</v>
      </c>
      <c r="B214" s="6">
        <v>43483</v>
      </c>
      <c r="C214" s="6" t="s">
        <v>427</v>
      </c>
      <c r="D214" s="7" t="s">
        <v>460</v>
      </c>
      <c r="E214" s="8" t="s">
        <v>461</v>
      </c>
      <c r="F214" s="66">
        <v>5</v>
      </c>
      <c r="G214" s="30">
        <v>-110</v>
      </c>
      <c r="H214" s="10" t="s">
        <v>7</v>
      </c>
      <c r="I21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1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14" s="71"/>
      <c r="M214" s="71"/>
      <c r="N214" s="94"/>
      <c r="P214" s="89"/>
    </row>
    <row r="215" spans="1:16" x14ac:dyDescent="0.25">
      <c r="A215" s="70">
        <f t="shared" si="10"/>
        <v>19</v>
      </c>
      <c r="B215" s="6">
        <v>43483</v>
      </c>
      <c r="C215" s="6" t="s">
        <v>427</v>
      </c>
      <c r="D215" s="7" t="s">
        <v>462</v>
      </c>
      <c r="E215" s="8" t="s">
        <v>441</v>
      </c>
      <c r="F215" s="66">
        <v>5</v>
      </c>
      <c r="G215" s="30">
        <v>-110</v>
      </c>
      <c r="H215" s="10" t="s">
        <v>7</v>
      </c>
      <c r="I21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1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15" s="71"/>
      <c r="M215" s="71"/>
      <c r="N215" s="94"/>
      <c r="P215" s="89"/>
    </row>
    <row r="216" spans="1:16" x14ac:dyDescent="0.25">
      <c r="A216" s="70">
        <f t="shared" si="10"/>
        <v>19</v>
      </c>
      <c r="B216" s="6">
        <v>43483</v>
      </c>
      <c r="C216" s="6" t="s">
        <v>427</v>
      </c>
      <c r="D216" s="7" t="s">
        <v>462</v>
      </c>
      <c r="E216" s="8" t="s">
        <v>345</v>
      </c>
      <c r="F216" s="66">
        <v>5</v>
      </c>
      <c r="G216" s="30">
        <v>-110</v>
      </c>
      <c r="H216" s="10" t="s">
        <v>37</v>
      </c>
      <c r="I21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21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16" s="71"/>
      <c r="M216" s="71"/>
      <c r="N216" s="94"/>
      <c r="P216" s="89"/>
    </row>
    <row r="217" spans="1:16" x14ac:dyDescent="0.25">
      <c r="A217" s="70">
        <f t="shared" si="10"/>
        <v>19</v>
      </c>
      <c r="B217" s="6">
        <v>43483</v>
      </c>
      <c r="C217" s="6" t="s">
        <v>427</v>
      </c>
      <c r="D217" s="7" t="s">
        <v>463</v>
      </c>
      <c r="E217" s="8" t="s">
        <v>464</v>
      </c>
      <c r="F217" s="66">
        <v>5</v>
      </c>
      <c r="G217" s="30">
        <v>-110</v>
      </c>
      <c r="H217" s="10" t="s">
        <v>37</v>
      </c>
      <c r="I21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21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17" s="71"/>
      <c r="M217" s="71"/>
      <c r="N217" s="94"/>
      <c r="P217" s="89"/>
    </row>
    <row r="218" spans="1:16" x14ac:dyDescent="0.25">
      <c r="A218" s="70">
        <f t="shared" si="10"/>
        <v>19</v>
      </c>
      <c r="B218" s="6">
        <v>43483</v>
      </c>
      <c r="C218" s="6" t="s">
        <v>427</v>
      </c>
      <c r="D218" s="7" t="s">
        <v>465</v>
      </c>
      <c r="E218" s="8" t="s">
        <v>466</v>
      </c>
      <c r="F218" s="66">
        <v>5</v>
      </c>
      <c r="G218" s="30">
        <v>-110</v>
      </c>
      <c r="H218" s="10" t="s">
        <v>37</v>
      </c>
      <c r="I21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21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18" s="71"/>
      <c r="M218" s="71"/>
      <c r="N218" s="94"/>
      <c r="P218" s="89"/>
    </row>
    <row r="219" spans="1:16" x14ac:dyDescent="0.25">
      <c r="A219" s="70">
        <f t="shared" si="10"/>
        <v>19</v>
      </c>
      <c r="B219" s="6">
        <v>43483</v>
      </c>
      <c r="C219" s="6" t="s">
        <v>427</v>
      </c>
      <c r="D219" s="7" t="s">
        <v>465</v>
      </c>
      <c r="E219" s="8" t="s">
        <v>424</v>
      </c>
      <c r="F219" s="66">
        <v>5</v>
      </c>
      <c r="G219" s="30">
        <v>-115</v>
      </c>
      <c r="H219" s="10" t="s">
        <v>37</v>
      </c>
      <c r="I21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21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19" s="71"/>
      <c r="M219" s="71"/>
      <c r="N219" s="94"/>
      <c r="P219" s="89"/>
    </row>
    <row r="220" spans="1:16" x14ac:dyDescent="0.25">
      <c r="A220" s="70">
        <f t="shared" si="10"/>
        <v>19</v>
      </c>
      <c r="B220" s="6">
        <v>43483</v>
      </c>
      <c r="C220" s="6" t="s">
        <v>427</v>
      </c>
      <c r="D220" s="7" t="s">
        <v>467</v>
      </c>
      <c r="E220" s="8" t="s">
        <v>468</v>
      </c>
      <c r="F220" s="66">
        <v>5</v>
      </c>
      <c r="G220" s="30">
        <v>-115</v>
      </c>
      <c r="H220" s="10" t="s">
        <v>7</v>
      </c>
      <c r="I22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2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20" s="71"/>
      <c r="M220" s="71"/>
      <c r="N220" s="94"/>
      <c r="P220" s="89"/>
    </row>
    <row r="221" spans="1:16" x14ac:dyDescent="0.25">
      <c r="A221" s="70">
        <f t="shared" si="10"/>
        <v>19</v>
      </c>
      <c r="B221" s="6">
        <v>43483</v>
      </c>
      <c r="C221" s="6" t="s">
        <v>427</v>
      </c>
      <c r="D221" s="7" t="s">
        <v>467</v>
      </c>
      <c r="E221" s="8" t="s">
        <v>192</v>
      </c>
      <c r="F221" s="66">
        <v>5</v>
      </c>
      <c r="G221" s="30">
        <v>120</v>
      </c>
      <c r="H221" s="10" t="s">
        <v>7</v>
      </c>
      <c r="I22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2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221" s="71"/>
      <c r="M221" s="71"/>
      <c r="N221" s="94"/>
      <c r="P221" s="89"/>
    </row>
    <row r="222" spans="1:16" x14ac:dyDescent="0.25">
      <c r="A222" s="70">
        <f t="shared" si="10"/>
        <v>20</v>
      </c>
      <c r="B222" s="6">
        <v>43486</v>
      </c>
      <c r="C222" s="6" t="s">
        <v>427</v>
      </c>
      <c r="D222" s="7" t="s">
        <v>491</v>
      </c>
      <c r="E222" s="8" t="s">
        <v>492</v>
      </c>
      <c r="F222" s="66">
        <v>0</v>
      </c>
      <c r="G222" s="30">
        <v>100</v>
      </c>
      <c r="H222" s="10" t="s">
        <v>37</v>
      </c>
      <c r="I22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2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22" s="71"/>
      <c r="M222" s="71"/>
      <c r="N222" s="94"/>
      <c r="P222" s="89"/>
    </row>
    <row r="223" spans="1:16" x14ac:dyDescent="0.25">
      <c r="A223" s="70">
        <f t="shared" si="10"/>
        <v>20</v>
      </c>
      <c r="B223" s="6">
        <v>43486</v>
      </c>
      <c r="C223" s="6" t="s">
        <v>427</v>
      </c>
      <c r="D223" s="7" t="s">
        <v>491</v>
      </c>
      <c r="E223" s="8" t="s">
        <v>468</v>
      </c>
      <c r="F223" s="66">
        <v>0</v>
      </c>
      <c r="G223" s="30">
        <v>100</v>
      </c>
      <c r="H223" s="10" t="s">
        <v>37</v>
      </c>
      <c r="I22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2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23" s="71"/>
      <c r="M223" s="71"/>
      <c r="N223" s="94"/>
      <c r="P223" s="89"/>
    </row>
    <row r="224" spans="1:16" x14ac:dyDescent="0.25">
      <c r="A224" s="70">
        <f t="shared" si="10"/>
        <v>20</v>
      </c>
      <c r="B224" s="6">
        <v>43486</v>
      </c>
      <c r="C224" s="6" t="s">
        <v>427</v>
      </c>
      <c r="D224" s="7" t="s">
        <v>491</v>
      </c>
      <c r="E224" s="8" t="s">
        <v>192</v>
      </c>
      <c r="F224" s="66">
        <v>0</v>
      </c>
      <c r="G224" s="30">
        <v>100</v>
      </c>
      <c r="H224" s="10" t="s">
        <v>37</v>
      </c>
      <c r="I22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2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224" s="71"/>
      <c r="M224" s="71"/>
      <c r="N224" s="94"/>
      <c r="P224" s="89"/>
    </row>
    <row r="225" spans="1:16" x14ac:dyDescent="0.25">
      <c r="A225" s="70">
        <f t="shared" si="10"/>
        <v>20</v>
      </c>
      <c r="B225" s="6">
        <v>43486</v>
      </c>
      <c r="C225" s="6" t="s">
        <v>427</v>
      </c>
      <c r="D225" s="7" t="s">
        <v>493</v>
      </c>
      <c r="E225" s="8" t="s">
        <v>266</v>
      </c>
      <c r="F225" s="66">
        <v>0</v>
      </c>
      <c r="G225" s="30">
        <v>100</v>
      </c>
      <c r="H225" s="10" t="s">
        <v>7</v>
      </c>
      <c r="I22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2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25" s="71"/>
      <c r="M225" s="71"/>
      <c r="N225" s="94"/>
      <c r="P225" s="89"/>
    </row>
    <row r="226" spans="1:16" x14ac:dyDescent="0.25">
      <c r="A226" s="70">
        <f t="shared" si="10"/>
        <v>20</v>
      </c>
      <c r="B226" s="6">
        <v>43486</v>
      </c>
      <c r="C226" s="6" t="s">
        <v>427</v>
      </c>
      <c r="D226" s="7" t="s">
        <v>493</v>
      </c>
      <c r="E226" s="8" t="s">
        <v>494</v>
      </c>
      <c r="F226" s="66">
        <v>0</v>
      </c>
      <c r="G226" s="30">
        <v>100</v>
      </c>
      <c r="H226" s="10" t="s">
        <v>7</v>
      </c>
      <c r="I22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2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26" s="71"/>
      <c r="M226" s="71"/>
      <c r="N226" s="94"/>
      <c r="P226" s="89"/>
    </row>
    <row r="227" spans="1:16" x14ac:dyDescent="0.25">
      <c r="A227" s="70">
        <f t="shared" si="10"/>
        <v>20</v>
      </c>
      <c r="B227" s="6">
        <v>43486</v>
      </c>
      <c r="C227" s="6" t="s">
        <v>427</v>
      </c>
      <c r="D227" s="7" t="s">
        <v>495</v>
      </c>
      <c r="E227" s="8" t="s">
        <v>496</v>
      </c>
      <c r="F227" s="66">
        <v>0</v>
      </c>
      <c r="G227" s="30">
        <v>100</v>
      </c>
      <c r="H227" s="10" t="s">
        <v>37</v>
      </c>
      <c r="I22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2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27" s="71"/>
      <c r="M227" s="71"/>
      <c r="N227" s="94"/>
      <c r="P227" s="89"/>
    </row>
    <row r="228" spans="1:16" x14ac:dyDescent="0.25">
      <c r="A228" s="70">
        <f t="shared" si="10"/>
        <v>20</v>
      </c>
      <c r="B228" s="6">
        <v>43486</v>
      </c>
      <c r="C228" s="6" t="s">
        <v>427</v>
      </c>
      <c r="D228" s="7" t="s">
        <v>497</v>
      </c>
      <c r="E228" s="8" t="s">
        <v>498</v>
      </c>
      <c r="F228" s="66">
        <v>0</v>
      </c>
      <c r="G228" s="30">
        <v>100</v>
      </c>
      <c r="H228" s="10" t="s">
        <v>37</v>
      </c>
      <c r="I22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2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28" s="71"/>
      <c r="M228" s="71"/>
      <c r="N228" s="94"/>
      <c r="P228" s="89"/>
    </row>
    <row r="229" spans="1:16" x14ac:dyDescent="0.25">
      <c r="A229" s="70">
        <f t="shared" si="10"/>
        <v>20</v>
      </c>
      <c r="B229" s="6">
        <v>43486</v>
      </c>
      <c r="C229" s="6" t="s">
        <v>427</v>
      </c>
      <c r="D229" s="7" t="s">
        <v>497</v>
      </c>
      <c r="E229" s="8" t="s">
        <v>127</v>
      </c>
      <c r="F229" s="66">
        <v>0</v>
      </c>
      <c r="G229" s="30">
        <v>100</v>
      </c>
      <c r="H229" s="10" t="s">
        <v>37</v>
      </c>
      <c r="I22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2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229" s="71"/>
      <c r="M229" s="71"/>
      <c r="N229" s="94"/>
      <c r="P229" s="89"/>
    </row>
    <row r="230" spans="1:16" x14ac:dyDescent="0.25">
      <c r="A230" s="70">
        <f t="shared" si="10"/>
        <v>20</v>
      </c>
      <c r="B230" s="6">
        <v>43486</v>
      </c>
      <c r="C230" s="6" t="s">
        <v>427</v>
      </c>
      <c r="D230" s="7" t="s">
        <v>499</v>
      </c>
      <c r="E230" s="8" t="s">
        <v>500</v>
      </c>
      <c r="F230" s="66">
        <v>0</v>
      </c>
      <c r="G230" s="30">
        <v>100</v>
      </c>
      <c r="H230" s="10" t="s">
        <v>37</v>
      </c>
      <c r="I23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3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30" s="71"/>
      <c r="M230" s="71"/>
      <c r="N230" s="94"/>
      <c r="P230" s="89"/>
    </row>
    <row r="231" spans="1:16" x14ac:dyDescent="0.25">
      <c r="A231" s="70">
        <f t="shared" si="10"/>
        <v>21</v>
      </c>
      <c r="B231" s="6">
        <v>43487</v>
      </c>
      <c r="C231" s="6" t="s">
        <v>427</v>
      </c>
      <c r="D231" s="7" t="s">
        <v>501</v>
      </c>
      <c r="E231" s="8" t="s">
        <v>233</v>
      </c>
      <c r="F231" s="66">
        <v>0</v>
      </c>
      <c r="G231" s="30">
        <v>100</v>
      </c>
      <c r="H231" s="10" t="s">
        <v>7</v>
      </c>
      <c r="I23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3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31" s="71"/>
      <c r="M231" s="71"/>
      <c r="N231" s="94"/>
      <c r="P231" s="89"/>
    </row>
    <row r="232" spans="1:16" x14ac:dyDescent="0.25">
      <c r="A232" s="70">
        <f t="shared" si="10"/>
        <v>21</v>
      </c>
      <c r="B232" s="6">
        <v>43487</v>
      </c>
      <c r="C232" s="6" t="s">
        <v>427</v>
      </c>
      <c r="D232" s="7" t="s">
        <v>501</v>
      </c>
      <c r="E232" s="8" t="s">
        <v>502</v>
      </c>
      <c r="F232" s="66">
        <v>0</v>
      </c>
      <c r="G232" s="30">
        <v>100</v>
      </c>
      <c r="H232" s="10" t="s">
        <v>7</v>
      </c>
      <c r="I23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3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32" s="71"/>
      <c r="M232" s="71"/>
      <c r="N232" s="94"/>
      <c r="P232" s="89"/>
    </row>
    <row r="233" spans="1:16" x14ac:dyDescent="0.25">
      <c r="A233" s="70">
        <f t="shared" si="10"/>
        <v>21</v>
      </c>
      <c r="B233" s="6">
        <v>43487</v>
      </c>
      <c r="C233" s="6" t="s">
        <v>427</v>
      </c>
      <c r="D233" s="7" t="s">
        <v>501</v>
      </c>
      <c r="E233" s="8" t="s">
        <v>127</v>
      </c>
      <c r="F233" s="66">
        <v>0</v>
      </c>
      <c r="G233" s="30">
        <v>100</v>
      </c>
      <c r="H233" s="10" t="s">
        <v>7</v>
      </c>
      <c r="I23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3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233" s="71"/>
      <c r="M233" s="71"/>
      <c r="N233" s="94"/>
      <c r="P233" s="89"/>
    </row>
    <row r="234" spans="1:16" x14ac:dyDescent="0.25">
      <c r="A234" s="70">
        <f t="shared" si="10"/>
        <v>21</v>
      </c>
      <c r="B234" s="6">
        <v>43487</v>
      </c>
      <c r="C234" s="6" t="s">
        <v>427</v>
      </c>
      <c r="D234" s="7" t="s">
        <v>503</v>
      </c>
      <c r="E234" s="8" t="s">
        <v>353</v>
      </c>
      <c r="F234" s="66">
        <v>0</v>
      </c>
      <c r="G234" s="30">
        <v>100</v>
      </c>
      <c r="H234" s="10" t="s">
        <v>37</v>
      </c>
      <c r="I23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3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34" s="71"/>
      <c r="M234" s="71"/>
      <c r="N234" s="94"/>
      <c r="P234" s="89"/>
    </row>
    <row r="235" spans="1:16" x14ac:dyDescent="0.25">
      <c r="A235" s="70">
        <f t="shared" si="10"/>
        <v>21</v>
      </c>
      <c r="B235" s="6">
        <v>43487</v>
      </c>
      <c r="C235" s="6" t="s">
        <v>427</v>
      </c>
      <c r="D235" s="7" t="s">
        <v>503</v>
      </c>
      <c r="E235" s="8" t="s">
        <v>504</v>
      </c>
      <c r="F235" s="66">
        <v>0</v>
      </c>
      <c r="G235" s="30">
        <v>100</v>
      </c>
      <c r="H235" s="10" t="s">
        <v>37</v>
      </c>
      <c r="I23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3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35" s="71"/>
      <c r="M235" s="71"/>
      <c r="N235" s="94"/>
      <c r="P235" s="89"/>
    </row>
    <row r="236" spans="1:16" x14ac:dyDescent="0.25">
      <c r="A236" s="70">
        <f t="shared" si="10"/>
        <v>22</v>
      </c>
      <c r="B236" s="6">
        <v>43489</v>
      </c>
      <c r="C236" s="6" t="s">
        <v>427</v>
      </c>
      <c r="D236" s="7" t="s">
        <v>549</v>
      </c>
      <c r="E236" s="8" t="s">
        <v>550</v>
      </c>
      <c r="F236" s="66">
        <v>4</v>
      </c>
      <c r="G236" s="30">
        <v>-110</v>
      </c>
      <c r="H236" s="10" t="s">
        <v>37</v>
      </c>
      <c r="I23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7.6363636363636367</v>
      </c>
      <c r="J23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36" s="71"/>
      <c r="M236" s="71"/>
      <c r="N236" s="94"/>
      <c r="P236" s="89"/>
    </row>
    <row r="237" spans="1:16" x14ac:dyDescent="0.25">
      <c r="A237" s="70">
        <f t="shared" si="10"/>
        <v>22</v>
      </c>
      <c r="B237" s="6">
        <v>43489</v>
      </c>
      <c r="C237" s="6" t="s">
        <v>427</v>
      </c>
      <c r="D237" s="7" t="s">
        <v>549</v>
      </c>
      <c r="E237" s="8" t="s">
        <v>551</v>
      </c>
      <c r="F237" s="66">
        <v>4</v>
      </c>
      <c r="G237" s="30">
        <v>-105</v>
      </c>
      <c r="H237" s="10" t="s">
        <v>7</v>
      </c>
      <c r="I23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3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37" s="71"/>
      <c r="M237" s="71"/>
      <c r="N237" s="94"/>
      <c r="P237" s="89"/>
    </row>
    <row r="238" spans="1:16" x14ac:dyDescent="0.25">
      <c r="A238" s="70">
        <f t="shared" si="10"/>
        <v>22</v>
      </c>
      <c r="B238" s="6">
        <v>43489</v>
      </c>
      <c r="C238" s="6" t="s">
        <v>427</v>
      </c>
      <c r="D238" s="7" t="s">
        <v>552</v>
      </c>
      <c r="E238" s="8" t="s">
        <v>553</v>
      </c>
      <c r="F238" s="66">
        <v>4</v>
      </c>
      <c r="G238" s="30">
        <v>-105</v>
      </c>
      <c r="H238" s="10" t="s">
        <v>7</v>
      </c>
      <c r="I23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3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38" s="71"/>
      <c r="M238" s="71"/>
      <c r="N238" s="94"/>
      <c r="P238" s="89"/>
    </row>
    <row r="239" spans="1:16" x14ac:dyDescent="0.25">
      <c r="A239" s="70">
        <f t="shared" si="10"/>
        <v>22</v>
      </c>
      <c r="B239" s="6">
        <v>43489</v>
      </c>
      <c r="C239" s="6" t="s">
        <v>427</v>
      </c>
      <c r="D239" s="7" t="s">
        <v>552</v>
      </c>
      <c r="E239" s="8" t="s">
        <v>554</v>
      </c>
      <c r="F239" s="66">
        <v>4</v>
      </c>
      <c r="G239" s="30">
        <v>-110</v>
      </c>
      <c r="H239" s="10" t="s">
        <v>37</v>
      </c>
      <c r="I23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7.6363636363636367</v>
      </c>
      <c r="J23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39" s="71"/>
      <c r="M239" s="71"/>
      <c r="N239" s="94"/>
      <c r="P239" s="89"/>
    </row>
    <row r="240" spans="1:16" x14ac:dyDescent="0.25">
      <c r="A240" s="70">
        <f t="shared" si="10"/>
        <v>22</v>
      </c>
      <c r="B240" s="6">
        <v>43489</v>
      </c>
      <c r="C240" s="6" t="s">
        <v>427</v>
      </c>
      <c r="D240" s="7" t="s">
        <v>552</v>
      </c>
      <c r="E240" s="8" t="s">
        <v>192</v>
      </c>
      <c r="F240" s="66">
        <v>4</v>
      </c>
      <c r="G240" s="30">
        <v>600</v>
      </c>
      <c r="H240" s="10" t="s">
        <v>7</v>
      </c>
      <c r="I24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4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240" s="71"/>
      <c r="M240" s="71"/>
      <c r="N240" s="94"/>
      <c r="P240" s="89"/>
    </row>
    <row r="241" spans="1:16" x14ac:dyDescent="0.25">
      <c r="A241" s="70">
        <f t="shared" si="10"/>
        <v>22</v>
      </c>
      <c r="B241" s="6">
        <v>43489</v>
      </c>
      <c r="C241" s="6" t="s">
        <v>427</v>
      </c>
      <c r="D241" s="7" t="s">
        <v>555</v>
      </c>
      <c r="E241" s="8" t="s">
        <v>492</v>
      </c>
      <c r="F241" s="66">
        <v>4</v>
      </c>
      <c r="G241" s="30">
        <v>-105</v>
      </c>
      <c r="H241" s="10" t="s">
        <v>7</v>
      </c>
      <c r="I24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4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41" s="71"/>
      <c r="M241" s="71"/>
      <c r="N241" s="94"/>
      <c r="P241" s="89"/>
    </row>
    <row r="242" spans="1:16" x14ac:dyDescent="0.25">
      <c r="A242" s="70">
        <f t="shared" si="10"/>
        <v>22</v>
      </c>
      <c r="B242" s="6">
        <v>43489</v>
      </c>
      <c r="C242" s="6" t="s">
        <v>427</v>
      </c>
      <c r="D242" s="7" t="s">
        <v>555</v>
      </c>
      <c r="E242" s="8" t="s">
        <v>556</v>
      </c>
      <c r="F242" s="66">
        <v>4</v>
      </c>
      <c r="G242" s="30">
        <v>-110</v>
      </c>
      <c r="H242" s="10" t="s">
        <v>37</v>
      </c>
      <c r="I24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7.6363636363636367</v>
      </c>
      <c r="J24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42" s="71"/>
      <c r="M242" s="71"/>
      <c r="N242" s="94"/>
      <c r="P242" s="89"/>
    </row>
    <row r="243" spans="1:16" x14ac:dyDescent="0.25">
      <c r="A243" s="70">
        <f t="shared" si="10"/>
        <v>22</v>
      </c>
      <c r="B243" s="6">
        <v>43489</v>
      </c>
      <c r="C243" s="6" t="s">
        <v>427</v>
      </c>
      <c r="D243" s="7" t="s">
        <v>557</v>
      </c>
      <c r="E243" s="8" t="s">
        <v>174</v>
      </c>
      <c r="F243" s="66">
        <v>4</v>
      </c>
      <c r="G243" s="30">
        <v>-110</v>
      </c>
      <c r="H243" s="10" t="s">
        <v>37</v>
      </c>
      <c r="I24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7.6363636363636367</v>
      </c>
      <c r="J24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43" s="71"/>
      <c r="M243" s="71"/>
      <c r="N243" s="94"/>
      <c r="P243" s="89"/>
    </row>
    <row r="244" spans="1:16" x14ac:dyDescent="0.25">
      <c r="A244" s="70">
        <f t="shared" si="10"/>
        <v>22</v>
      </c>
      <c r="B244" s="6">
        <v>43489</v>
      </c>
      <c r="C244" s="6" t="s">
        <v>427</v>
      </c>
      <c r="D244" s="7" t="s">
        <v>557</v>
      </c>
      <c r="E244" s="8" t="s">
        <v>558</v>
      </c>
      <c r="F244" s="66">
        <v>4</v>
      </c>
      <c r="G244" s="30">
        <v>-110</v>
      </c>
      <c r="H244" s="10" t="s">
        <v>37</v>
      </c>
      <c r="I24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7.6363636363636367</v>
      </c>
      <c r="J24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44" s="71"/>
      <c r="M244" s="71"/>
      <c r="N244" s="94"/>
      <c r="P244" s="89"/>
    </row>
    <row r="245" spans="1:16" x14ac:dyDescent="0.25">
      <c r="A245" s="70">
        <f t="shared" si="10"/>
        <v>23</v>
      </c>
      <c r="B245" s="6">
        <v>43493</v>
      </c>
      <c r="C245" s="6" t="s">
        <v>427</v>
      </c>
      <c r="D245" s="7" t="s">
        <v>605</v>
      </c>
      <c r="E245" s="8" t="s">
        <v>224</v>
      </c>
      <c r="F245" s="66">
        <v>2</v>
      </c>
      <c r="G245" s="30">
        <v>-110</v>
      </c>
      <c r="H245" s="10" t="s">
        <v>7</v>
      </c>
      <c r="I24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4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45" s="71"/>
      <c r="M245" s="71"/>
      <c r="N245" s="94"/>
      <c r="P245" s="89"/>
    </row>
    <row r="246" spans="1:16" x14ac:dyDescent="0.25">
      <c r="A246" s="70">
        <f t="shared" si="10"/>
        <v>23</v>
      </c>
      <c r="B246" s="6">
        <v>43493</v>
      </c>
      <c r="C246" s="6" t="s">
        <v>427</v>
      </c>
      <c r="D246" s="7" t="s">
        <v>605</v>
      </c>
      <c r="E246" s="8" t="s">
        <v>606</v>
      </c>
      <c r="F246" s="66">
        <v>2</v>
      </c>
      <c r="G246" s="30">
        <v>-105</v>
      </c>
      <c r="H246" s="10" t="s">
        <v>37</v>
      </c>
      <c r="I24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3.9047619047619051</v>
      </c>
      <c r="J24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46" s="71"/>
      <c r="M246" s="71"/>
      <c r="N246" s="94"/>
      <c r="P246" s="89"/>
    </row>
    <row r="247" spans="1:16" x14ac:dyDescent="0.25">
      <c r="A247" s="70">
        <f t="shared" si="10"/>
        <v>23</v>
      </c>
      <c r="B247" s="6">
        <v>43493</v>
      </c>
      <c r="C247" s="6" t="s">
        <v>427</v>
      </c>
      <c r="D247" s="7" t="s">
        <v>607</v>
      </c>
      <c r="E247" s="8" t="s">
        <v>608</v>
      </c>
      <c r="F247" s="66">
        <v>2</v>
      </c>
      <c r="G247" s="30">
        <v>-110</v>
      </c>
      <c r="H247" s="10" t="s">
        <v>7</v>
      </c>
      <c r="I24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4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47" s="71"/>
      <c r="M247" s="71"/>
      <c r="N247" s="94"/>
      <c r="P247" s="89"/>
    </row>
    <row r="248" spans="1:16" x14ac:dyDescent="0.25">
      <c r="A248" s="70">
        <f t="shared" si="10"/>
        <v>23</v>
      </c>
      <c r="B248" s="6">
        <v>43493</v>
      </c>
      <c r="C248" s="6" t="s">
        <v>427</v>
      </c>
      <c r="D248" s="7" t="s">
        <v>282</v>
      </c>
      <c r="E248" s="8" t="s">
        <v>492</v>
      </c>
      <c r="F248" s="66">
        <v>2</v>
      </c>
      <c r="G248" s="30">
        <v>-110</v>
      </c>
      <c r="H248" s="10" t="s">
        <v>37</v>
      </c>
      <c r="I24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24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48" s="71"/>
      <c r="M248" s="71"/>
      <c r="N248" s="94"/>
      <c r="P248" s="89"/>
    </row>
    <row r="249" spans="1:16" x14ac:dyDescent="0.25">
      <c r="A249" s="70">
        <f t="shared" si="10"/>
        <v>23</v>
      </c>
      <c r="B249" s="6">
        <v>43493</v>
      </c>
      <c r="C249" s="6" t="s">
        <v>427</v>
      </c>
      <c r="D249" s="7" t="s">
        <v>282</v>
      </c>
      <c r="E249" s="8" t="s">
        <v>609</v>
      </c>
      <c r="F249" s="66">
        <v>2</v>
      </c>
      <c r="G249" s="30">
        <v>-110</v>
      </c>
      <c r="H249" s="10" t="s">
        <v>7</v>
      </c>
      <c r="I24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4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49" s="71"/>
      <c r="M249" s="71"/>
      <c r="N249" s="94"/>
      <c r="P249" s="89"/>
    </row>
    <row r="250" spans="1:16" x14ac:dyDescent="0.25">
      <c r="A250" s="70">
        <f t="shared" si="10"/>
        <v>23</v>
      </c>
      <c r="B250" s="6">
        <v>43493</v>
      </c>
      <c r="C250" s="6" t="s">
        <v>427</v>
      </c>
      <c r="D250" s="7" t="s">
        <v>610</v>
      </c>
      <c r="E250" s="8" t="s">
        <v>411</v>
      </c>
      <c r="F250" s="66">
        <v>2</v>
      </c>
      <c r="G250" s="30">
        <v>-110</v>
      </c>
      <c r="H250" s="10" t="s">
        <v>37</v>
      </c>
      <c r="I25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25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50" s="71"/>
      <c r="M250" s="71"/>
      <c r="N250" s="94"/>
      <c r="P250" s="89"/>
    </row>
    <row r="251" spans="1:16" x14ac:dyDescent="0.25">
      <c r="A251" s="70">
        <f t="shared" si="10"/>
        <v>23</v>
      </c>
      <c r="B251" s="6">
        <v>43493</v>
      </c>
      <c r="C251" s="6" t="s">
        <v>427</v>
      </c>
      <c r="D251" s="7" t="s">
        <v>610</v>
      </c>
      <c r="E251" s="8" t="s">
        <v>611</v>
      </c>
      <c r="F251" s="66">
        <v>2</v>
      </c>
      <c r="G251" s="30">
        <v>-110</v>
      </c>
      <c r="H251" s="10" t="s">
        <v>7</v>
      </c>
      <c r="I25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5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51" s="71"/>
      <c r="M251" s="71"/>
      <c r="N251" s="94"/>
      <c r="P251" s="89"/>
    </row>
    <row r="252" spans="1:16" x14ac:dyDescent="0.25">
      <c r="A252" s="70">
        <f t="shared" si="10"/>
        <v>23</v>
      </c>
      <c r="B252" s="6">
        <v>43493</v>
      </c>
      <c r="C252" s="6" t="s">
        <v>427</v>
      </c>
      <c r="D252" s="7" t="s">
        <v>612</v>
      </c>
      <c r="E252" s="8" t="s">
        <v>553</v>
      </c>
      <c r="F252" s="66">
        <v>2</v>
      </c>
      <c r="G252" s="30">
        <v>-110</v>
      </c>
      <c r="H252" s="10" t="s">
        <v>7</v>
      </c>
      <c r="I25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5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52" s="71"/>
      <c r="M252" s="71"/>
      <c r="N252" s="94"/>
      <c r="P252" s="89"/>
    </row>
    <row r="253" spans="1:16" x14ac:dyDescent="0.25">
      <c r="A253" s="70">
        <f t="shared" si="10"/>
        <v>23</v>
      </c>
      <c r="B253" s="6">
        <v>43493</v>
      </c>
      <c r="C253" s="6" t="s">
        <v>427</v>
      </c>
      <c r="D253" s="7" t="s">
        <v>612</v>
      </c>
      <c r="E253" s="8" t="s">
        <v>613</v>
      </c>
      <c r="F253" s="66">
        <v>2</v>
      </c>
      <c r="G253" s="30">
        <v>-115</v>
      </c>
      <c r="H253" s="10" t="s">
        <v>7</v>
      </c>
      <c r="I25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5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53" s="71"/>
      <c r="M253" s="71"/>
      <c r="N253" s="94"/>
      <c r="P253" s="89"/>
    </row>
    <row r="254" spans="1:16" x14ac:dyDescent="0.25">
      <c r="A254" s="70">
        <f t="shared" si="10"/>
        <v>24</v>
      </c>
      <c r="B254" s="6">
        <v>43495</v>
      </c>
      <c r="C254" s="6" t="s">
        <v>666</v>
      </c>
      <c r="D254" s="7" t="s">
        <v>653</v>
      </c>
      <c r="E254" s="8" t="s">
        <v>230</v>
      </c>
      <c r="F254" s="66">
        <v>1</v>
      </c>
      <c r="G254" s="30">
        <v>-115</v>
      </c>
      <c r="H254" s="10" t="s">
        <v>37</v>
      </c>
      <c r="I25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1.8695652173913042</v>
      </c>
      <c r="J25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54" s="71"/>
      <c r="M254" s="71"/>
      <c r="N254" s="94"/>
      <c r="P254" s="89"/>
    </row>
    <row r="255" spans="1:16" x14ac:dyDescent="0.25">
      <c r="A255" s="70">
        <f t="shared" si="10"/>
        <v>24</v>
      </c>
      <c r="B255" s="6">
        <v>43495</v>
      </c>
      <c r="C255" s="6" t="s">
        <v>666</v>
      </c>
      <c r="D255" s="7" t="s">
        <v>653</v>
      </c>
      <c r="E255" s="8" t="s">
        <v>654</v>
      </c>
      <c r="F255" s="66">
        <v>1</v>
      </c>
      <c r="G255" s="30">
        <v>-110</v>
      </c>
      <c r="H255" s="10" t="s">
        <v>37</v>
      </c>
      <c r="I25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1.9090909090909092</v>
      </c>
      <c r="J25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55" s="71"/>
      <c r="M255" s="71"/>
      <c r="N255" s="94"/>
      <c r="P255" s="89"/>
    </row>
    <row r="256" spans="1:16" x14ac:dyDescent="0.25">
      <c r="A256" s="70">
        <f t="shared" si="10"/>
        <v>24</v>
      </c>
      <c r="B256" s="6">
        <v>43495</v>
      </c>
      <c r="C256" s="6" t="s">
        <v>666</v>
      </c>
      <c r="D256" s="7" t="s">
        <v>655</v>
      </c>
      <c r="E256" s="8" t="s">
        <v>134</v>
      </c>
      <c r="F256" s="66">
        <v>1</v>
      </c>
      <c r="G256" s="30">
        <v>-105</v>
      </c>
      <c r="H256" s="10" t="s">
        <v>7</v>
      </c>
      <c r="I25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5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56" s="71"/>
      <c r="M256" s="71"/>
      <c r="N256" s="94"/>
      <c r="P256" s="89"/>
    </row>
    <row r="257" spans="1:16" x14ac:dyDescent="0.25">
      <c r="A257" s="70">
        <f t="shared" si="10"/>
        <v>24</v>
      </c>
      <c r="B257" s="6">
        <v>43495</v>
      </c>
      <c r="C257" s="6" t="s">
        <v>666</v>
      </c>
      <c r="D257" s="7" t="s">
        <v>655</v>
      </c>
      <c r="E257" s="8" t="s">
        <v>656</v>
      </c>
      <c r="F257" s="66">
        <v>1</v>
      </c>
      <c r="G257" s="30">
        <v>-110</v>
      </c>
      <c r="H257" s="10" t="s">
        <v>7</v>
      </c>
      <c r="I25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5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57" s="71"/>
      <c r="M257" s="71"/>
      <c r="N257" s="94"/>
      <c r="P257" s="89"/>
    </row>
    <row r="258" spans="1:16" x14ac:dyDescent="0.25">
      <c r="A258" s="70">
        <f t="shared" si="10"/>
        <v>24</v>
      </c>
      <c r="B258" s="6">
        <v>43495</v>
      </c>
      <c r="C258" s="6" t="s">
        <v>666</v>
      </c>
      <c r="D258" s="7" t="s">
        <v>657</v>
      </c>
      <c r="E258" s="8" t="s">
        <v>658</v>
      </c>
      <c r="F258" s="66">
        <v>1</v>
      </c>
      <c r="G258" s="30">
        <v>-110</v>
      </c>
      <c r="H258" s="10" t="s">
        <v>37</v>
      </c>
      <c r="I25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1.9090909090909092</v>
      </c>
      <c r="J25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58" s="71"/>
      <c r="M258" s="71"/>
      <c r="N258" s="94"/>
      <c r="P258" s="89"/>
    </row>
    <row r="259" spans="1:16" x14ac:dyDescent="0.25">
      <c r="A259" s="70">
        <f t="shared" si="10"/>
        <v>24</v>
      </c>
      <c r="B259" s="6">
        <v>43495</v>
      </c>
      <c r="C259" s="6" t="s">
        <v>666</v>
      </c>
      <c r="D259" s="7" t="s">
        <v>657</v>
      </c>
      <c r="E259" s="8" t="s">
        <v>659</v>
      </c>
      <c r="F259" s="66">
        <v>1</v>
      </c>
      <c r="G259" s="30">
        <v>-105</v>
      </c>
      <c r="H259" s="10" t="s">
        <v>7</v>
      </c>
      <c r="I25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5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59" s="71"/>
      <c r="M259" s="71"/>
      <c r="N259" s="94"/>
      <c r="P259" s="89"/>
    </row>
    <row r="260" spans="1:16" x14ac:dyDescent="0.25">
      <c r="A260" s="70">
        <f t="shared" si="10"/>
        <v>24</v>
      </c>
      <c r="B260" s="6">
        <v>43495</v>
      </c>
      <c r="C260" s="6" t="s">
        <v>666</v>
      </c>
      <c r="D260" s="7" t="s">
        <v>660</v>
      </c>
      <c r="E260" s="8" t="s">
        <v>661</v>
      </c>
      <c r="F260" s="66">
        <v>1</v>
      </c>
      <c r="G260" s="30">
        <v>-110</v>
      </c>
      <c r="H260" s="10" t="s">
        <v>7</v>
      </c>
      <c r="I26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6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60" s="71"/>
      <c r="M260" s="71"/>
      <c r="N260" s="94"/>
      <c r="P260" s="89"/>
    </row>
    <row r="261" spans="1:16" x14ac:dyDescent="0.25">
      <c r="A261" s="70">
        <f t="shared" si="10"/>
        <v>24</v>
      </c>
      <c r="B261" s="6">
        <v>43495</v>
      </c>
      <c r="C261" s="6" t="s">
        <v>666</v>
      </c>
      <c r="D261" s="7" t="s">
        <v>660</v>
      </c>
      <c r="E261" s="8" t="s">
        <v>233</v>
      </c>
      <c r="F261" s="66">
        <v>1</v>
      </c>
      <c r="G261" s="30">
        <v>-110</v>
      </c>
      <c r="H261" s="10" t="s">
        <v>37</v>
      </c>
      <c r="I26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1.9090909090909092</v>
      </c>
      <c r="J26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61" s="71"/>
      <c r="M261" s="71"/>
      <c r="N261" s="94"/>
      <c r="P261" s="89"/>
    </row>
    <row r="262" spans="1:16" x14ac:dyDescent="0.25">
      <c r="A262" s="70">
        <f t="shared" ref="A262:A325" si="11">IF(B262=B261,A261,A261+1)</f>
        <v>24</v>
      </c>
      <c r="B262" s="6">
        <v>43495</v>
      </c>
      <c r="C262" s="6" t="s">
        <v>666</v>
      </c>
      <c r="D262" s="7" t="s">
        <v>662</v>
      </c>
      <c r="E262" s="8" t="s">
        <v>663</v>
      </c>
      <c r="F262" s="66">
        <v>1</v>
      </c>
      <c r="G262" s="30">
        <v>-110</v>
      </c>
      <c r="H262" s="10" t="s">
        <v>7</v>
      </c>
      <c r="I26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6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/>
      </c>
      <c r="K262" s="71"/>
      <c r="M262" s="71"/>
      <c r="N262" s="94"/>
      <c r="P262" s="89"/>
    </row>
    <row r="263" spans="1:16" x14ac:dyDescent="0.25">
      <c r="A263" s="70">
        <f t="shared" si="11"/>
        <v>24</v>
      </c>
      <c r="B263" s="6">
        <v>43495</v>
      </c>
      <c r="C263" s="6" t="s">
        <v>666</v>
      </c>
      <c r="D263" s="7" t="s">
        <v>662</v>
      </c>
      <c r="E263" s="8" t="s">
        <v>171</v>
      </c>
      <c r="F263" s="66">
        <v>1</v>
      </c>
      <c r="G263" s="30">
        <v>-115</v>
      </c>
      <c r="H263" s="10" t="s">
        <v>7</v>
      </c>
      <c r="I26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6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63" s="71"/>
      <c r="M263" s="71"/>
      <c r="N263" s="94"/>
      <c r="P263" s="89"/>
    </row>
    <row r="264" spans="1:16" x14ac:dyDescent="0.25">
      <c r="A264" s="70">
        <f t="shared" si="11"/>
        <v>24</v>
      </c>
      <c r="B264" s="6">
        <v>43495</v>
      </c>
      <c r="C264" s="6" t="s">
        <v>666</v>
      </c>
      <c r="D264" s="7" t="s">
        <v>664</v>
      </c>
      <c r="E264" s="8" t="s">
        <v>147</v>
      </c>
      <c r="F264" s="66">
        <v>1</v>
      </c>
      <c r="G264" s="30">
        <v>-110</v>
      </c>
      <c r="H264" s="10" t="s">
        <v>7</v>
      </c>
      <c r="I26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6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64" s="71"/>
      <c r="M264" s="71"/>
      <c r="N264" s="94"/>
      <c r="P264" s="89"/>
    </row>
    <row r="265" spans="1:16" x14ac:dyDescent="0.25">
      <c r="A265" s="70">
        <f t="shared" si="11"/>
        <v>24</v>
      </c>
      <c r="B265" s="6">
        <v>43495</v>
      </c>
      <c r="C265" s="6" t="s">
        <v>666</v>
      </c>
      <c r="D265" s="7" t="s">
        <v>664</v>
      </c>
      <c r="E265" s="8" t="s">
        <v>154</v>
      </c>
      <c r="F265" s="66">
        <v>1</v>
      </c>
      <c r="G265" s="30">
        <v>-110</v>
      </c>
      <c r="H265" s="10" t="s">
        <v>7</v>
      </c>
      <c r="I26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6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65" s="71"/>
      <c r="M265" s="71"/>
      <c r="N265" s="94"/>
      <c r="P265" s="89"/>
    </row>
    <row r="266" spans="1:16" x14ac:dyDescent="0.25">
      <c r="A266" s="70">
        <f t="shared" si="11"/>
        <v>24</v>
      </c>
      <c r="B266" s="6">
        <v>43495</v>
      </c>
      <c r="C266" s="6" t="s">
        <v>666</v>
      </c>
      <c r="D266" s="7" t="s">
        <v>665</v>
      </c>
      <c r="E266" s="8" t="s">
        <v>295</v>
      </c>
      <c r="F266" s="66">
        <v>1</v>
      </c>
      <c r="G266" s="30">
        <v>-105</v>
      </c>
      <c r="H266" s="10" t="s">
        <v>37</v>
      </c>
      <c r="I26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1.9523809523809526</v>
      </c>
      <c r="J26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66" s="71"/>
      <c r="M266" s="71"/>
      <c r="N266" s="94"/>
      <c r="P266" s="89"/>
    </row>
    <row r="267" spans="1:16" x14ac:dyDescent="0.25">
      <c r="A267" s="70">
        <f t="shared" si="11"/>
        <v>24</v>
      </c>
      <c r="B267" s="6">
        <v>43495</v>
      </c>
      <c r="C267" s="6" t="s">
        <v>666</v>
      </c>
      <c r="D267" s="7" t="s">
        <v>665</v>
      </c>
      <c r="E267" s="8" t="s">
        <v>131</v>
      </c>
      <c r="F267" s="66">
        <v>1</v>
      </c>
      <c r="G267" s="30">
        <v>-105</v>
      </c>
      <c r="H267" s="10" t="s">
        <v>7</v>
      </c>
      <c r="I26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6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67" s="71"/>
      <c r="M267" s="71"/>
      <c r="N267" s="94"/>
      <c r="P267" s="89"/>
    </row>
    <row r="268" spans="1:16" x14ac:dyDescent="0.25">
      <c r="A268" s="70">
        <f t="shared" si="11"/>
        <v>24</v>
      </c>
      <c r="B268" s="6">
        <v>43495</v>
      </c>
      <c r="C268" s="6" t="s">
        <v>666</v>
      </c>
      <c r="D268" s="7" t="s">
        <v>667</v>
      </c>
      <c r="E268" s="8" t="s">
        <v>668</v>
      </c>
      <c r="F268" s="66">
        <v>1</v>
      </c>
      <c r="G268" s="30">
        <v>-110</v>
      </c>
      <c r="H268" s="10" t="s">
        <v>7</v>
      </c>
      <c r="I26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6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68" s="71"/>
      <c r="M268" s="71"/>
      <c r="N268" s="94"/>
      <c r="P268" s="89"/>
    </row>
    <row r="269" spans="1:16" x14ac:dyDescent="0.25">
      <c r="A269" s="70">
        <f t="shared" si="11"/>
        <v>25</v>
      </c>
      <c r="B269" s="6">
        <v>43496</v>
      </c>
      <c r="C269" s="6" t="s">
        <v>666</v>
      </c>
      <c r="D269" s="7" t="s">
        <v>691</v>
      </c>
      <c r="E269" s="8" t="s">
        <v>692</v>
      </c>
      <c r="F269" s="66">
        <v>0</v>
      </c>
      <c r="G269" s="30">
        <v>-110</v>
      </c>
      <c r="H269" s="10" t="s">
        <v>37</v>
      </c>
      <c r="I26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6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69" s="71"/>
      <c r="M269" s="71"/>
      <c r="N269" s="94"/>
      <c r="P269" s="89"/>
    </row>
    <row r="270" spans="1:16" x14ac:dyDescent="0.25">
      <c r="A270" s="70">
        <f t="shared" si="11"/>
        <v>25</v>
      </c>
      <c r="B270" s="6">
        <v>43496</v>
      </c>
      <c r="C270" s="6" t="s">
        <v>666</v>
      </c>
      <c r="D270" s="7" t="s">
        <v>691</v>
      </c>
      <c r="E270" s="8" t="s">
        <v>693</v>
      </c>
      <c r="F270" s="66">
        <v>0</v>
      </c>
      <c r="G270" s="30">
        <v>-110</v>
      </c>
      <c r="H270" s="10" t="s">
        <v>7</v>
      </c>
      <c r="I27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7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70" s="71"/>
      <c r="M270" s="71"/>
      <c r="N270" s="94"/>
      <c r="P270" s="89"/>
    </row>
    <row r="271" spans="1:16" x14ac:dyDescent="0.25">
      <c r="A271" s="70">
        <f t="shared" si="11"/>
        <v>25</v>
      </c>
      <c r="B271" s="6">
        <v>43496</v>
      </c>
      <c r="C271" s="6" t="s">
        <v>666</v>
      </c>
      <c r="D271" s="7" t="s">
        <v>694</v>
      </c>
      <c r="E271" s="8" t="s">
        <v>695</v>
      </c>
      <c r="F271" s="66">
        <v>0</v>
      </c>
      <c r="G271" s="30">
        <v>-110</v>
      </c>
      <c r="H271" s="10" t="s">
        <v>7</v>
      </c>
      <c r="I27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7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71" s="71"/>
      <c r="M271" s="71"/>
      <c r="N271" s="94"/>
      <c r="P271" s="89"/>
    </row>
    <row r="272" spans="1:16" x14ac:dyDescent="0.25">
      <c r="A272" s="70">
        <f t="shared" si="11"/>
        <v>25</v>
      </c>
      <c r="B272" s="6">
        <v>43496</v>
      </c>
      <c r="C272" s="6" t="s">
        <v>666</v>
      </c>
      <c r="D272" s="7" t="s">
        <v>694</v>
      </c>
      <c r="E272" s="8" t="s">
        <v>134</v>
      </c>
      <c r="F272" s="66">
        <v>0</v>
      </c>
      <c r="G272" s="30">
        <v>-110</v>
      </c>
      <c r="H272" s="10" t="s">
        <v>7</v>
      </c>
      <c r="I27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7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72" s="71"/>
      <c r="M272" s="71"/>
      <c r="N272" s="94"/>
      <c r="P272" s="89"/>
    </row>
    <row r="273" spans="1:16" x14ac:dyDescent="0.25">
      <c r="A273" s="70">
        <f t="shared" si="11"/>
        <v>25</v>
      </c>
      <c r="B273" s="6">
        <v>43496</v>
      </c>
      <c r="C273" s="6" t="s">
        <v>666</v>
      </c>
      <c r="D273" s="7" t="s">
        <v>696</v>
      </c>
      <c r="E273" s="8" t="s">
        <v>697</v>
      </c>
      <c r="F273" s="66">
        <v>0</v>
      </c>
      <c r="G273" s="30">
        <v>-110</v>
      </c>
      <c r="H273" s="10" t="s">
        <v>37</v>
      </c>
      <c r="I27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7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73" s="71"/>
      <c r="M273" s="71"/>
      <c r="N273" s="94"/>
      <c r="P273" s="89"/>
    </row>
    <row r="274" spans="1:16" x14ac:dyDescent="0.25">
      <c r="A274" s="70">
        <f t="shared" si="11"/>
        <v>25</v>
      </c>
      <c r="B274" s="6">
        <v>43496</v>
      </c>
      <c r="C274" s="6" t="s">
        <v>666</v>
      </c>
      <c r="D274" s="7" t="s">
        <v>696</v>
      </c>
      <c r="E274" s="8" t="s">
        <v>350</v>
      </c>
      <c r="F274" s="66">
        <v>0</v>
      </c>
      <c r="G274" s="30">
        <v>-110</v>
      </c>
      <c r="H274" s="10" t="s">
        <v>37</v>
      </c>
      <c r="I27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7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74" s="71"/>
      <c r="M274" s="71"/>
      <c r="N274" s="94"/>
      <c r="P274" s="89"/>
    </row>
    <row r="275" spans="1:16" x14ac:dyDescent="0.25">
      <c r="A275" s="70">
        <f t="shared" si="11"/>
        <v>25</v>
      </c>
      <c r="B275" s="6">
        <v>43496</v>
      </c>
      <c r="C275" s="6" t="s">
        <v>666</v>
      </c>
      <c r="D275" s="7" t="s">
        <v>698</v>
      </c>
      <c r="E275" s="8" t="s">
        <v>699</v>
      </c>
      <c r="F275" s="66">
        <v>0</v>
      </c>
      <c r="G275" s="30">
        <v>-110</v>
      </c>
      <c r="H275" s="10" t="s">
        <v>7</v>
      </c>
      <c r="I27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7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75" s="71"/>
      <c r="M275" s="71"/>
      <c r="N275" s="94"/>
      <c r="P275" s="89"/>
    </row>
    <row r="276" spans="1:16" x14ac:dyDescent="0.25">
      <c r="A276" s="70">
        <f t="shared" si="11"/>
        <v>25</v>
      </c>
      <c r="B276" s="6">
        <v>43496</v>
      </c>
      <c r="C276" s="6" t="s">
        <v>666</v>
      </c>
      <c r="D276" s="7" t="s">
        <v>698</v>
      </c>
      <c r="E276" s="8" t="s">
        <v>233</v>
      </c>
      <c r="F276" s="66">
        <v>0</v>
      </c>
      <c r="G276" s="30">
        <v>-110</v>
      </c>
      <c r="H276" s="10" t="s">
        <v>7</v>
      </c>
      <c r="I27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7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76" s="71"/>
      <c r="M276" s="71"/>
      <c r="N276" s="94"/>
      <c r="P276" s="89"/>
    </row>
    <row r="277" spans="1:16" x14ac:dyDescent="0.25">
      <c r="A277" s="70">
        <f t="shared" si="11"/>
        <v>25</v>
      </c>
      <c r="B277" s="6">
        <v>43496</v>
      </c>
      <c r="C277" s="6" t="s">
        <v>666</v>
      </c>
      <c r="D277" s="7" t="s">
        <v>700</v>
      </c>
      <c r="E277" s="8" t="s">
        <v>227</v>
      </c>
      <c r="F277" s="66">
        <v>0</v>
      </c>
      <c r="G277" s="30">
        <v>-110</v>
      </c>
      <c r="H277" s="10" t="s">
        <v>7</v>
      </c>
      <c r="I27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7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77" s="71"/>
      <c r="M277" s="71"/>
      <c r="N277" s="94"/>
      <c r="P277" s="89"/>
    </row>
    <row r="278" spans="1:16" x14ac:dyDescent="0.25">
      <c r="A278" s="70">
        <f t="shared" si="11"/>
        <v>25</v>
      </c>
      <c r="B278" s="6">
        <v>43496</v>
      </c>
      <c r="C278" s="6" t="s">
        <v>666</v>
      </c>
      <c r="D278" s="7" t="s">
        <v>701</v>
      </c>
      <c r="E278" s="8" t="s">
        <v>702</v>
      </c>
      <c r="F278" s="66">
        <v>0</v>
      </c>
      <c r="G278" s="30">
        <v>-110</v>
      </c>
      <c r="H278" s="10" t="s">
        <v>7</v>
      </c>
      <c r="I27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7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78" s="71"/>
      <c r="M278" s="71"/>
      <c r="N278" s="94"/>
      <c r="P278" s="89"/>
    </row>
    <row r="279" spans="1:16" x14ac:dyDescent="0.25">
      <c r="A279" s="70">
        <f t="shared" si="11"/>
        <v>25</v>
      </c>
      <c r="B279" s="6">
        <v>43496</v>
      </c>
      <c r="C279" s="6" t="s">
        <v>666</v>
      </c>
      <c r="D279" s="7" t="s">
        <v>701</v>
      </c>
      <c r="E279" s="8" t="s">
        <v>703</v>
      </c>
      <c r="F279" s="66">
        <v>0</v>
      </c>
      <c r="G279" s="30">
        <v>-110</v>
      </c>
      <c r="H279" s="10" t="s">
        <v>7</v>
      </c>
      <c r="I27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7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79" s="71"/>
      <c r="M279" s="71"/>
      <c r="N279" s="94"/>
      <c r="P279" s="89"/>
    </row>
    <row r="280" spans="1:16" x14ac:dyDescent="0.25">
      <c r="A280" s="70">
        <f t="shared" si="11"/>
        <v>26</v>
      </c>
      <c r="B280" s="6">
        <v>43497</v>
      </c>
      <c r="C280" s="6" t="s">
        <v>666</v>
      </c>
      <c r="D280" s="7" t="s">
        <v>704</v>
      </c>
      <c r="E280" s="8" t="s">
        <v>693</v>
      </c>
      <c r="F280" s="66">
        <v>0</v>
      </c>
      <c r="G280" s="30">
        <v>-110</v>
      </c>
      <c r="H280" s="10" t="s">
        <v>7</v>
      </c>
      <c r="I28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8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80" s="71"/>
      <c r="M280" s="71"/>
      <c r="N280" s="94"/>
      <c r="P280" s="89"/>
    </row>
    <row r="281" spans="1:16" x14ac:dyDescent="0.25">
      <c r="A281" s="70">
        <f t="shared" si="11"/>
        <v>26</v>
      </c>
      <c r="B281" s="6">
        <v>43497</v>
      </c>
      <c r="C281" s="6" t="s">
        <v>666</v>
      </c>
      <c r="D281" s="7" t="s">
        <v>704</v>
      </c>
      <c r="E281" s="8" t="s">
        <v>705</v>
      </c>
      <c r="F281" s="66">
        <v>0</v>
      </c>
      <c r="G281" s="30">
        <v>-110</v>
      </c>
      <c r="H281" s="10" t="s">
        <v>37</v>
      </c>
      <c r="I28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8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81" s="71"/>
      <c r="M281" s="71"/>
      <c r="N281" s="94"/>
      <c r="P281" s="89"/>
    </row>
    <row r="282" spans="1:16" x14ac:dyDescent="0.25">
      <c r="A282" s="70">
        <f t="shared" si="11"/>
        <v>26</v>
      </c>
      <c r="B282" s="6">
        <v>43497</v>
      </c>
      <c r="C282" s="6" t="s">
        <v>666</v>
      </c>
      <c r="D282" s="7" t="s">
        <v>706</v>
      </c>
      <c r="E282" s="8" t="s">
        <v>707</v>
      </c>
      <c r="F282" s="66">
        <v>0</v>
      </c>
      <c r="G282" s="30">
        <v>-110</v>
      </c>
      <c r="H282" s="10" t="s">
        <v>37</v>
      </c>
      <c r="I28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8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82" s="71"/>
      <c r="M282" s="71"/>
      <c r="N282" s="94"/>
      <c r="P282" s="89"/>
    </row>
    <row r="283" spans="1:16" x14ac:dyDescent="0.25">
      <c r="A283" s="70">
        <f t="shared" si="11"/>
        <v>26</v>
      </c>
      <c r="B283" s="6">
        <v>43497</v>
      </c>
      <c r="C283" s="6" t="s">
        <v>666</v>
      </c>
      <c r="D283" s="7" t="s">
        <v>706</v>
      </c>
      <c r="E283" s="8" t="s">
        <v>233</v>
      </c>
      <c r="F283" s="66">
        <v>0</v>
      </c>
      <c r="G283" s="30">
        <v>-110</v>
      </c>
      <c r="H283" s="10" t="s">
        <v>7</v>
      </c>
      <c r="I28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8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83" s="71"/>
      <c r="M283" s="71"/>
      <c r="N283" s="94"/>
      <c r="P283" s="89"/>
    </row>
    <row r="284" spans="1:16" x14ac:dyDescent="0.25">
      <c r="A284" s="70">
        <f t="shared" si="11"/>
        <v>27</v>
      </c>
      <c r="B284" s="6">
        <v>43500</v>
      </c>
      <c r="C284" s="6" t="s">
        <v>766</v>
      </c>
      <c r="D284" s="7" t="s">
        <v>757</v>
      </c>
      <c r="E284" s="8" t="s">
        <v>758</v>
      </c>
      <c r="F284" s="66">
        <v>0</v>
      </c>
      <c r="G284" s="30">
        <v>-110</v>
      </c>
      <c r="H284" s="10" t="s">
        <v>7</v>
      </c>
      <c r="I28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8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84" s="71"/>
      <c r="M284" s="71"/>
      <c r="N284" s="94"/>
      <c r="P284" s="89"/>
    </row>
    <row r="285" spans="1:16" x14ac:dyDescent="0.25">
      <c r="A285" s="70">
        <f t="shared" si="11"/>
        <v>27</v>
      </c>
      <c r="B285" s="6">
        <v>43500</v>
      </c>
      <c r="C285" s="6" t="s">
        <v>766</v>
      </c>
      <c r="D285" s="7" t="s">
        <v>757</v>
      </c>
      <c r="E285" s="8" t="s">
        <v>759</v>
      </c>
      <c r="F285" s="66">
        <v>0</v>
      </c>
      <c r="G285" s="30">
        <v>-110</v>
      </c>
      <c r="H285" s="10" t="s">
        <v>37</v>
      </c>
      <c r="I28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8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285" s="71"/>
      <c r="M285" s="71"/>
      <c r="N285" s="94"/>
      <c r="P285" s="89"/>
    </row>
    <row r="286" spans="1:16" x14ac:dyDescent="0.25">
      <c r="A286" s="70">
        <f t="shared" si="11"/>
        <v>27</v>
      </c>
      <c r="B286" s="6">
        <v>43500</v>
      </c>
      <c r="C286" s="6" t="s">
        <v>766</v>
      </c>
      <c r="D286" s="7" t="s">
        <v>760</v>
      </c>
      <c r="E286" s="8" t="s">
        <v>761</v>
      </c>
      <c r="F286" s="66">
        <v>0</v>
      </c>
      <c r="G286" s="30">
        <v>-110</v>
      </c>
      <c r="H286" s="10" t="s">
        <v>37</v>
      </c>
      <c r="I28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8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86" s="71"/>
      <c r="M286" s="71"/>
      <c r="N286" s="94"/>
      <c r="P286" s="89"/>
    </row>
    <row r="287" spans="1:16" x14ac:dyDescent="0.25">
      <c r="A287" s="70">
        <f t="shared" si="11"/>
        <v>27</v>
      </c>
      <c r="B287" s="6">
        <v>43500</v>
      </c>
      <c r="C287" s="6" t="s">
        <v>766</v>
      </c>
      <c r="D287" s="7" t="s">
        <v>760</v>
      </c>
      <c r="E287" s="8" t="s">
        <v>767</v>
      </c>
      <c r="F287" s="66">
        <v>0</v>
      </c>
      <c r="G287" s="30">
        <v>-110</v>
      </c>
      <c r="H287" s="10" t="s">
        <v>37</v>
      </c>
      <c r="I28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8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MF</v>
      </c>
      <c r="K287" s="71"/>
      <c r="M287" s="71"/>
      <c r="N287" s="94"/>
      <c r="P287" s="89"/>
    </row>
    <row r="288" spans="1:16" x14ac:dyDescent="0.25">
      <c r="A288" s="70">
        <f t="shared" si="11"/>
        <v>27</v>
      </c>
      <c r="B288" s="6">
        <v>43500</v>
      </c>
      <c r="C288" s="6" t="s">
        <v>766</v>
      </c>
      <c r="D288" s="7" t="s">
        <v>760</v>
      </c>
      <c r="E288" s="8" t="s">
        <v>174</v>
      </c>
      <c r="F288" s="66">
        <v>0</v>
      </c>
      <c r="G288" s="30">
        <v>-110</v>
      </c>
      <c r="H288" s="10" t="s">
        <v>37</v>
      </c>
      <c r="I28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8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88" s="71"/>
      <c r="M288" s="71"/>
      <c r="N288" s="94"/>
      <c r="P288" s="89"/>
    </row>
    <row r="289" spans="1:16" x14ac:dyDescent="0.25">
      <c r="A289" s="70">
        <f t="shared" si="11"/>
        <v>27</v>
      </c>
      <c r="B289" s="6">
        <v>43500</v>
      </c>
      <c r="C289" s="6" t="s">
        <v>766</v>
      </c>
      <c r="D289" s="7" t="s">
        <v>762</v>
      </c>
      <c r="E289" s="8" t="s">
        <v>396</v>
      </c>
      <c r="F289" s="66">
        <v>0</v>
      </c>
      <c r="G289" s="30">
        <v>-110</v>
      </c>
      <c r="H289" s="10" t="s">
        <v>37</v>
      </c>
      <c r="I28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8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89" s="71"/>
      <c r="M289" s="71"/>
      <c r="N289" s="94"/>
      <c r="P289" s="89"/>
    </row>
    <row r="290" spans="1:16" x14ac:dyDescent="0.25">
      <c r="A290" s="70">
        <f t="shared" si="11"/>
        <v>27</v>
      </c>
      <c r="B290" s="6">
        <v>43500</v>
      </c>
      <c r="C290" s="6" t="s">
        <v>766</v>
      </c>
      <c r="D290" s="7" t="s">
        <v>763</v>
      </c>
      <c r="E290" s="8" t="s">
        <v>764</v>
      </c>
      <c r="F290" s="66">
        <v>0</v>
      </c>
      <c r="G290" s="30">
        <v>-110</v>
      </c>
      <c r="H290" s="10" t="s">
        <v>7</v>
      </c>
      <c r="I29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9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90" s="71"/>
      <c r="M290" s="71"/>
      <c r="N290" s="94"/>
      <c r="P290" s="89"/>
    </row>
    <row r="291" spans="1:16" x14ac:dyDescent="0.25">
      <c r="A291" s="70">
        <f t="shared" si="11"/>
        <v>27</v>
      </c>
      <c r="B291" s="6">
        <v>43500</v>
      </c>
      <c r="C291" s="6" t="s">
        <v>766</v>
      </c>
      <c r="D291" s="7" t="s">
        <v>763</v>
      </c>
      <c r="E291" s="8" t="s">
        <v>768</v>
      </c>
      <c r="F291" s="66">
        <v>0</v>
      </c>
      <c r="G291" s="30">
        <v>-110</v>
      </c>
      <c r="H291" s="10" t="s">
        <v>37</v>
      </c>
      <c r="I29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9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MF</v>
      </c>
      <c r="K291" s="71"/>
      <c r="M291" s="71"/>
      <c r="N291" s="94"/>
      <c r="P291" s="89"/>
    </row>
    <row r="292" spans="1:16" x14ac:dyDescent="0.25">
      <c r="A292" s="70">
        <f t="shared" si="11"/>
        <v>27</v>
      </c>
      <c r="B292" s="6">
        <v>43500</v>
      </c>
      <c r="C292" s="6" t="s">
        <v>766</v>
      </c>
      <c r="D292" s="7" t="s">
        <v>763</v>
      </c>
      <c r="E292" s="8" t="s">
        <v>233</v>
      </c>
      <c r="F292" s="66">
        <v>0</v>
      </c>
      <c r="G292" s="30">
        <v>-110</v>
      </c>
      <c r="H292" s="10" t="s">
        <v>7</v>
      </c>
      <c r="I29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9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92" s="71"/>
      <c r="M292" s="71"/>
      <c r="N292" s="94"/>
      <c r="P292" s="89"/>
    </row>
    <row r="293" spans="1:16" x14ac:dyDescent="0.25">
      <c r="A293" s="70">
        <f t="shared" si="11"/>
        <v>27</v>
      </c>
      <c r="B293" s="6">
        <v>43500</v>
      </c>
      <c r="C293" s="6" t="s">
        <v>766</v>
      </c>
      <c r="D293" s="7" t="s">
        <v>765</v>
      </c>
      <c r="E293" s="8" t="s">
        <v>227</v>
      </c>
      <c r="F293" s="66">
        <v>0</v>
      </c>
      <c r="G293" s="30">
        <v>-110</v>
      </c>
      <c r="H293" s="10" t="s">
        <v>7</v>
      </c>
      <c r="I29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9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93" s="71"/>
      <c r="M293" s="71"/>
      <c r="N293" s="94"/>
      <c r="P293" s="89"/>
    </row>
    <row r="294" spans="1:16" x14ac:dyDescent="0.25">
      <c r="A294" s="70">
        <f t="shared" si="11"/>
        <v>28</v>
      </c>
      <c r="B294" s="6">
        <v>43502</v>
      </c>
      <c r="C294" s="6" t="s">
        <v>766</v>
      </c>
      <c r="D294" s="7" t="s">
        <v>795</v>
      </c>
      <c r="E294" s="8" t="s">
        <v>796</v>
      </c>
      <c r="F294" s="66">
        <v>1</v>
      </c>
      <c r="G294" s="30">
        <v>-110</v>
      </c>
      <c r="H294" s="10" t="s">
        <v>7</v>
      </c>
      <c r="I29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9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294" s="71"/>
      <c r="M294" s="71"/>
      <c r="N294" s="94"/>
      <c r="P294" s="89"/>
    </row>
    <row r="295" spans="1:16" x14ac:dyDescent="0.25">
      <c r="A295" s="70">
        <f t="shared" si="11"/>
        <v>28</v>
      </c>
      <c r="B295" s="6">
        <v>43502</v>
      </c>
      <c r="C295" s="6" t="s">
        <v>766</v>
      </c>
      <c r="D295" s="7" t="s">
        <v>795</v>
      </c>
      <c r="E295" s="8" t="s">
        <v>273</v>
      </c>
      <c r="F295" s="66">
        <v>1</v>
      </c>
      <c r="G295" s="30">
        <v>-105</v>
      </c>
      <c r="H295" s="10" t="s">
        <v>7</v>
      </c>
      <c r="I29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9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95" s="71"/>
      <c r="M295" s="71"/>
      <c r="N295" s="94"/>
      <c r="P295" s="89"/>
    </row>
    <row r="296" spans="1:16" x14ac:dyDescent="0.25">
      <c r="A296" s="70">
        <f t="shared" si="11"/>
        <v>28</v>
      </c>
      <c r="B296" s="6">
        <v>43502</v>
      </c>
      <c r="C296" s="6" t="s">
        <v>766</v>
      </c>
      <c r="D296" s="7" t="s">
        <v>797</v>
      </c>
      <c r="E296" s="8" t="s">
        <v>798</v>
      </c>
      <c r="F296" s="66">
        <v>1</v>
      </c>
      <c r="G296" s="30">
        <v>-105</v>
      </c>
      <c r="H296" s="10" t="s">
        <v>37</v>
      </c>
      <c r="I29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1.9523809523809526</v>
      </c>
      <c r="J29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296" s="71"/>
      <c r="M296" s="71"/>
      <c r="N296" s="94"/>
      <c r="P296" s="89"/>
    </row>
    <row r="297" spans="1:16" x14ac:dyDescent="0.25">
      <c r="A297" s="70">
        <f t="shared" si="11"/>
        <v>28</v>
      </c>
      <c r="B297" s="6">
        <v>43502</v>
      </c>
      <c r="C297" s="6" t="s">
        <v>766</v>
      </c>
      <c r="D297" s="7" t="s">
        <v>797</v>
      </c>
      <c r="E297" s="8" t="s">
        <v>799</v>
      </c>
      <c r="F297" s="66">
        <v>1</v>
      </c>
      <c r="G297" s="30">
        <v>100</v>
      </c>
      <c r="H297" s="10" t="s">
        <v>37</v>
      </c>
      <c r="I29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2</v>
      </c>
      <c r="J29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297" s="71"/>
      <c r="M297" s="71"/>
      <c r="N297" s="94"/>
      <c r="P297" s="89"/>
    </row>
    <row r="298" spans="1:16" x14ac:dyDescent="0.25">
      <c r="A298" s="70">
        <f t="shared" si="11"/>
        <v>28</v>
      </c>
      <c r="B298" s="6">
        <v>43502</v>
      </c>
      <c r="C298" s="6" t="s">
        <v>766</v>
      </c>
      <c r="D298" s="7" t="s">
        <v>797</v>
      </c>
      <c r="E298" s="8" t="s">
        <v>233</v>
      </c>
      <c r="F298" s="66">
        <v>1</v>
      </c>
      <c r="G298" s="30">
        <v>-105</v>
      </c>
      <c r="H298" s="10" t="s">
        <v>7</v>
      </c>
      <c r="I29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29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298" s="71"/>
      <c r="M298" s="71"/>
      <c r="N298" s="94"/>
      <c r="P298" s="89"/>
    </row>
    <row r="299" spans="1:16" x14ac:dyDescent="0.25">
      <c r="A299" s="70">
        <f t="shared" si="11"/>
        <v>28</v>
      </c>
      <c r="B299" s="6">
        <v>43502</v>
      </c>
      <c r="C299" s="6" t="s">
        <v>766</v>
      </c>
      <c r="D299" s="7" t="s">
        <v>800</v>
      </c>
      <c r="E299" s="8" t="s">
        <v>767</v>
      </c>
      <c r="F299" s="66">
        <v>1</v>
      </c>
      <c r="G299" s="30">
        <v>-900</v>
      </c>
      <c r="H299" s="10" t="s">
        <v>37</v>
      </c>
      <c r="I29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1.1111111111111112</v>
      </c>
      <c r="J29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MF</v>
      </c>
      <c r="K299" s="71"/>
      <c r="M299" s="71"/>
      <c r="N299" s="94"/>
      <c r="P299" s="89"/>
    </row>
    <row r="300" spans="1:16" x14ac:dyDescent="0.25">
      <c r="A300" s="70">
        <f t="shared" si="11"/>
        <v>28</v>
      </c>
      <c r="B300" s="6">
        <v>43502</v>
      </c>
      <c r="C300" s="6" t="s">
        <v>766</v>
      </c>
      <c r="D300" s="7" t="s">
        <v>800</v>
      </c>
      <c r="E300" s="8" t="s">
        <v>801</v>
      </c>
      <c r="F300" s="66">
        <v>1</v>
      </c>
      <c r="G300" s="30">
        <v>-105</v>
      </c>
      <c r="H300" s="10" t="s">
        <v>37</v>
      </c>
      <c r="I30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1.9523809523809526</v>
      </c>
      <c r="J30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00" s="71"/>
      <c r="M300" s="71"/>
      <c r="N300" s="94"/>
      <c r="P300" s="89"/>
    </row>
    <row r="301" spans="1:16" x14ac:dyDescent="0.25">
      <c r="A301" s="70">
        <f t="shared" si="11"/>
        <v>28</v>
      </c>
      <c r="B301" s="6">
        <v>43502</v>
      </c>
      <c r="C301" s="6" t="s">
        <v>766</v>
      </c>
      <c r="D301" s="7" t="s">
        <v>802</v>
      </c>
      <c r="E301" s="8" t="s">
        <v>808</v>
      </c>
      <c r="F301" s="66">
        <v>1</v>
      </c>
      <c r="G301" s="30">
        <v>-110</v>
      </c>
      <c r="H301" s="10" t="s">
        <v>7</v>
      </c>
      <c r="I30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0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01" s="71"/>
      <c r="M301" s="71"/>
      <c r="N301" s="94"/>
      <c r="P301" s="89"/>
    </row>
    <row r="302" spans="1:16" x14ac:dyDescent="0.25">
      <c r="A302" s="70">
        <f t="shared" si="11"/>
        <v>28</v>
      </c>
      <c r="B302" s="6">
        <v>43502</v>
      </c>
      <c r="C302" s="6" t="s">
        <v>766</v>
      </c>
      <c r="D302" s="7" t="s">
        <v>802</v>
      </c>
      <c r="E302" s="8" t="s">
        <v>659</v>
      </c>
      <c r="F302" s="66">
        <v>1</v>
      </c>
      <c r="G302" s="30">
        <v>-110</v>
      </c>
      <c r="H302" s="10" t="s">
        <v>7</v>
      </c>
      <c r="I30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0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02" s="71"/>
      <c r="M302" s="71"/>
      <c r="N302" s="94"/>
      <c r="P302" s="89"/>
    </row>
    <row r="303" spans="1:16" x14ac:dyDescent="0.25">
      <c r="A303" s="70">
        <f t="shared" si="11"/>
        <v>28</v>
      </c>
      <c r="B303" s="6">
        <v>43502</v>
      </c>
      <c r="C303" s="6" t="s">
        <v>766</v>
      </c>
      <c r="D303" s="7" t="s">
        <v>803</v>
      </c>
      <c r="E303" s="8" t="s">
        <v>804</v>
      </c>
      <c r="F303" s="66">
        <v>1</v>
      </c>
      <c r="G303" s="30">
        <v>-1900</v>
      </c>
      <c r="H303" s="10" t="s">
        <v>37</v>
      </c>
      <c r="I30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1.0526315789473684</v>
      </c>
      <c r="J30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MF</v>
      </c>
      <c r="K303" s="71"/>
      <c r="M303" s="71"/>
      <c r="N303" s="94"/>
      <c r="P303" s="89"/>
    </row>
    <row r="304" spans="1:16" x14ac:dyDescent="0.25">
      <c r="A304" s="70">
        <f t="shared" si="11"/>
        <v>28</v>
      </c>
      <c r="B304" s="6">
        <v>43502</v>
      </c>
      <c r="C304" s="6" t="s">
        <v>766</v>
      </c>
      <c r="D304" s="7" t="s">
        <v>803</v>
      </c>
      <c r="E304" s="8" t="s">
        <v>805</v>
      </c>
      <c r="F304" s="66">
        <v>1</v>
      </c>
      <c r="G304" s="30">
        <v>-110</v>
      </c>
      <c r="H304" s="10" t="s">
        <v>37</v>
      </c>
      <c r="I30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1.9090909090909092</v>
      </c>
      <c r="J30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04" s="71"/>
      <c r="M304" s="71"/>
      <c r="N304" s="94"/>
      <c r="P304" s="89"/>
    </row>
    <row r="305" spans="1:16" x14ac:dyDescent="0.25">
      <c r="A305" s="70">
        <f t="shared" si="11"/>
        <v>28</v>
      </c>
      <c r="B305" s="6">
        <v>43502</v>
      </c>
      <c r="C305" s="6" t="s">
        <v>766</v>
      </c>
      <c r="D305" s="7" t="s">
        <v>806</v>
      </c>
      <c r="E305" s="8" t="s">
        <v>437</v>
      </c>
      <c r="F305" s="66">
        <v>1</v>
      </c>
      <c r="G305" s="30">
        <v>-115</v>
      </c>
      <c r="H305" s="10" t="s">
        <v>7</v>
      </c>
      <c r="I30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0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05" s="71"/>
      <c r="M305" s="71"/>
      <c r="N305" s="94"/>
      <c r="P305" s="89"/>
    </row>
    <row r="306" spans="1:16" x14ac:dyDescent="0.25">
      <c r="A306" s="70">
        <f t="shared" si="11"/>
        <v>28</v>
      </c>
      <c r="B306" s="6">
        <v>43502</v>
      </c>
      <c r="C306" s="6" t="s">
        <v>766</v>
      </c>
      <c r="D306" s="7" t="s">
        <v>806</v>
      </c>
      <c r="E306" s="8" t="s">
        <v>131</v>
      </c>
      <c r="F306" s="66">
        <v>1</v>
      </c>
      <c r="G306" s="30">
        <v>-110</v>
      </c>
      <c r="H306" s="10" t="s">
        <v>37</v>
      </c>
      <c r="I30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1.9090909090909092</v>
      </c>
      <c r="J30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06" s="71"/>
      <c r="M306" s="71"/>
      <c r="N306" s="94"/>
      <c r="P306" s="89"/>
    </row>
    <row r="307" spans="1:16" x14ac:dyDescent="0.25">
      <c r="A307" s="70">
        <f t="shared" si="11"/>
        <v>28</v>
      </c>
      <c r="B307" s="6">
        <v>43502</v>
      </c>
      <c r="C307" s="6" t="s">
        <v>766</v>
      </c>
      <c r="D307" s="7" t="s">
        <v>807</v>
      </c>
      <c r="E307" s="8" t="s">
        <v>353</v>
      </c>
      <c r="F307" s="66">
        <v>1</v>
      </c>
      <c r="G307" s="30">
        <v>-115</v>
      </c>
      <c r="H307" s="10" t="s">
        <v>7</v>
      </c>
      <c r="I30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0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07" s="71"/>
      <c r="M307" s="71"/>
      <c r="N307" s="94"/>
      <c r="P307" s="89"/>
    </row>
    <row r="308" spans="1:16" x14ac:dyDescent="0.25">
      <c r="A308" s="70">
        <f t="shared" si="11"/>
        <v>29</v>
      </c>
      <c r="B308" s="6">
        <v>43503</v>
      </c>
      <c r="C308" s="6" t="s">
        <v>822</v>
      </c>
      <c r="D308" s="7" t="s">
        <v>809</v>
      </c>
      <c r="E308" s="8" t="s">
        <v>810</v>
      </c>
      <c r="F308" s="66">
        <v>2</v>
      </c>
      <c r="G308" s="30">
        <v>-105</v>
      </c>
      <c r="H308" s="10" t="s">
        <v>37</v>
      </c>
      <c r="I30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3.9047619047619051</v>
      </c>
      <c r="J30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08" s="71"/>
      <c r="M308" s="71"/>
      <c r="N308" s="94"/>
      <c r="P308" s="89"/>
    </row>
    <row r="309" spans="1:16" x14ac:dyDescent="0.25">
      <c r="A309" s="70">
        <f t="shared" si="11"/>
        <v>29</v>
      </c>
      <c r="B309" s="6">
        <v>43503</v>
      </c>
      <c r="C309" s="6" t="s">
        <v>822</v>
      </c>
      <c r="D309" s="7" t="s">
        <v>809</v>
      </c>
      <c r="E309" s="8" t="s">
        <v>811</v>
      </c>
      <c r="F309" s="66">
        <v>2</v>
      </c>
      <c r="G309" s="30">
        <v>-110</v>
      </c>
      <c r="H309" s="10" t="s">
        <v>7</v>
      </c>
      <c r="I30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0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09" s="71"/>
      <c r="M309" s="71"/>
      <c r="N309" s="94"/>
      <c r="P309" s="89"/>
    </row>
    <row r="310" spans="1:16" x14ac:dyDescent="0.25">
      <c r="A310" s="70">
        <f t="shared" si="11"/>
        <v>29</v>
      </c>
      <c r="B310" s="6">
        <v>43503</v>
      </c>
      <c r="C310" s="6" t="s">
        <v>822</v>
      </c>
      <c r="D310" s="7" t="s">
        <v>812</v>
      </c>
      <c r="E310" s="8" t="s">
        <v>810</v>
      </c>
      <c r="F310" s="66">
        <v>2</v>
      </c>
      <c r="G310" s="30">
        <v>-115</v>
      </c>
      <c r="H310" s="10" t="s">
        <v>7</v>
      </c>
      <c r="I31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1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10" s="71"/>
      <c r="M310" s="71"/>
      <c r="N310" s="94"/>
      <c r="P310" s="89"/>
    </row>
    <row r="311" spans="1:16" x14ac:dyDescent="0.25">
      <c r="A311" s="70">
        <f t="shared" si="11"/>
        <v>29</v>
      </c>
      <c r="B311" s="6">
        <v>43503</v>
      </c>
      <c r="C311" s="6" t="s">
        <v>822</v>
      </c>
      <c r="D311" s="7" t="s">
        <v>812</v>
      </c>
      <c r="E311" s="8" t="s">
        <v>813</v>
      </c>
      <c r="F311" s="66">
        <v>2</v>
      </c>
      <c r="G311" s="30">
        <v>-110</v>
      </c>
      <c r="H311" s="10" t="s">
        <v>7</v>
      </c>
      <c r="I31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1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11" s="71"/>
      <c r="M311" s="71"/>
      <c r="N311" s="94"/>
      <c r="P311" s="89"/>
    </row>
    <row r="312" spans="1:16" x14ac:dyDescent="0.25">
      <c r="A312" s="70">
        <f t="shared" si="11"/>
        <v>29</v>
      </c>
      <c r="B312" s="6">
        <v>43503</v>
      </c>
      <c r="C312" s="6" t="s">
        <v>822</v>
      </c>
      <c r="D312" s="7" t="s">
        <v>812</v>
      </c>
      <c r="E312" s="8" t="s">
        <v>814</v>
      </c>
      <c r="F312" s="66">
        <v>2</v>
      </c>
      <c r="G312" s="30">
        <v>110</v>
      </c>
      <c r="H312" s="10" t="s">
        <v>7</v>
      </c>
      <c r="I31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1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312" s="71"/>
      <c r="M312" s="71"/>
      <c r="N312" s="94"/>
      <c r="P312" s="89"/>
    </row>
    <row r="313" spans="1:16" x14ac:dyDescent="0.25">
      <c r="A313" s="70">
        <f t="shared" si="11"/>
        <v>29</v>
      </c>
      <c r="B313" s="6">
        <v>43503</v>
      </c>
      <c r="C313" s="6" t="s">
        <v>822</v>
      </c>
      <c r="D313" s="7" t="s">
        <v>815</v>
      </c>
      <c r="E313" s="8" t="s">
        <v>350</v>
      </c>
      <c r="F313" s="66">
        <v>2</v>
      </c>
      <c r="G313" s="30">
        <v>-105</v>
      </c>
      <c r="H313" s="10" t="s">
        <v>37</v>
      </c>
      <c r="I31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3.9047619047619051</v>
      </c>
      <c r="J31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13" s="71"/>
      <c r="M313" s="71"/>
      <c r="N313" s="94"/>
      <c r="P313" s="89"/>
    </row>
    <row r="314" spans="1:16" x14ac:dyDescent="0.25">
      <c r="A314" s="70">
        <f t="shared" si="11"/>
        <v>29</v>
      </c>
      <c r="B314" s="6">
        <v>43503</v>
      </c>
      <c r="C314" s="6" t="s">
        <v>822</v>
      </c>
      <c r="D314" s="7" t="s">
        <v>815</v>
      </c>
      <c r="E314" s="8" t="s">
        <v>816</v>
      </c>
      <c r="F314" s="66">
        <v>2</v>
      </c>
      <c r="G314" s="30">
        <v>-110</v>
      </c>
      <c r="H314" s="10" t="s">
        <v>37</v>
      </c>
      <c r="I31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1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14" s="71"/>
      <c r="M314" s="71"/>
      <c r="N314" s="94"/>
      <c r="P314" s="89"/>
    </row>
    <row r="315" spans="1:16" x14ac:dyDescent="0.25">
      <c r="A315" s="70">
        <f t="shared" si="11"/>
        <v>29</v>
      </c>
      <c r="B315" s="6">
        <v>43503</v>
      </c>
      <c r="C315" s="6" t="s">
        <v>822</v>
      </c>
      <c r="D315" s="7" t="s">
        <v>817</v>
      </c>
      <c r="E315" s="8" t="s">
        <v>233</v>
      </c>
      <c r="F315" s="66">
        <v>2</v>
      </c>
      <c r="G315" s="30">
        <v>-110</v>
      </c>
      <c r="H315" s="10" t="s">
        <v>7</v>
      </c>
      <c r="I31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1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15" s="71"/>
      <c r="M315" s="71"/>
      <c r="N315" s="94"/>
      <c r="P315" s="89"/>
    </row>
    <row r="316" spans="1:16" x14ac:dyDescent="0.25">
      <c r="A316" s="70">
        <f t="shared" si="11"/>
        <v>29</v>
      </c>
      <c r="B316" s="6">
        <v>43503</v>
      </c>
      <c r="C316" s="6" t="s">
        <v>822</v>
      </c>
      <c r="D316" s="7" t="s">
        <v>817</v>
      </c>
      <c r="E316" s="8" t="s">
        <v>494</v>
      </c>
      <c r="F316" s="66">
        <v>2</v>
      </c>
      <c r="G316" s="30">
        <v>-110</v>
      </c>
      <c r="H316" s="10" t="s">
        <v>7</v>
      </c>
      <c r="I31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1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16" s="71"/>
      <c r="M316" s="71"/>
      <c r="N316" s="94"/>
      <c r="P316" s="89"/>
    </row>
    <row r="317" spans="1:16" x14ac:dyDescent="0.25">
      <c r="A317" s="70">
        <f t="shared" si="11"/>
        <v>29</v>
      </c>
      <c r="B317" s="6">
        <v>43503</v>
      </c>
      <c r="C317" s="6" t="s">
        <v>822</v>
      </c>
      <c r="D317" s="7" t="s">
        <v>818</v>
      </c>
      <c r="E317" s="8" t="s">
        <v>187</v>
      </c>
      <c r="F317" s="66">
        <v>2</v>
      </c>
      <c r="G317" s="30">
        <v>-110</v>
      </c>
      <c r="H317" s="10" t="s">
        <v>69</v>
      </c>
      <c r="I31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2</v>
      </c>
      <c r="J31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17" s="71"/>
      <c r="M317" s="71"/>
      <c r="N317" s="94"/>
      <c r="P317" s="89"/>
    </row>
    <row r="318" spans="1:16" x14ac:dyDescent="0.25">
      <c r="A318" s="70">
        <f t="shared" si="11"/>
        <v>29</v>
      </c>
      <c r="B318" s="6">
        <v>43503</v>
      </c>
      <c r="C318" s="6" t="s">
        <v>822</v>
      </c>
      <c r="D318" s="7" t="s">
        <v>818</v>
      </c>
      <c r="E318" s="8" t="s">
        <v>819</v>
      </c>
      <c r="F318" s="66">
        <v>2</v>
      </c>
      <c r="G318" s="30">
        <v>-110</v>
      </c>
      <c r="H318" s="10" t="s">
        <v>37</v>
      </c>
      <c r="I31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1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18" s="71"/>
      <c r="M318" s="71"/>
      <c r="N318" s="94"/>
      <c r="P318" s="89"/>
    </row>
    <row r="319" spans="1:16" x14ac:dyDescent="0.25">
      <c r="A319" s="70">
        <f t="shared" si="11"/>
        <v>29</v>
      </c>
      <c r="B319" s="6">
        <v>43503</v>
      </c>
      <c r="C319" s="6" t="s">
        <v>822</v>
      </c>
      <c r="D319" s="7" t="s">
        <v>820</v>
      </c>
      <c r="E319" s="8" t="s">
        <v>821</v>
      </c>
      <c r="F319" s="66">
        <v>2</v>
      </c>
      <c r="G319" s="30">
        <v>-110</v>
      </c>
      <c r="H319" s="10" t="s">
        <v>7</v>
      </c>
      <c r="I31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1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19" s="71"/>
      <c r="M319" s="71"/>
      <c r="N319" s="94"/>
      <c r="P319" s="89"/>
    </row>
    <row r="320" spans="1:16" x14ac:dyDescent="0.25">
      <c r="A320" s="70">
        <f t="shared" si="11"/>
        <v>30</v>
      </c>
      <c r="B320" s="6">
        <v>43504</v>
      </c>
      <c r="C320" s="6" t="s">
        <v>836</v>
      </c>
      <c r="D320" s="7" t="s">
        <v>824</v>
      </c>
      <c r="E320" s="8" t="s">
        <v>182</v>
      </c>
      <c r="F320" s="66">
        <v>2</v>
      </c>
      <c r="G320" s="30">
        <v>-115</v>
      </c>
      <c r="H320" s="10" t="s">
        <v>37</v>
      </c>
      <c r="I32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3.7391304347826084</v>
      </c>
      <c r="J32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20" s="71"/>
      <c r="M320" s="71"/>
      <c r="N320" s="94"/>
      <c r="P320" s="89"/>
    </row>
    <row r="321" spans="1:16" x14ac:dyDescent="0.25">
      <c r="A321" s="70">
        <f t="shared" si="11"/>
        <v>30</v>
      </c>
      <c r="B321" s="6">
        <v>43504</v>
      </c>
      <c r="C321" s="6" t="s">
        <v>836</v>
      </c>
      <c r="D321" s="7" t="s">
        <v>824</v>
      </c>
      <c r="E321" s="8" t="s">
        <v>825</v>
      </c>
      <c r="F321" s="66">
        <v>2</v>
      </c>
      <c r="G321" s="30">
        <v>-105</v>
      </c>
      <c r="H321" s="10" t="s">
        <v>37</v>
      </c>
      <c r="I32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3.9047619047619051</v>
      </c>
      <c r="J32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21" s="71"/>
      <c r="M321" s="71"/>
      <c r="N321" s="94"/>
      <c r="P321" s="89"/>
    </row>
    <row r="322" spans="1:16" x14ac:dyDescent="0.25">
      <c r="A322" s="70">
        <f t="shared" si="11"/>
        <v>30</v>
      </c>
      <c r="B322" s="6">
        <v>43504</v>
      </c>
      <c r="C322" s="6" t="s">
        <v>836</v>
      </c>
      <c r="D322" s="7" t="s">
        <v>826</v>
      </c>
      <c r="E322" s="8" t="s">
        <v>227</v>
      </c>
      <c r="F322" s="66">
        <v>2</v>
      </c>
      <c r="G322" s="30">
        <v>-105</v>
      </c>
      <c r="H322" s="10" t="s">
        <v>37</v>
      </c>
      <c r="I32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3.9047619047619051</v>
      </c>
      <c r="J32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22" s="71"/>
      <c r="M322" s="71"/>
      <c r="N322" s="94"/>
      <c r="P322" s="89"/>
    </row>
    <row r="323" spans="1:16" x14ac:dyDescent="0.25">
      <c r="A323" s="70">
        <f t="shared" si="11"/>
        <v>30</v>
      </c>
      <c r="B323" s="6">
        <v>43504</v>
      </c>
      <c r="C323" s="6" t="s">
        <v>836</v>
      </c>
      <c r="D323" s="7" t="s">
        <v>826</v>
      </c>
      <c r="E323" s="8" t="s">
        <v>827</v>
      </c>
      <c r="F323" s="66">
        <v>2</v>
      </c>
      <c r="G323" s="30">
        <v>-105</v>
      </c>
      <c r="H323" s="10" t="s">
        <v>7</v>
      </c>
      <c r="I32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2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23" s="71"/>
      <c r="M323" s="71"/>
      <c r="N323" s="94"/>
      <c r="P323" s="89"/>
    </row>
    <row r="324" spans="1:16" x14ac:dyDescent="0.25">
      <c r="A324" s="70">
        <f t="shared" si="11"/>
        <v>30</v>
      </c>
      <c r="B324" s="6">
        <v>43504</v>
      </c>
      <c r="C324" s="6" t="s">
        <v>836</v>
      </c>
      <c r="D324" s="7" t="s">
        <v>828</v>
      </c>
      <c r="E324" s="8" t="s">
        <v>693</v>
      </c>
      <c r="F324" s="66">
        <v>2</v>
      </c>
      <c r="G324" s="30">
        <v>-110</v>
      </c>
      <c r="H324" s="10" t="s">
        <v>37</v>
      </c>
      <c r="I32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2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24" s="71"/>
      <c r="M324" s="71"/>
      <c r="N324" s="94"/>
      <c r="P324" s="89"/>
    </row>
    <row r="325" spans="1:16" x14ac:dyDescent="0.25">
      <c r="A325" s="70">
        <f t="shared" si="11"/>
        <v>30</v>
      </c>
      <c r="B325" s="6">
        <v>43504</v>
      </c>
      <c r="C325" s="6" t="s">
        <v>836</v>
      </c>
      <c r="D325" s="7" t="s">
        <v>829</v>
      </c>
      <c r="E325" s="8" t="s">
        <v>273</v>
      </c>
      <c r="F325" s="66">
        <v>2</v>
      </c>
      <c r="G325" s="30">
        <v>-105</v>
      </c>
      <c r="H325" s="10" t="s">
        <v>7</v>
      </c>
      <c r="I32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2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25" s="71"/>
      <c r="M325" s="71"/>
      <c r="N325" s="94"/>
      <c r="P325" s="89"/>
    </row>
    <row r="326" spans="1:16" x14ac:dyDescent="0.25">
      <c r="A326" s="70">
        <f t="shared" ref="A326:A389" si="12">IF(B326=B325,A325,A325+1)</f>
        <v>30</v>
      </c>
      <c r="B326" s="6">
        <v>43504</v>
      </c>
      <c r="C326" s="6" t="s">
        <v>836</v>
      </c>
      <c r="D326" s="7" t="s">
        <v>830</v>
      </c>
      <c r="E326" s="8" t="s">
        <v>288</v>
      </c>
      <c r="F326" s="66">
        <v>2</v>
      </c>
      <c r="G326" s="30">
        <v>-105</v>
      </c>
      <c r="H326" s="10" t="s">
        <v>7</v>
      </c>
      <c r="I32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2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26" s="71"/>
      <c r="M326" s="71"/>
      <c r="N326" s="94"/>
      <c r="P326" s="89"/>
    </row>
    <row r="327" spans="1:16" x14ac:dyDescent="0.25">
      <c r="A327" s="70">
        <f t="shared" si="12"/>
        <v>30</v>
      </c>
      <c r="B327" s="6">
        <v>43504</v>
      </c>
      <c r="C327" s="6" t="s">
        <v>836</v>
      </c>
      <c r="D327" s="7" t="s">
        <v>830</v>
      </c>
      <c r="E327" s="8" t="s">
        <v>831</v>
      </c>
      <c r="F327" s="66">
        <v>2</v>
      </c>
      <c r="G327" s="30">
        <v>-110</v>
      </c>
      <c r="H327" s="10" t="s">
        <v>37</v>
      </c>
      <c r="I32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2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27" s="71"/>
      <c r="M327" s="71"/>
      <c r="N327" s="94"/>
      <c r="P327" s="89"/>
    </row>
    <row r="328" spans="1:16" x14ac:dyDescent="0.25">
      <c r="A328" s="70">
        <f t="shared" si="12"/>
        <v>30</v>
      </c>
      <c r="B328" s="6">
        <v>43504</v>
      </c>
      <c r="C328" s="6" t="s">
        <v>836</v>
      </c>
      <c r="D328" s="7" t="s">
        <v>832</v>
      </c>
      <c r="E328" s="8" t="s">
        <v>350</v>
      </c>
      <c r="F328" s="66">
        <v>2</v>
      </c>
      <c r="G328" s="30">
        <v>-110</v>
      </c>
      <c r="H328" s="10" t="s">
        <v>37</v>
      </c>
      <c r="I32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2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28" s="71"/>
      <c r="M328" s="71"/>
      <c r="N328" s="94"/>
      <c r="P328" s="89"/>
    </row>
    <row r="329" spans="1:16" x14ac:dyDescent="0.25">
      <c r="A329" s="70">
        <f t="shared" si="12"/>
        <v>30</v>
      </c>
      <c r="B329" s="6">
        <v>43504</v>
      </c>
      <c r="C329" s="6" t="s">
        <v>836</v>
      </c>
      <c r="D329" s="7" t="s">
        <v>832</v>
      </c>
      <c r="E329" s="8" t="s">
        <v>364</v>
      </c>
      <c r="F329" s="66">
        <v>2</v>
      </c>
      <c r="G329" s="30">
        <v>-115</v>
      </c>
      <c r="H329" s="10" t="s">
        <v>7</v>
      </c>
      <c r="I32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2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29" s="71"/>
      <c r="M329" s="71"/>
      <c r="N329" s="94"/>
      <c r="P329" s="89"/>
    </row>
    <row r="330" spans="1:16" x14ac:dyDescent="0.25">
      <c r="A330" s="70">
        <f t="shared" si="12"/>
        <v>30</v>
      </c>
      <c r="B330" s="6">
        <v>43504</v>
      </c>
      <c r="C330" s="6" t="s">
        <v>836</v>
      </c>
      <c r="D330" s="7" t="s">
        <v>833</v>
      </c>
      <c r="E330" s="8" t="s">
        <v>353</v>
      </c>
      <c r="F330" s="66">
        <v>2</v>
      </c>
      <c r="G330" s="30">
        <v>-105</v>
      </c>
      <c r="H330" s="10" t="s">
        <v>7</v>
      </c>
      <c r="I33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3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30" s="71"/>
      <c r="M330" s="71"/>
      <c r="N330" s="94"/>
      <c r="P330" s="89"/>
    </row>
    <row r="331" spans="1:16" x14ac:dyDescent="0.25">
      <c r="A331" s="70">
        <f t="shared" si="12"/>
        <v>30</v>
      </c>
      <c r="B331" s="6">
        <v>43504</v>
      </c>
      <c r="C331" s="6" t="s">
        <v>836</v>
      </c>
      <c r="D331" s="7" t="s">
        <v>834</v>
      </c>
      <c r="E331" s="8" t="s">
        <v>835</v>
      </c>
      <c r="F331" s="66">
        <v>2</v>
      </c>
      <c r="G331" s="30">
        <v>-110</v>
      </c>
      <c r="H331" s="10" t="s">
        <v>37</v>
      </c>
      <c r="I33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3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31" s="71"/>
      <c r="M331" s="71"/>
      <c r="N331" s="94"/>
      <c r="P331" s="89"/>
    </row>
    <row r="332" spans="1:16" x14ac:dyDescent="0.25">
      <c r="A332" s="70">
        <f t="shared" si="12"/>
        <v>31</v>
      </c>
      <c r="B332" s="6">
        <v>43507</v>
      </c>
      <c r="C332" s="6" t="s">
        <v>836</v>
      </c>
      <c r="D332" s="7" t="s">
        <v>873</v>
      </c>
      <c r="E332" s="8" t="s">
        <v>874</v>
      </c>
      <c r="F332" s="66">
        <v>5</v>
      </c>
      <c r="G332" s="30">
        <v>-110</v>
      </c>
      <c r="H332" s="10" t="s">
        <v>37</v>
      </c>
      <c r="I33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33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32" s="71"/>
      <c r="M332" s="71"/>
      <c r="N332" s="94"/>
      <c r="P332" s="89"/>
    </row>
    <row r="333" spans="1:16" x14ac:dyDescent="0.25">
      <c r="A333" s="70">
        <f t="shared" si="12"/>
        <v>31</v>
      </c>
      <c r="B333" s="6">
        <v>43507</v>
      </c>
      <c r="C333" s="6" t="s">
        <v>836</v>
      </c>
      <c r="D333" s="7" t="s">
        <v>875</v>
      </c>
      <c r="E333" s="8" t="s">
        <v>147</v>
      </c>
      <c r="F333" s="66">
        <v>5</v>
      </c>
      <c r="G333" s="30">
        <v>-110</v>
      </c>
      <c r="H333" s="10" t="s">
        <v>37</v>
      </c>
      <c r="I33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33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33" s="71"/>
      <c r="M333" s="71"/>
      <c r="N333" s="94"/>
      <c r="P333" s="89"/>
    </row>
    <row r="334" spans="1:16" x14ac:dyDescent="0.25">
      <c r="A334" s="70">
        <f t="shared" si="12"/>
        <v>31</v>
      </c>
      <c r="B334" s="6">
        <v>43507</v>
      </c>
      <c r="C334" s="6" t="s">
        <v>836</v>
      </c>
      <c r="D334" s="7" t="s">
        <v>876</v>
      </c>
      <c r="E334" s="8" t="s">
        <v>116</v>
      </c>
      <c r="F334" s="66">
        <v>5</v>
      </c>
      <c r="G334" s="30">
        <v>-115</v>
      </c>
      <c r="H334" s="10" t="s">
        <v>7</v>
      </c>
      <c r="I33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3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34" s="71"/>
      <c r="M334" s="71"/>
      <c r="N334" s="94"/>
      <c r="P334" s="89"/>
    </row>
    <row r="335" spans="1:16" x14ac:dyDescent="0.25">
      <c r="A335" s="70">
        <f t="shared" si="12"/>
        <v>31</v>
      </c>
      <c r="B335" s="6">
        <v>43507</v>
      </c>
      <c r="C335" s="6" t="s">
        <v>836</v>
      </c>
      <c r="D335" s="7" t="s">
        <v>354</v>
      </c>
      <c r="E335" s="8" t="s">
        <v>233</v>
      </c>
      <c r="F335" s="66">
        <v>5</v>
      </c>
      <c r="G335" s="30">
        <v>-115</v>
      </c>
      <c r="H335" s="10" t="s">
        <v>7</v>
      </c>
      <c r="I33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3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35" s="71"/>
      <c r="M335" s="71"/>
      <c r="N335" s="94"/>
      <c r="P335" s="89"/>
    </row>
    <row r="336" spans="1:16" x14ac:dyDescent="0.25">
      <c r="A336" s="70">
        <f t="shared" si="12"/>
        <v>31</v>
      </c>
      <c r="B336" s="6">
        <v>43507</v>
      </c>
      <c r="C336" s="6" t="s">
        <v>836</v>
      </c>
      <c r="D336" s="7" t="s">
        <v>877</v>
      </c>
      <c r="E336" s="8" t="s">
        <v>878</v>
      </c>
      <c r="F336" s="66">
        <v>5</v>
      </c>
      <c r="G336" s="30">
        <v>-115</v>
      </c>
      <c r="H336" s="10" t="s">
        <v>37</v>
      </c>
      <c r="I33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33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36" s="71"/>
      <c r="M336" s="71"/>
      <c r="N336" s="94"/>
      <c r="P336" s="89"/>
    </row>
    <row r="337" spans="1:16" x14ac:dyDescent="0.25">
      <c r="A337" s="70">
        <f t="shared" si="12"/>
        <v>31</v>
      </c>
      <c r="B337" s="6">
        <v>43507</v>
      </c>
      <c r="C337" s="6" t="s">
        <v>836</v>
      </c>
      <c r="D337" s="7" t="s">
        <v>877</v>
      </c>
      <c r="E337" s="8" t="s">
        <v>879</v>
      </c>
      <c r="F337" s="66">
        <v>5</v>
      </c>
      <c r="G337" s="30">
        <v>-105</v>
      </c>
      <c r="H337" s="10" t="s">
        <v>37</v>
      </c>
      <c r="I33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33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37" s="71"/>
      <c r="M337" s="71"/>
      <c r="N337" s="94"/>
      <c r="P337" s="89"/>
    </row>
    <row r="338" spans="1:16" ht="60" x14ac:dyDescent="0.25">
      <c r="A338" s="70">
        <f t="shared" si="12"/>
        <v>31</v>
      </c>
      <c r="B338" s="6">
        <v>43507</v>
      </c>
      <c r="C338" s="6" t="s">
        <v>277</v>
      </c>
      <c r="D338" s="113" t="s">
        <v>880</v>
      </c>
      <c r="E338" s="114" t="s">
        <v>881</v>
      </c>
      <c r="F338" s="66">
        <v>5</v>
      </c>
      <c r="G338" s="30">
        <v>502</v>
      </c>
      <c r="H338" s="10" t="s">
        <v>7</v>
      </c>
      <c r="I33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3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P</v>
      </c>
      <c r="K338" s="71"/>
      <c r="M338" s="71"/>
      <c r="N338" s="94"/>
      <c r="P338" s="89"/>
    </row>
    <row r="339" spans="1:16" x14ac:dyDescent="0.25">
      <c r="A339" s="70">
        <f t="shared" si="12"/>
        <v>32</v>
      </c>
      <c r="B339" s="6">
        <v>43509</v>
      </c>
      <c r="C339" s="6" t="s">
        <v>836</v>
      </c>
      <c r="D339" s="7" t="s">
        <v>896</v>
      </c>
      <c r="E339" s="8" t="s">
        <v>283</v>
      </c>
      <c r="F339" s="66">
        <v>5</v>
      </c>
      <c r="G339" s="30">
        <v>-110</v>
      </c>
      <c r="H339" s="10" t="s">
        <v>7</v>
      </c>
      <c r="I33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3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39" s="71"/>
      <c r="M339" s="71"/>
      <c r="N339" s="94"/>
      <c r="P339" s="89"/>
    </row>
    <row r="340" spans="1:16" x14ac:dyDescent="0.25">
      <c r="A340" s="70">
        <f t="shared" si="12"/>
        <v>32</v>
      </c>
      <c r="B340" s="6">
        <v>43509</v>
      </c>
      <c r="C340" s="6" t="s">
        <v>836</v>
      </c>
      <c r="D340" s="7" t="s">
        <v>896</v>
      </c>
      <c r="E340" s="8" t="s">
        <v>897</v>
      </c>
      <c r="F340" s="66">
        <v>0</v>
      </c>
      <c r="G340" s="30">
        <v>-110</v>
      </c>
      <c r="H340" s="10" t="s">
        <v>7</v>
      </c>
      <c r="I34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4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40" s="71"/>
      <c r="M340" s="71"/>
      <c r="N340" s="94"/>
      <c r="P340" s="89"/>
    </row>
    <row r="341" spans="1:16" x14ac:dyDescent="0.25">
      <c r="A341" s="70">
        <f t="shared" si="12"/>
        <v>32</v>
      </c>
      <c r="B341" s="6">
        <v>43509</v>
      </c>
      <c r="C341" s="6" t="s">
        <v>836</v>
      </c>
      <c r="D341" s="7" t="s">
        <v>898</v>
      </c>
      <c r="E341" s="8" t="s">
        <v>182</v>
      </c>
      <c r="F341" s="66">
        <v>5</v>
      </c>
      <c r="G341" s="30">
        <v>-115</v>
      </c>
      <c r="H341" s="10" t="s">
        <v>7</v>
      </c>
      <c r="I34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4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41" s="71"/>
      <c r="M341" s="71"/>
      <c r="N341" s="94"/>
      <c r="P341" s="89"/>
    </row>
    <row r="342" spans="1:16" x14ac:dyDescent="0.25">
      <c r="A342" s="70">
        <f t="shared" si="12"/>
        <v>32</v>
      </c>
      <c r="B342" s="6">
        <v>43509</v>
      </c>
      <c r="C342" s="6" t="s">
        <v>836</v>
      </c>
      <c r="D342" s="7" t="s">
        <v>898</v>
      </c>
      <c r="E342" s="8" t="s">
        <v>899</v>
      </c>
      <c r="F342" s="66">
        <v>5</v>
      </c>
      <c r="G342" s="30">
        <v>-115</v>
      </c>
      <c r="H342" s="10" t="s">
        <v>37</v>
      </c>
      <c r="I34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34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42" s="71"/>
      <c r="M342" s="71"/>
      <c r="N342" s="94"/>
      <c r="P342" s="89"/>
    </row>
    <row r="343" spans="1:16" x14ac:dyDescent="0.25">
      <c r="A343" s="70">
        <f t="shared" si="12"/>
        <v>32</v>
      </c>
      <c r="B343" s="6">
        <v>43509</v>
      </c>
      <c r="C343" s="6" t="s">
        <v>836</v>
      </c>
      <c r="D343" s="7" t="s">
        <v>900</v>
      </c>
      <c r="E343" s="8" t="s">
        <v>123</v>
      </c>
      <c r="F343" s="66">
        <v>5</v>
      </c>
      <c r="G343" s="30">
        <v>-105</v>
      </c>
      <c r="H343" s="10" t="s">
        <v>37</v>
      </c>
      <c r="I34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34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43" s="71"/>
      <c r="M343" s="71"/>
      <c r="N343" s="94"/>
      <c r="P343" s="89"/>
    </row>
    <row r="344" spans="1:16" x14ac:dyDescent="0.25">
      <c r="A344" s="70">
        <f t="shared" si="12"/>
        <v>32</v>
      </c>
      <c r="B344" s="6">
        <v>43509</v>
      </c>
      <c r="C344" s="6" t="s">
        <v>836</v>
      </c>
      <c r="D344" s="7" t="s">
        <v>900</v>
      </c>
      <c r="E344" s="8" t="s">
        <v>901</v>
      </c>
      <c r="F344" s="66">
        <v>5</v>
      </c>
      <c r="G344" s="30">
        <v>-110</v>
      </c>
      <c r="H344" s="10" t="s">
        <v>37</v>
      </c>
      <c r="I34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34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44" s="71"/>
      <c r="M344" s="71"/>
      <c r="N344" s="94"/>
      <c r="P344" s="89"/>
    </row>
    <row r="345" spans="1:16" x14ac:dyDescent="0.25">
      <c r="A345" s="70">
        <f t="shared" si="12"/>
        <v>32</v>
      </c>
      <c r="B345" s="6">
        <v>43509</v>
      </c>
      <c r="C345" s="6" t="s">
        <v>836</v>
      </c>
      <c r="D345" s="7" t="s">
        <v>902</v>
      </c>
      <c r="E345" s="8" t="s">
        <v>116</v>
      </c>
      <c r="F345" s="66">
        <v>5</v>
      </c>
      <c r="G345" s="30">
        <v>-115</v>
      </c>
      <c r="H345" s="10" t="s">
        <v>7</v>
      </c>
      <c r="I34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4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45" s="71"/>
      <c r="M345" s="71"/>
      <c r="N345" s="94"/>
      <c r="P345" s="89"/>
    </row>
    <row r="346" spans="1:16" x14ac:dyDescent="0.25">
      <c r="A346" s="70">
        <f t="shared" si="12"/>
        <v>32</v>
      </c>
      <c r="B346" s="6">
        <v>43509</v>
      </c>
      <c r="C346" s="6" t="s">
        <v>836</v>
      </c>
      <c r="D346" s="7" t="s">
        <v>903</v>
      </c>
      <c r="E346" s="8" t="s">
        <v>553</v>
      </c>
      <c r="F346" s="66">
        <v>5</v>
      </c>
      <c r="G346" s="30">
        <v>-115</v>
      </c>
      <c r="H346" s="10" t="s">
        <v>7</v>
      </c>
      <c r="I34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4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46" s="71"/>
      <c r="M346" s="71"/>
      <c r="N346" s="94"/>
      <c r="P346" s="89"/>
    </row>
    <row r="347" spans="1:16" x14ac:dyDescent="0.25">
      <c r="A347" s="70">
        <f t="shared" si="12"/>
        <v>32</v>
      </c>
      <c r="B347" s="6">
        <v>43509</v>
      </c>
      <c r="C347" s="6" t="s">
        <v>836</v>
      </c>
      <c r="D347" s="7" t="s">
        <v>903</v>
      </c>
      <c r="E347" s="8" t="s">
        <v>904</v>
      </c>
      <c r="F347" s="66">
        <v>5</v>
      </c>
      <c r="G347" s="30">
        <v>-110</v>
      </c>
      <c r="H347" s="10" t="s">
        <v>7</v>
      </c>
      <c r="I34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4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47" s="71"/>
      <c r="M347" s="71"/>
      <c r="N347" s="94"/>
      <c r="P347" s="89"/>
    </row>
    <row r="348" spans="1:16" x14ac:dyDescent="0.25">
      <c r="A348" s="70">
        <f t="shared" si="12"/>
        <v>32</v>
      </c>
      <c r="B348" s="6">
        <v>43509</v>
      </c>
      <c r="C348" s="6" t="s">
        <v>836</v>
      </c>
      <c r="D348" s="7" t="s">
        <v>905</v>
      </c>
      <c r="E348" s="8" t="s">
        <v>906</v>
      </c>
      <c r="F348" s="66">
        <v>5</v>
      </c>
      <c r="G348" s="30">
        <v>-110</v>
      </c>
      <c r="H348" s="10" t="s">
        <v>7</v>
      </c>
      <c r="I34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4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48" s="71"/>
      <c r="M348" s="71"/>
      <c r="N348" s="94"/>
      <c r="P348" s="89"/>
    </row>
    <row r="349" spans="1:16" x14ac:dyDescent="0.25">
      <c r="A349" s="70">
        <f t="shared" si="12"/>
        <v>32</v>
      </c>
      <c r="B349" s="6">
        <v>43509</v>
      </c>
      <c r="C349" s="6" t="s">
        <v>836</v>
      </c>
      <c r="D349" s="7" t="s">
        <v>905</v>
      </c>
      <c r="E349" s="8" t="s">
        <v>907</v>
      </c>
      <c r="F349" s="66">
        <v>5</v>
      </c>
      <c r="G349" s="30">
        <v>120</v>
      </c>
      <c r="H349" s="10" t="s">
        <v>7</v>
      </c>
      <c r="I34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4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MD</v>
      </c>
      <c r="K349" s="71"/>
      <c r="M349" s="71"/>
      <c r="N349" s="94"/>
      <c r="P349" s="89"/>
    </row>
    <row r="350" spans="1:16" x14ac:dyDescent="0.25">
      <c r="A350" s="70">
        <f t="shared" si="12"/>
        <v>32</v>
      </c>
      <c r="B350" s="6">
        <v>43509</v>
      </c>
      <c r="C350" s="6" t="s">
        <v>836</v>
      </c>
      <c r="D350" s="7" t="s">
        <v>908</v>
      </c>
      <c r="E350" s="8" t="s">
        <v>353</v>
      </c>
      <c r="F350" s="66">
        <v>5</v>
      </c>
      <c r="G350" s="30">
        <v>-115</v>
      </c>
      <c r="H350" s="10" t="s">
        <v>7</v>
      </c>
      <c r="I35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5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50" s="71"/>
      <c r="M350" s="71"/>
      <c r="N350" s="94"/>
      <c r="P350" s="89"/>
    </row>
    <row r="351" spans="1:16" x14ac:dyDescent="0.25">
      <c r="A351" s="70">
        <f t="shared" si="12"/>
        <v>32</v>
      </c>
      <c r="B351" s="6">
        <v>43509</v>
      </c>
      <c r="C351" s="6" t="s">
        <v>836</v>
      </c>
      <c r="D351" s="7" t="s">
        <v>908</v>
      </c>
      <c r="E351" s="8" t="s">
        <v>909</v>
      </c>
      <c r="F351" s="66">
        <v>5</v>
      </c>
      <c r="G351" s="30">
        <v>-110</v>
      </c>
      <c r="H351" s="10" t="s">
        <v>7</v>
      </c>
      <c r="I35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5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51" s="71"/>
      <c r="M351" s="71"/>
      <c r="N351" s="94"/>
      <c r="P351" s="89"/>
    </row>
    <row r="352" spans="1:16" x14ac:dyDescent="0.25">
      <c r="A352" s="70">
        <f t="shared" si="12"/>
        <v>32</v>
      </c>
      <c r="B352" s="6">
        <v>43509</v>
      </c>
      <c r="C352" s="6" t="s">
        <v>836</v>
      </c>
      <c r="D352" s="7" t="s">
        <v>910</v>
      </c>
      <c r="E352" s="8" t="s">
        <v>134</v>
      </c>
      <c r="F352" s="66">
        <v>5</v>
      </c>
      <c r="G352" s="30">
        <v>-110</v>
      </c>
      <c r="H352" s="10" t="s">
        <v>37</v>
      </c>
      <c r="I35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35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52" s="71"/>
      <c r="M352" s="71"/>
      <c r="N352" s="94"/>
      <c r="P352" s="89"/>
    </row>
    <row r="353" spans="1:16" x14ac:dyDescent="0.25">
      <c r="A353" s="70">
        <f t="shared" si="12"/>
        <v>32</v>
      </c>
      <c r="B353" s="6">
        <v>43509</v>
      </c>
      <c r="C353" s="6" t="s">
        <v>836</v>
      </c>
      <c r="D353" s="7" t="s">
        <v>910</v>
      </c>
      <c r="E353" s="8" t="s">
        <v>911</v>
      </c>
      <c r="F353" s="66">
        <v>5</v>
      </c>
      <c r="G353" s="30">
        <v>-105</v>
      </c>
      <c r="H353" s="10" t="s">
        <v>7</v>
      </c>
      <c r="I35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5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53" s="71"/>
      <c r="M353" s="71"/>
      <c r="N353" s="94"/>
      <c r="P353" s="89"/>
    </row>
    <row r="354" spans="1:16" x14ac:dyDescent="0.25">
      <c r="A354" s="70">
        <f t="shared" si="12"/>
        <v>32</v>
      </c>
      <c r="B354" s="6">
        <v>43509</v>
      </c>
      <c r="C354" s="6" t="s">
        <v>836</v>
      </c>
      <c r="D354" s="7" t="s">
        <v>912</v>
      </c>
      <c r="E354" s="8" t="s">
        <v>353</v>
      </c>
      <c r="F354" s="66">
        <v>5</v>
      </c>
      <c r="G354" s="30">
        <v>-115</v>
      </c>
      <c r="H354" s="10" t="s">
        <v>7</v>
      </c>
      <c r="I35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5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54" s="71"/>
      <c r="M354" s="71"/>
      <c r="N354" s="94"/>
      <c r="P354" s="89"/>
    </row>
    <row r="355" spans="1:16" x14ac:dyDescent="0.25">
      <c r="A355" s="70">
        <f t="shared" si="12"/>
        <v>32</v>
      </c>
      <c r="B355" s="6">
        <v>43509</v>
      </c>
      <c r="C355" s="6" t="s">
        <v>836</v>
      </c>
      <c r="D355" s="7" t="s">
        <v>912</v>
      </c>
      <c r="E355" s="8" t="s">
        <v>661</v>
      </c>
      <c r="F355" s="66">
        <v>0</v>
      </c>
      <c r="G355" s="30">
        <v>-110</v>
      </c>
      <c r="H355" s="10" t="s">
        <v>7</v>
      </c>
      <c r="I35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5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55" s="71"/>
      <c r="M355" s="71"/>
      <c r="N355" s="94"/>
      <c r="P355" s="89"/>
    </row>
    <row r="356" spans="1:16" x14ac:dyDescent="0.25">
      <c r="A356" s="70">
        <f t="shared" si="12"/>
        <v>32</v>
      </c>
      <c r="B356" s="6">
        <v>43509</v>
      </c>
      <c r="C356" s="6" t="s">
        <v>836</v>
      </c>
      <c r="D356" s="7" t="s">
        <v>913</v>
      </c>
      <c r="E356" s="8" t="s">
        <v>914</v>
      </c>
      <c r="F356" s="66">
        <v>0</v>
      </c>
      <c r="G356" s="30">
        <v>-110</v>
      </c>
      <c r="H356" s="10" t="s">
        <v>37</v>
      </c>
      <c r="I35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5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56" s="71"/>
      <c r="M356" s="71"/>
      <c r="N356" s="94"/>
      <c r="P356" s="89"/>
    </row>
    <row r="357" spans="1:16" x14ac:dyDescent="0.25">
      <c r="A357" s="70">
        <f t="shared" si="12"/>
        <v>32</v>
      </c>
      <c r="B357" s="6">
        <v>43509</v>
      </c>
      <c r="C357" s="6" t="s">
        <v>836</v>
      </c>
      <c r="D357" s="7" t="s">
        <v>915</v>
      </c>
      <c r="E357" s="8" t="s">
        <v>190</v>
      </c>
      <c r="F357" s="66">
        <v>5</v>
      </c>
      <c r="G357" s="30">
        <v>-110</v>
      </c>
      <c r="H357" s="10" t="s">
        <v>7</v>
      </c>
      <c r="I35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5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57" s="71"/>
      <c r="M357" s="71"/>
      <c r="N357" s="94"/>
      <c r="P357" s="89"/>
    </row>
    <row r="358" spans="1:16" x14ac:dyDescent="0.25">
      <c r="A358" s="70">
        <f t="shared" si="12"/>
        <v>32</v>
      </c>
      <c r="B358" s="6">
        <v>43509</v>
      </c>
      <c r="C358" s="6" t="s">
        <v>836</v>
      </c>
      <c r="D358" s="7" t="s">
        <v>915</v>
      </c>
      <c r="E358" s="8" t="s">
        <v>916</v>
      </c>
      <c r="F358" s="66">
        <v>0</v>
      </c>
      <c r="G358" s="30">
        <v>-110</v>
      </c>
      <c r="H358" s="10" t="s">
        <v>37</v>
      </c>
      <c r="I35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5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58" s="71"/>
      <c r="M358" s="71"/>
      <c r="N358" s="94"/>
      <c r="P358" s="89"/>
    </row>
    <row r="359" spans="1:16" ht="75" x14ac:dyDescent="0.25">
      <c r="A359" s="70">
        <f t="shared" si="12"/>
        <v>32</v>
      </c>
      <c r="B359" s="6">
        <v>43509</v>
      </c>
      <c r="C359" s="6" t="s">
        <v>836</v>
      </c>
      <c r="D359" s="113" t="s">
        <v>917</v>
      </c>
      <c r="E359" s="114" t="s">
        <v>918</v>
      </c>
      <c r="F359" s="66">
        <v>4.28</v>
      </c>
      <c r="G359" s="30">
        <v>852</v>
      </c>
      <c r="H359" s="10" t="s">
        <v>7</v>
      </c>
      <c r="I35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5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P</v>
      </c>
      <c r="K359" s="71"/>
      <c r="M359" s="71"/>
      <c r="N359" s="94"/>
      <c r="P359" s="89"/>
    </row>
    <row r="360" spans="1:16" x14ac:dyDescent="0.25">
      <c r="A360" s="70">
        <f t="shared" si="12"/>
        <v>33</v>
      </c>
      <c r="B360" s="6">
        <v>43517</v>
      </c>
      <c r="C360" s="6" t="s">
        <v>1008</v>
      </c>
      <c r="D360" s="7" t="s">
        <v>1011</v>
      </c>
      <c r="E360" s="8" t="s">
        <v>1017</v>
      </c>
      <c r="F360" s="66">
        <v>2</v>
      </c>
      <c r="G360" s="30">
        <v>-110</v>
      </c>
      <c r="H360" s="10" t="s">
        <v>37</v>
      </c>
      <c r="I36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6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60" s="71"/>
      <c r="M360" s="71"/>
      <c r="N360" s="94"/>
      <c r="P360" s="89"/>
    </row>
    <row r="361" spans="1:16" x14ac:dyDescent="0.25">
      <c r="A361" s="70">
        <f t="shared" si="12"/>
        <v>33</v>
      </c>
      <c r="B361" s="6">
        <v>43517</v>
      </c>
      <c r="C361" s="6" t="s">
        <v>1008</v>
      </c>
      <c r="D361" s="7" t="s">
        <v>1012</v>
      </c>
      <c r="E361" s="8" t="s">
        <v>227</v>
      </c>
      <c r="F361" s="66">
        <v>2</v>
      </c>
      <c r="G361" s="30">
        <v>-115</v>
      </c>
      <c r="H361" s="10" t="s">
        <v>37</v>
      </c>
      <c r="I36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3.7391304347826084</v>
      </c>
      <c r="J36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61" s="71"/>
      <c r="M361" s="71"/>
      <c r="N361" s="94"/>
      <c r="P361" s="89"/>
    </row>
    <row r="362" spans="1:16" x14ac:dyDescent="0.25">
      <c r="A362" s="70">
        <f t="shared" si="12"/>
        <v>33</v>
      </c>
      <c r="B362" s="6">
        <v>43517</v>
      </c>
      <c r="C362" s="6" t="s">
        <v>1008</v>
      </c>
      <c r="D362" s="7" t="s">
        <v>1013</v>
      </c>
      <c r="E362" s="8" t="s">
        <v>553</v>
      </c>
      <c r="F362" s="66">
        <v>2</v>
      </c>
      <c r="G362" s="30">
        <v>-115</v>
      </c>
      <c r="H362" s="10" t="s">
        <v>37</v>
      </c>
      <c r="I36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3.7391304347826084</v>
      </c>
      <c r="J36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62" s="71"/>
      <c r="M362" s="71"/>
      <c r="N362" s="94"/>
      <c r="P362" s="89"/>
    </row>
    <row r="363" spans="1:16" x14ac:dyDescent="0.25">
      <c r="A363" s="70">
        <f t="shared" si="12"/>
        <v>33</v>
      </c>
      <c r="B363" s="6">
        <v>43517</v>
      </c>
      <c r="C363" s="6" t="s">
        <v>1008</v>
      </c>
      <c r="D363" s="7" t="s">
        <v>1013</v>
      </c>
      <c r="E363" s="8" t="s">
        <v>1014</v>
      </c>
      <c r="F363" s="66">
        <v>2</v>
      </c>
      <c r="G363" s="30">
        <v>-110</v>
      </c>
      <c r="H363" s="10" t="s">
        <v>37</v>
      </c>
      <c r="I36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6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63" s="71"/>
      <c r="M363" s="71"/>
      <c r="N363" s="94"/>
      <c r="P363" s="89"/>
    </row>
    <row r="364" spans="1:16" x14ac:dyDescent="0.25">
      <c r="A364" s="70">
        <f t="shared" si="12"/>
        <v>33</v>
      </c>
      <c r="B364" s="6">
        <v>43517</v>
      </c>
      <c r="C364" s="6" t="s">
        <v>1008</v>
      </c>
      <c r="D364" s="7" t="s">
        <v>1015</v>
      </c>
      <c r="E364" s="8" t="s">
        <v>1020</v>
      </c>
      <c r="F364" s="66">
        <v>2</v>
      </c>
      <c r="G364" s="30">
        <v>-110</v>
      </c>
      <c r="H364" s="10" t="s">
        <v>37</v>
      </c>
      <c r="I36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6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64" s="71"/>
      <c r="M364" s="71"/>
      <c r="N364" s="94"/>
      <c r="P364" s="89"/>
    </row>
    <row r="365" spans="1:16" x14ac:dyDescent="0.25">
      <c r="A365" s="70">
        <f t="shared" si="12"/>
        <v>33</v>
      </c>
      <c r="B365" s="6">
        <v>43517</v>
      </c>
      <c r="C365" s="6" t="s">
        <v>1008</v>
      </c>
      <c r="D365" s="7" t="s">
        <v>1015</v>
      </c>
      <c r="E365" s="8" t="s">
        <v>1016</v>
      </c>
      <c r="F365" s="66">
        <v>2</v>
      </c>
      <c r="G365" s="30">
        <v>-110</v>
      </c>
      <c r="H365" s="10" t="s">
        <v>37</v>
      </c>
      <c r="I36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6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65" s="71"/>
      <c r="M365" s="71"/>
      <c r="N365" s="94"/>
      <c r="P365" s="89"/>
    </row>
    <row r="366" spans="1:16" x14ac:dyDescent="0.25">
      <c r="A366" s="70">
        <f t="shared" si="12"/>
        <v>33</v>
      </c>
      <c r="B366" s="6">
        <v>43517</v>
      </c>
      <c r="C366" s="6" t="s">
        <v>1008</v>
      </c>
      <c r="D366" s="7" t="s">
        <v>1018</v>
      </c>
      <c r="E366" s="8" t="s">
        <v>353</v>
      </c>
      <c r="F366" s="66">
        <v>2</v>
      </c>
      <c r="G366" s="30">
        <v>-110</v>
      </c>
      <c r="H366" s="10" t="s">
        <v>37</v>
      </c>
      <c r="I36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6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66" s="71"/>
      <c r="M366" s="71"/>
      <c r="N366" s="94"/>
      <c r="P366" s="89"/>
    </row>
    <row r="367" spans="1:16" x14ac:dyDescent="0.25">
      <c r="A367" s="70">
        <f t="shared" si="12"/>
        <v>34</v>
      </c>
      <c r="B367" s="6">
        <v>43518</v>
      </c>
      <c r="C367" s="6" t="s">
        <v>1008</v>
      </c>
      <c r="D367" s="7" t="s">
        <v>1033</v>
      </c>
      <c r="E367" s="8" t="s">
        <v>1034</v>
      </c>
      <c r="F367" s="66">
        <v>2</v>
      </c>
      <c r="G367" s="30">
        <v>-110</v>
      </c>
      <c r="H367" s="10" t="s">
        <v>37</v>
      </c>
      <c r="I36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67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67" s="71"/>
      <c r="M367" s="71"/>
      <c r="N367" s="94"/>
      <c r="P367" s="89"/>
    </row>
    <row r="368" spans="1:16" x14ac:dyDescent="0.25">
      <c r="A368" s="70">
        <f t="shared" si="12"/>
        <v>34</v>
      </c>
      <c r="B368" s="6">
        <v>43518</v>
      </c>
      <c r="C368" s="6" t="s">
        <v>1008</v>
      </c>
      <c r="D368" s="7" t="s">
        <v>1035</v>
      </c>
      <c r="E368" s="8" t="s">
        <v>1036</v>
      </c>
      <c r="F368" s="66">
        <v>2</v>
      </c>
      <c r="G368" s="30">
        <v>-110</v>
      </c>
      <c r="H368" s="10" t="s">
        <v>37</v>
      </c>
      <c r="I36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68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68" s="71"/>
      <c r="M368" s="71"/>
      <c r="N368" s="94"/>
      <c r="P368" s="89"/>
    </row>
    <row r="369" spans="1:16" x14ac:dyDescent="0.25">
      <c r="A369" s="70">
        <f t="shared" si="12"/>
        <v>34</v>
      </c>
      <c r="B369" s="6">
        <v>43518</v>
      </c>
      <c r="C369" s="6" t="s">
        <v>1008</v>
      </c>
      <c r="D369" s="7" t="s">
        <v>1037</v>
      </c>
      <c r="E369" s="8" t="s">
        <v>233</v>
      </c>
      <c r="F369" s="66">
        <v>2</v>
      </c>
      <c r="G369" s="30">
        <v>-115</v>
      </c>
      <c r="H369" s="10" t="s">
        <v>7</v>
      </c>
      <c r="I36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69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69" s="71"/>
      <c r="M369" s="71"/>
      <c r="N369" s="94"/>
      <c r="P369" s="89"/>
    </row>
    <row r="370" spans="1:16" x14ac:dyDescent="0.25">
      <c r="A370" s="70">
        <f t="shared" si="12"/>
        <v>34</v>
      </c>
      <c r="B370" s="6">
        <v>43518</v>
      </c>
      <c r="C370" s="6" t="s">
        <v>1008</v>
      </c>
      <c r="D370" s="7" t="s">
        <v>1038</v>
      </c>
      <c r="E370" s="8" t="s">
        <v>350</v>
      </c>
      <c r="F370" s="66">
        <v>2</v>
      </c>
      <c r="G370" s="30">
        <v>-110</v>
      </c>
      <c r="H370" s="10" t="s">
        <v>7</v>
      </c>
      <c r="I37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70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70" s="71"/>
      <c r="M370" s="71"/>
      <c r="N370" s="94"/>
      <c r="P370" s="89"/>
    </row>
    <row r="371" spans="1:16" x14ac:dyDescent="0.25">
      <c r="A371" s="70">
        <f t="shared" si="12"/>
        <v>34</v>
      </c>
      <c r="B371" s="6">
        <v>43518</v>
      </c>
      <c r="C371" s="6" t="s">
        <v>1008</v>
      </c>
      <c r="D371" s="7" t="s">
        <v>1038</v>
      </c>
      <c r="E371" s="8" t="s">
        <v>1039</v>
      </c>
      <c r="F371" s="66">
        <v>2</v>
      </c>
      <c r="G371" s="30">
        <v>-110</v>
      </c>
      <c r="H371" s="10" t="s">
        <v>37</v>
      </c>
      <c r="I37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71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71" s="71"/>
      <c r="M371" s="71"/>
      <c r="N371" s="94"/>
      <c r="P371" s="89"/>
    </row>
    <row r="372" spans="1:16" x14ac:dyDescent="0.25">
      <c r="A372" s="70">
        <f t="shared" si="12"/>
        <v>34</v>
      </c>
      <c r="B372" s="6">
        <v>43518</v>
      </c>
      <c r="C372" s="6" t="s">
        <v>1008</v>
      </c>
      <c r="D372" s="7" t="s">
        <v>1040</v>
      </c>
      <c r="E372" s="8" t="s">
        <v>879</v>
      </c>
      <c r="F372" s="66">
        <v>2</v>
      </c>
      <c r="G372" s="30">
        <v>-105</v>
      </c>
      <c r="H372" s="10" t="s">
        <v>7</v>
      </c>
      <c r="I37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72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372" s="71"/>
      <c r="M372" s="71"/>
      <c r="N372" s="94"/>
      <c r="P372" s="89"/>
    </row>
    <row r="373" spans="1:16" x14ac:dyDescent="0.25">
      <c r="A373" s="70">
        <f t="shared" si="12"/>
        <v>34</v>
      </c>
      <c r="B373" s="6">
        <v>43518</v>
      </c>
      <c r="C373" s="6" t="s">
        <v>1008</v>
      </c>
      <c r="D373" s="7" t="s">
        <v>1041</v>
      </c>
      <c r="E373" s="8" t="s">
        <v>906</v>
      </c>
      <c r="F373" s="66">
        <v>2</v>
      </c>
      <c r="G373" s="30">
        <v>-105</v>
      </c>
      <c r="H373" s="10" t="s">
        <v>7</v>
      </c>
      <c r="I37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73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73" s="71"/>
      <c r="M373" s="71"/>
      <c r="N373" s="94"/>
      <c r="P373" s="89"/>
    </row>
    <row r="374" spans="1:16" x14ac:dyDescent="0.25">
      <c r="A374" s="70">
        <f t="shared" si="12"/>
        <v>34</v>
      </c>
      <c r="B374" s="6">
        <v>43518</v>
      </c>
      <c r="C374" s="6" t="s">
        <v>1008</v>
      </c>
      <c r="D374" s="7" t="s">
        <v>1042</v>
      </c>
      <c r="E374" s="8" t="s">
        <v>441</v>
      </c>
      <c r="F374" s="66">
        <v>2</v>
      </c>
      <c r="G374" s="30">
        <v>-105</v>
      </c>
      <c r="H374" s="10" t="s">
        <v>7</v>
      </c>
      <c r="I37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74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74" s="71"/>
      <c r="M374" s="71"/>
      <c r="N374" s="94"/>
      <c r="P374" s="89"/>
    </row>
    <row r="375" spans="1:16" x14ac:dyDescent="0.25">
      <c r="A375" s="70">
        <f t="shared" si="12"/>
        <v>34</v>
      </c>
      <c r="B375" s="6">
        <v>43518</v>
      </c>
      <c r="C375" s="6" t="s">
        <v>1008</v>
      </c>
      <c r="D375" s="7" t="s">
        <v>1042</v>
      </c>
      <c r="E375" s="8" t="s">
        <v>1043</v>
      </c>
      <c r="F375" s="66">
        <v>2</v>
      </c>
      <c r="G375" s="30">
        <v>-110</v>
      </c>
      <c r="H375" s="10" t="s">
        <v>37</v>
      </c>
      <c r="I37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75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75" s="71"/>
      <c r="M375" s="71"/>
      <c r="N375" s="94"/>
      <c r="P375" s="89"/>
    </row>
    <row r="376" spans="1:16" ht="60" x14ac:dyDescent="0.25">
      <c r="A376" s="70">
        <f t="shared" si="12"/>
        <v>34</v>
      </c>
      <c r="B376" s="6">
        <v>43518</v>
      </c>
      <c r="C376" s="6" t="s">
        <v>1008</v>
      </c>
      <c r="D376" s="113" t="s">
        <v>1044</v>
      </c>
      <c r="E376" s="114" t="s">
        <v>1045</v>
      </c>
      <c r="F376" s="66">
        <v>2</v>
      </c>
      <c r="G376" s="30">
        <v>1260.5</v>
      </c>
      <c r="H376" s="10" t="s">
        <v>7</v>
      </c>
      <c r="I37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76" s="109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P</v>
      </c>
      <c r="K376" s="71"/>
      <c r="M376" s="127"/>
      <c r="N376" s="94"/>
      <c r="P376" s="89"/>
    </row>
    <row r="377" spans="1:16" x14ac:dyDescent="0.25">
      <c r="A377" s="70">
        <f t="shared" si="12"/>
        <v>35</v>
      </c>
      <c r="B377" s="6">
        <v>43522</v>
      </c>
      <c r="C377" s="6" t="s">
        <v>1008</v>
      </c>
      <c r="D377" s="7" t="s">
        <v>1061</v>
      </c>
      <c r="E377" s="8" t="s">
        <v>407</v>
      </c>
      <c r="F377" s="66">
        <v>2</v>
      </c>
      <c r="G377" s="30">
        <v>-110</v>
      </c>
      <c r="H377" s="10" t="s">
        <v>37</v>
      </c>
      <c r="I37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7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77" s="71"/>
      <c r="M377" s="71"/>
      <c r="N377" s="94"/>
      <c r="P377" s="89"/>
    </row>
    <row r="378" spans="1:16" x14ac:dyDescent="0.25">
      <c r="A378" s="70">
        <f t="shared" si="12"/>
        <v>35</v>
      </c>
      <c r="B378" s="6">
        <v>43522</v>
      </c>
      <c r="C378" s="6" t="s">
        <v>1008</v>
      </c>
      <c r="D378" s="7" t="s">
        <v>1061</v>
      </c>
      <c r="E378" s="8" t="s">
        <v>1062</v>
      </c>
      <c r="F378" s="66">
        <v>2</v>
      </c>
      <c r="G378" s="30">
        <v>-110</v>
      </c>
      <c r="H378" s="10" t="s">
        <v>37</v>
      </c>
      <c r="I37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7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78" s="71"/>
      <c r="M378" s="71"/>
      <c r="N378" s="94"/>
      <c r="P378" s="89"/>
    </row>
    <row r="379" spans="1:16" x14ac:dyDescent="0.25">
      <c r="A379" s="70">
        <f t="shared" si="12"/>
        <v>35</v>
      </c>
      <c r="B379" s="6">
        <v>43522</v>
      </c>
      <c r="C379" s="6" t="s">
        <v>1008</v>
      </c>
      <c r="D379" s="7" t="s">
        <v>1063</v>
      </c>
      <c r="E379" s="8" t="s">
        <v>233</v>
      </c>
      <c r="F379" s="66">
        <v>2</v>
      </c>
      <c r="G379" s="30">
        <v>-115</v>
      </c>
      <c r="H379" s="10" t="s">
        <v>37</v>
      </c>
      <c r="I37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3.7391304347826084</v>
      </c>
      <c r="J37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79" s="71"/>
      <c r="M379" s="71"/>
      <c r="N379" s="94"/>
      <c r="P379" s="89"/>
    </row>
    <row r="380" spans="1:16" x14ac:dyDescent="0.25">
      <c r="A380" s="70">
        <f t="shared" si="12"/>
        <v>35</v>
      </c>
      <c r="B380" s="6">
        <v>43522</v>
      </c>
      <c r="C380" s="6" t="s">
        <v>1008</v>
      </c>
      <c r="D380" s="7" t="s">
        <v>1064</v>
      </c>
      <c r="E380" s="8" t="s">
        <v>1065</v>
      </c>
      <c r="F380" s="66">
        <v>2</v>
      </c>
      <c r="G380" s="30">
        <v>-115</v>
      </c>
      <c r="H380" s="10" t="s">
        <v>37</v>
      </c>
      <c r="I38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3.7391304347826084</v>
      </c>
      <c r="J38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80" s="71"/>
      <c r="M380" s="71"/>
      <c r="N380" s="94"/>
      <c r="P380" s="89"/>
    </row>
    <row r="381" spans="1:16" x14ac:dyDescent="0.25">
      <c r="A381" s="70">
        <f t="shared" si="12"/>
        <v>35</v>
      </c>
      <c r="B381" s="6">
        <v>43522</v>
      </c>
      <c r="C381" s="6" t="s">
        <v>1008</v>
      </c>
      <c r="D381" s="7" t="s">
        <v>1064</v>
      </c>
      <c r="E381" s="8" t="s">
        <v>1066</v>
      </c>
      <c r="F381" s="66">
        <v>2</v>
      </c>
      <c r="G381" s="30">
        <v>-110</v>
      </c>
      <c r="H381" s="10" t="s">
        <v>37</v>
      </c>
      <c r="I38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8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81" s="71"/>
      <c r="M381" s="71"/>
      <c r="N381" s="94"/>
      <c r="P381" s="89"/>
    </row>
    <row r="382" spans="1:16" x14ac:dyDescent="0.25">
      <c r="A382" s="70">
        <f t="shared" si="12"/>
        <v>36</v>
      </c>
      <c r="B382" s="6">
        <v>43523</v>
      </c>
      <c r="C382" s="6" t="s">
        <v>1008</v>
      </c>
      <c r="D382" s="7" t="s">
        <v>1067</v>
      </c>
      <c r="E382" s="8" t="s">
        <v>224</v>
      </c>
      <c r="F382" s="66">
        <v>2</v>
      </c>
      <c r="G382" s="30">
        <v>-115</v>
      </c>
      <c r="H382" s="10" t="s">
        <v>7</v>
      </c>
      <c r="I38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8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82" s="71"/>
      <c r="M382" s="71"/>
      <c r="N382" s="94"/>
      <c r="P382" s="89"/>
    </row>
    <row r="383" spans="1:16" x14ac:dyDescent="0.25">
      <c r="A383" s="70">
        <f t="shared" si="12"/>
        <v>36</v>
      </c>
      <c r="B383" s="6">
        <v>43523</v>
      </c>
      <c r="C383" s="6" t="s">
        <v>1008</v>
      </c>
      <c r="D383" s="7" t="s">
        <v>1067</v>
      </c>
      <c r="E383" s="8" t="s">
        <v>1068</v>
      </c>
      <c r="F383" s="66">
        <v>2</v>
      </c>
      <c r="G383" s="30">
        <v>-115</v>
      </c>
      <c r="H383" s="10" t="s">
        <v>69</v>
      </c>
      <c r="I38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2</v>
      </c>
      <c r="J38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83" s="71"/>
      <c r="M383" s="71"/>
      <c r="N383" s="94"/>
      <c r="P383" s="89"/>
    </row>
    <row r="384" spans="1:16" x14ac:dyDescent="0.25">
      <c r="A384" s="70">
        <f t="shared" si="12"/>
        <v>36</v>
      </c>
      <c r="B384" s="6">
        <v>43523</v>
      </c>
      <c r="C384" s="6" t="s">
        <v>1008</v>
      </c>
      <c r="D384" s="7" t="s">
        <v>1069</v>
      </c>
      <c r="E384" s="8" t="s">
        <v>116</v>
      </c>
      <c r="F384" s="66">
        <v>2</v>
      </c>
      <c r="G384" s="30">
        <v>-105</v>
      </c>
      <c r="H384" s="10" t="s">
        <v>7</v>
      </c>
      <c r="I38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8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84" s="71"/>
      <c r="M384" s="71"/>
      <c r="N384" s="94"/>
      <c r="P384" s="89"/>
    </row>
    <row r="385" spans="1:16" x14ac:dyDescent="0.25">
      <c r="A385" s="70">
        <f t="shared" si="12"/>
        <v>36</v>
      </c>
      <c r="B385" s="6">
        <v>43523</v>
      </c>
      <c r="C385" s="6" t="s">
        <v>1008</v>
      </c>
      <c r="D385" s="7" t="s">
        <v>1069</v>
      </c>
      <c r="E385" s="8" t="s">
        <v>1070</v>
      </c>
      <c r="F385" s="66">
        <v>2</v>
      </c>
      <c r="G385" s="30">
        <v>-110</v>
      </c>
      <c r="H385" s="10" t="s">
        <v>37</v>
      </c>
      <c r="I38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8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85" s="71"/>
      <c r="M385" s="71"/>
      <c r="N385" s="94"/>
      <c r="P385" s="89"/>
    </row>
    <row r="386" spans="1:16" x14ac:dyDescent="0.25">
      <c r="A386" s="70">
        <f t="shared" si="12"/>
        <v>36</v>
      </c>
      <c r="B386" s="6">
        <v>43523</v>
      </c>
      <c r="C386" s="6" t="s">
        <v>1008</v>
      </c>
      <c r="D386" s="7" t="s">
        <v>1071</v>
      </c>
      <c r="E386" s="8" t="s">
        <v>1072</v>
      </c>
      <c r="F386" s="66">
        <v>2</v>
      </c>
      <c r="G386" s="30">
        <v>-115</v>
      </c>
      <c r="H386" s="10" t="s">
        <v>7</v>
      </c>
      <c r="I38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8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86" s="71"/>
      <c r="M386" s="71"/>
      <c r="N386" s="94"/>
      <c r="P386" s="89"/>
    </row>
    <row r="387" spans="1:16" x14ac:dyDescent="0.25">
      <c r="A387" s="70">
        <f t="shared" si="12"/>
        <v>36</v>
      </c>
      <c r="B387" s="6">
        <v>43523</v>
      </c>
      <c r="C387" s="6" t="s">
        <v>1008</v>
      </c>
      <c r="D387" s="7" t="s">
        <v>1073</v>
      </c>
      <c r="E387" s="8" t="s">
        <v>441</v>
      </c>
      <c r="F387" s="66">
        <v>2</v>
      </c>
      <c r="G387" s="30">
        <v>-105</v>
      </c>
      <c r="H387" s="10" t="s">
        <v>37</v>
      </c>
      <c r="I38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3.9047619047619051</v>
      </c>
      <c r="J38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87" s="71"/>
      <c r="M387" s="71"/>
      <c r="N387" s="94"/>
      <c r="P387" s="89"/>
    </row>
    <row r="388" spans="1:16" x14ac:dyDescent="0.25">
      <c r="A388" s="70">
        <f t="shared" si="12"/>
        <v>36</v>
      </c>
      <c r="B388" s="6">
        <v>43523</v>
      </c>
      <c r="C388" s="6" t="s">
        <v>1008</v>
      </c>
      <c r="D388" s="7" t="s">
        <v>1074</v>
      </c>
      <c r="E388" s="8" t="s">
        <v>1065</v>
      </c>
      <c r="F388" s="66">
        <v>2</v>
      </c>
      <c r="G388" s="30">
        <v>-115</v>
      </c>
      <c r="H388" s="10" t="s">
        <v>7</v>
      </c>
      <c r="I38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8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88" s="71"/>
      <c r="M388" s="71"/>
      <c r="N388" s="94"/>
      <c r="P388" s="89"/>
    </row>
    <row r="389" spans="1:16" x14ac:dyDescent="0.25">
      <c r="A389" s="70">
        <f t="shared" si="12"/>
        <v>36</v>
      </c>
      <c r="B389" s="6">
        <v>43523</v>
      </c>
      <c r="C389" s="6" t="s">
        <v>1008</v>
      </c>
      <c r="D389" s="7" t="s">
        <v>1074</v>
      </c>
      <c r="E389" s="8" t="s">
        <v>1075</v>
      </c>
      <c r="F389" s="66">
        <v>2</v>
      </c>
      <c r="G389" s="30">
        <v>-110</v>
      </c>
      <c r="H389" s="10" t="s">
        <v>7</v>
      </c>
      <c r="I38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8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89" s="71"/>
      <c r="M389" s="71"/>
      <c r="N389" s="94"/>
      <c r="P389" s="89"/>
    </row>
    <row r="390" spans="1:16" x14ac:dyDescent="0.25">
      <c r="A390" s="70">
        <f t="shared" ref="A390:A453" si="13">IF(B390=B389,A389,A389+1)</f>
        <v>36</v>
      </c>
      <c r="B390" s="6">
        <v>43523</v>
      </c>
      <c r="C390" s="6" t="s">
        <v>1008</v>
      </c>
      <c r="D390" s="7" t="s">
        <v>1076</v>
      </c>
      <c r="E390" s="8" t="s">
        <v>456</v>
      </c>
      <c r="F390" s="66">
        <v>2</v>
      </c>
      <c r="G390" s="30">
        <v>-105</v>
      </c>
      <c r="H390" s="10" t="s">
        <v>37</v>
      </c>
      <c r="I39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3.9047619047619051</v>
      </c>
      <c r="J39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90" s="71"/>
      <c r="M390" s="71"/>
      <c r="N390" s="94"/>
      <c r="P390" s="89"/>
    </row>
    <row r="391" spans="1:16" x14ac:dyDescent="0.25">
      <c r="A391" s="70">
        <f t="shared" si="13"/>
        <v>36</v>
      </c>
      <c r="B391" s="6">
        <v>43523</v>
      </c>
      <c r="C391" s="6" t="s">
        <v>1008</v>
      </c>
      <c r="D391" s="7" t="s">
        <v>1076</v>
      </c>
      <c r="E391" s="8" t="s">
        <v>1077</v>
      </c>
      <c r="F391" s="66">
        <v>2</v>
      </c>
      <c r="G391" s="30">
        <v>-110</v>
      </c>
      <c r="H391" s="10" t="s">
        <v>7</v>
      </c>
      <c r="I39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9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91" s="71"/>
      <c r="M391" s="71"/>
      <c r="N391" s="94"/>
      <c r="P391" s="89"/>
    </row>
    <row r="392" spans="1:16" x14ac:dyDescent="0.25">
      <c r="A392" s="70">
        <f t="shared" si="13"/>
        <v>36</v>
      </c>
      <c r="B392" s="6">
        <v>43523</v>
      </c>
      <c r="C392" s="6" t="s">
        <v>1008</v>
      </c>
      <c r="D392" s="7" t="s">
        <v>1078</v>
      </c>
      <c r="E392" s="8" t="s">
        <v>183</v>
      </c>
      <c r="F392" s="66">
        <v>2</v>
      </c>
      <c r="G392" s="30">
        <v>-110</v>
      </c>
      <c r="H392" s="10" t="s">
        <v>37</v>
      </c>
      <c r="I39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9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92" s="71"/>
      <c r="M392" s="71"/>
      <c r="N392" s="94"/>
      <c r="P392" s="89"/>
    </row>
    <row r="393" spans="1:16" x14ac:dyDescent="0.25">
      <c r="A393" s="70">
        <f t="shared" si="13"/>
        <v>36</v>
      </c>
      <c r="B393" s="6">
        <v>43523</v>
      </c>
      <c r="C393" s="6" t="s">
        <v>1008</v>
      </c>
      <c r="D393" s="7" t="s">
        <v>1079</v>
      </c>
      <c r="E393" s="8" t="s">
        <v>1080</v>
      </c>
      <c r="F393" s="66">
        <v>2</v>
      </c>
      <c r="G393" s="30">
        <v>-110</v>
      </c>
      <c r="H393" s="10" t="s">
        <v>37</v>
      </c>
      <c r="I39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39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393" s="71"/>
      <c r="M393" s="71"/>
      <c r="N393" s="94"/>
      <c r="P393" s="89"/>
    </row>
    <row r="394" spans="1:16" x14ac:dyDescent="0.25">
      <c r="A394" s="70">
        <f t="shared" si="13"/>
        <v>36</v>
      </c>
      <c r="B394" s="6">
        <v>43523</v>
      </c>
      <c r="C394" s="6" t="s">
        <v>1008</v>
      </c>
      <c r="D394" s="7" t="s">
        <v>1081</v>
      </c>
      <c r="E394" s="8" t="s">
        <v>233</v>
      </c>
      <c r="F394" s="66">
        <v>2</v>
      </c>
      <c r="G394" s="30">
        <v>-105</v>
      </c>
      <c r="H394" s="10" t="s">
        <v>37</v>
      </c>
      <c r="I39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3.9047619047619051</v>
      </c>
      <c r="J39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94" s="71"/>
      <c r="M394" s="71"/>
      <c r="N394" s="94"/>
      <c r="P394" s="89"/>
    </row>
    <row r="395" spans="1:16" x14ac:dyDescent="0.25">
      <c r="A395" s="70">
        <f t="shared" si="13"/>
        <v>36</v>
      </c>
      <c r="B395" s="6">
        <v>43523</v>
      </c>
      <c r="C395" s="6" t="s">
        <v>1008</v>
      </c>
      <c r="D395" s="7" t="s">
        <v>1081</v>
      </c>
      <c r="E395" s="8" t="s">
        <v>253</v>
      </c>
      <c r="F395" s="66">
        <v>2</v>
      </c>
      <c r="G395" s="30">
        <v>-110</v>
      </c>
      <c r="H395" s="10" t="s">
        <v>7</v>
      </c>
      <c r="I39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9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95" s="71"/>
      <c r="M395" s="71"/>
      <c r="N395" s="94"/>
      <c r="P395" s="89"/>
    </row>
    <row r="396" spans="1:16" x14ac:dyDescent="0.25">
      <c r="A396" s="70">
        <f t="shared" si="13"/>
        <v>36</v>
      </c>
      <c r="B396" s="6">
        <v>43523</v>
      </c>
      <c r="C396" s="6" t="s">
        <v>1008</v>
      </c>
      <c r="D396" s="7" t="s">
        <v>1082</v>
      </c>
      <c r="E396" s="8" t="s">
        <v>496</v>
      </c>
      <c r="F396" s="66">
        <v>2</v>
      </c>
      <c r="G396" s="30">
        <v>-110</v>
      </c>
      <c r="H396" s="10" t="s">
        <v>7</v>
      </c>
      <c r="I39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9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96" s="71"/>
      <c r="M396" s="71"/>
      <c r="N396" s="94"/>
      <c r="P396" s="89"/>
    </row>
    <row r="397" spans="1:16" x14ac:dyDescent="0.25">
      <c r="A397" s="70">
        <f t="shared" si="13"/>
        <v>36</v>
      </c>
      <c r="B397" s="6">
        <v>43523</v>
      </c>
      <c r="C397" s="6" t="s">
        <v>1008</v>
      </c>
      <c r="D397" s="7" t="s">
        <v>189</v>
      </c>
      <c r="E397" s="8" t="s">
        <v>395</v>
      </c>
      <c r="F397" s="66">
        <v>2</v>
      </c>
      <c r="G397" s="30">
        <v>-105</v>
      </c>
      <c r="H397" s="10" t="s">
        <v>7</v>
      </c>
      <c r="I39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9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97" s="71"/>
      <c r="M397" s="71"/>
      <c r="N397" s="94"/>
      <c r="P397" s="89"/>
    </row>
    <row r="398" spans="1:16" x14ac:dyDescent="0.25">
      <c r="A398" s="70">
        <f t="shared" si="13"/>
        <v>37</v>
      </c>
      <c r="B398" s="6">
        <v>43524</v>
      </c>
      <c r="C398" s="6" t="s">
        <v>1008</v>
      </c>
      <c r="D398" s="7" t="s">
        <v>1083</v>
      </c>
      <c r="E398" s="8" t="s">
        <v>288</v>
      </c>
      <c r="F398" s="66">
        <v>2</v>
      </c>
      <c r="G398" s="129">
        <v>-115</v>
      </c>
      <c r="H398" s="10" t="s">
        <v>7</v>
      </c>
      <c r="I39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39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398" s="71"/>
      <c r="M398" s="71"/>
      <c r="N398" s="94"/>
      <c r="P398" s="89"/>
    </row>
    <row r="399" spans="1:16" x14ac:dyDescent="0.25">
      <c r="A399" s="70">
        <f t="shared" si="13"/>
        <v>37</v>
      </c>
      <c r="B399" s="6">
        <v>43524</v>
      </c>
      <c r="C399" s="6" t="s">
        <v>1008</v>
      </c>
      <c r="D399" s="7" t="s">
        <v>1083</v>
      </c>
      <c r="E399" s="8" t="s">
        <v>1084</v>
      </c>
      <c r="F399" s="66">
        <v>2</v>
      </c>
      <c r="G399" s="129">
        <v>-105</v>
      </c>
      <c r="H399" s="10" t="s">
        <v>37</v>
      </c>
      <c r="I39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3.9047619047619051</v>
      </c>
      <c r="J39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399" s="71"/>
      <c r="M399" s="71"/>
      <c r="N399" s="94"/>
      <c r="P399" s="89"/>
    </row>
    <row r="400" spans="1:16" x14ac:dyDescent="0.25">
      <c r="A400" s="70">
        <f t="shared" si="13"/>
        <v>37</v>
      </c>
      <c r="B400" s="6">
        <v>43524</v>
      </c>
      <c r="C400" s="6" t="s">
        <v>1008</v>
      </c>
      <c r="D400" s="7" t="s">
        <v>1085</v>
      </c>
      <c r="E400" s="8" t="s">
        <v>1086</v>
      </c>
      <c r="F400" s="66">
        <v>2</v>
      </c>
      <c r="G400" s="129">
        <v>-110</v>
      </c>
      <c r="H400" s="10" t="s">
        <v>7</v>
      </c>
      <c r="I40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0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00" s="71"/>
      <c r="M400" s="71"/>
      <c r="N400" s="94"/>
      <c r="P400" s="89"/>
    </row>
    <row r="401" spans="1:16" x14ac:dyDescent="0.25">
      <c r="A401" s="70">
        <f t="shared" si="13"/>
        <v>37</v>
      </c>
      <c r="B401" s="6">
        <v>43524</v>
      </c>
      <c r="C401" s="6" t="s">
        <v>1008</v>
      </c>
      <c r="D401" s="7" t="s">
        <v>1087</v>
      </c>
      <c r="E401" s="8" t="s">
        <v>283</v>
      </c>
      <c r="F401" s="66">
        <v>2</v>
      </c>
      <c r="G401" s="129">
        <v>-115</v>
      </c>
      <c r="H401" s="10" t="s">
        <v>7</v>
      </c>
      <c r="I40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0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01" s="71"/>
      <c r="M401" s="71"/>
      <c r="N401" s="94"/>
      <c r="P401" s="89"/>
    </row>
    <row r="402" spans="1:16" x14ac:dyDescent="0.25">
      <c r="A402" s="70">
        <f t="shared" si="13"/>
        <v>37</v>
      </c>
      <c r="B402" s="6">
        <v>43524</v>
      </c>
      <c r="C402" s="6" t="s">
        <v>1008</v>
      </c>
      <c r="D402" s="7" t="s">
        <v>1087</v>
      </c>
      <c r="E402" s="8" t="s">
        <v>1088</v>
      </c>
      <c r="F402" s="66">
        <v>2</v>
      </c>
      <c r="G402" s="129">
        <v>-115</v>
      </c>
      <c r="H402" s="10" t="s">
        <v>37</v>
      </c>
      <c r="I40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3.7391304347826084</v>
      </c>
      <c r="J40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02" s="71"/>
      <c r="M402" s="71"/>
      <c r="N402" s="94"/>
      <c r="P402" s="89"/>
    </row>
    <row r="403" spans="1:16" x14ac:dyDescent="0.25">
      <c r="A403" s="70">
        <f t="shared" si="13"/>
        <v>37</v>
      </c>
      <c r="B403" s="6">
        <v>43524</v>
      </c>
      <c r="C403" s="6" t="s">
        <v>1008</v>
      </c>
      <c r="D403" s="7" t="s">
        <v>1089</v>
      </c>
      <c r="E403" s="8" t="s">
        <v>113</v>
      </c>
      <c r="F403" s="66">
        <v>2</v>
      </c>
      <c r="G403" s="129">
        <v>-110</v>
      </c>
      <c r="H403" s="10" t="s">
        <v>37</v>
      </c>
      <c r="I40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40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03" s="71"/>
      <c r="M403" s="71"/>
      <c r="N403" s="94"/>
      <c r="P403" s="89"/>
    </row>
    <row r="404" spans="1:16" x14ac:dyDescent="0.25">
      <c r="A404" s="70">
        <f t="shared" si="13"/>
        <v>37</v>
      </c>
      <c r="B404" s="6">
        <v>43524</v>
      </c>
      <c r="C404" s="6" t="s">
        <v>1008</v>
      </c>
      <c r="D404" s="7" t="s">
        <v>1089</v>
      </c>
      <c r="E404" s="8" t="s">
        <v>1090</v>
      </c>
      <c r="F404" s="66">
        <v>2</v>
      </c>
      <c r="G404" s="129">
        <v>-110</v>
      </c>
      <c r="H404" s="10" t="s">
        <v>37</v>
      </c>
      <c r="I40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3.8181818181818183</v>
      </c>
      <c r="J40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04" s="71"/>
      <c r="M404" s="71"/>
      <c r="N404" s="94"/>
      <c r="P404" s="89"/>
    </row>
    <row r="405" spans="1:16" x14ac:dyDescent="0.25">
      <c r="A405" s="70">
        <f t="shared" si="13"/>
        <v>37</v>
      </c>
      <c r="B405" s="6">
        <v>43524</v>
      </c>
      <c r="C405" s="6" t="s">
        <v>1008</v>
      </c>
      <c r="D405" s="7" t="s">
        <v>1091</v>
      </c>
      <c r="E405" s="8" t="s">
        <v>1065</v>
      </c>
      <c r="F405" s="66">
        <v>2</v>
      </c>
      <c r="G405" s="129">
        <v>-105</v>
      </c>
      <c r="H405" s="10" t="s">
        <v>37</v>
      </c>
      <c r="I40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3.9047619047619051</v>
      </c>
      <c r="J40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05" s="71"/>
      <c r="M405" s="71"/>
      <c r="N405" s="94"/>
      <c r="P405" s="89"/>
    </row>
    <row r="406" spans="1:16" x14ac:dyDescent="0.25">
      <c r="A406" s="70">
        <f t="shared" si="13"/>
        <v>38</v>
      </c>
      <c r="B406" s="6">
        <v>43528</v>
      </c>
      <c r="C406" s="6" t="s">
        <v>1008</v>
      </c>
      <c r="D406" s="7" t="s">
        <v>1109</v>
      </c>
      <c r="E406" s="8" t="s">
        <v>692</v>
      </c>
      <c r="F406" s="66">
        <v>5</v>
      </c>
      <c r="G406" s="30">
        <v>-115</v>
      </c>
      <c r="H406" s="10" t="s">
        <v>7</v>
      </c>
      <c r="I40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0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06" s="71"/>
      <c r="M406" s="71"/>
      <c r="N406" s="94"/>
      <c r="P406" s="89"/>
    </row>
    <row r="407" spans="1:16" x14ac:dyDescent="0.25">
      <c r="A407" s="70">
        <f t="shared" si="13"/>
        <v>38</v>
      </c>
      <c r="B407" s="6">
        <v>43528</v>
      </c>
      <c r="C407" s="6" t="s">
        <v>1008</v>
      </c>
      <c r="D407" s="7" t="s">
        <v>1110</v>
      </c>
      <c r="E407" s="8" t="s">
        <v>233</v>
      </c>
      <c r="F407" s="66">
        <v>5</v>
      </c>
      <c r="G407" s="30">
        <v>-105</v>
      </c>
      <c r="H407" s="10" t="s">
        <v>37</v>
      </c>
      <c r="I40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40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07" s="71"/>
      <c r="M407" s="71"/>
      <c r="N407" s="94"/>
      <c r="P407" s="89"/>
    </row>
    <row r="408" spans="1:16" x14ac:dyDescent="0.25">
      <c r="A408" s="70">
        <f t="shared" si="13"/>
        <v>38</v>
      </c>
      <c r="B408" s="6">
        <v>43528</v>
      </c>
      <c r="C408" s="6" t="s">
        <v>1008</v>
      </c>
      <c r="D408" s="7" t="s">
        <v>1111</v>
      </c>
      <c r="E408" s="8" t="s">
        <v>174</v>
      </c>
      <c r="F408" s="66">
        <v>5</v>
      </c>
      <c r="G408" s="30">
        <v>-110</v>
      </c>
      <c r="H408" s="10" t="s">
        <v>37</v>
      </c>
      <c r="I40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0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08" s="71"/>
      <c r="M408" s="71"/>
      <c r="N408" s="94"/>
      <c r="P408" s="89"/>
    </row>
    <row r="409" spans="1:16" x14ac:dyDescent="0.25">
      <c r="A409" s="70">
        <f t="shared" si="13"/>
        <v>38</v>
      </c>
      <c r="B409" s="6">
        <v>43528</v>
      </c>
      <c r="C409" s="6" t="s">
        <v>1008</v>
      </c>
      <c r="D409" s="7" t="s">
        <v>1112</v>
      </c>
      <c r="E409" s="8" t="s">
        <v>353</v>
      </c>
      <c r="F409" s="66">
        <v>5</v>
      </c>
      <c r="G409" s="30">
        <v>-110</v>
      </c>
      <c r="H409" s="10" t="s">
        <v>37</v>
      </c>
      <c r="I40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0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09" s="71"/>
      <c r="M409" s="71"/>
      <c r="N409" s="94"/>
      <c r="P409" s="89"/>
    </row>
    <row r="410" spans="1:16" x14ac:dyDescent="0.25">
      <c r="A410" s="70">
        <f t="shared" si="13"/>
        <v>38</v>
      </c>
      <c r="B410" s="6">
        <v>43528</v>
      </c>
      <c r="C410" s="6" t="s">
        <v>1008</v>
      </c>
      <c r="D410" s="7" t="s">
        <v>1112</v>
      </c>
      <c r="E410" s="8" t="s">
        <v>1113</v>
      </c>
      <c r="F410" s="66">
        <v>5</v>
      </c>
      <c r="G410" s="30">
        <v>-110</v>
      </c>
      <c r="H410" s="10" t="s">
        <v>37</v>
      </c>
      <c r="I41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1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10" s="71"/>
      <c r="M410" s="71"/>
      <c r="N410" s="94"/>
      <c r="P410" s="89"/>
    </row>
    <row r="411" spans="1:16" x14ac:dyDescent="0.25">
      <c r="A411" s="70">
        <f t="shared" si="13"/>
        <v>38</v>
      </c>
      <c r="B411" s="6">
        <v>43528</v>
      </c>
      <c r="C411" s="6" t="s">
        <v>1008</v>
      </c>
      <c r="D411" s="7" t="s">
        <v>1114</v>
      </c>
      <c r="E411" s="8" t="s">
        <v>1072</v>
      </c>
      <c r="F411" s="66">
        <v>5</v>
      </c>
      <c r="G411" s="30">
        <v>-110</v>
      </c>
      <c r="H411" s="10" t="s">
        <v>37</v>
      </c>
      <c r="I41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1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11" s="71"/>
      <c r="M411" s="71"/>
      <c r="N411" s="94"/>
      <c r="P411" s="89"/>
    </row>
    <row r="412" spans="1:16" x14ac:dyDescent="0.25">
      <c r="A412" s="70">
        <f t="shared" si="13"/>
        <v>39</v>
      </c>
      <c r="B412" s="6">
        <v>43529</v>
      </c>
      <c r="C412" s="6" t="s">
        <v>1008</v>
      </c>
      <c r="D412" s="7" t="s">
        <v>1115</v>
      </c>
      <c r="E412" s="8" t="s">
        <v>1036</v>
      </c>
      <c r="F412" s="66">
        <v>5</v>
      </c>
      <c r="G412" s="30">
        <v>-110</v>
      </c>
      <c r="H412" s="10" t="s">
        <v>37</v>
      </c>
      <c r="I41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1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12" s="71"/>
      <c r="M412" s="71"/>
      <c r="N412" s="94"/>
      <c r="P412" s="89"/>
    </row>
    <row r="413" spans="1:16" x14ac:dyDescent="0.25">
      <c r="A413" s="70">
        <f t="shared" si="13"/>
        <v>39</v>
      </c>
      <c r="B413" s="6">
        <v>43529</v>
      </c>
      <c r="C413" s="6" t="s">
        <v>1008</v>
      </c>
      <c r="D413" s="7" t="s">
        <v>1116</v>
      </c>
      <c r="E413" s="8" t="s">
        <v>116</v>
      </c>
      <c r="F413" s="66">
        <v>5</v>
      </c>
      <c r="G413" s="30">
        <v>-105</v>
      </c>
      <c r="H413" s="10" t="s">
        <v>37</v>
      </c>
      <c r="I41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41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13" s="71"/>
      <c r="M413" s="71"/>
      <c r="N413" s="94"/>
      <c r="P413" s="89"/>
    </row>
    <row r="414" spans="1:16" x14ac:dyDescent="0.25">
      <c r="A414" s="70">
        <f t="shared" si="13"/>
        <v>39</v>
      </c>
      <c r="B414" s="6">
        <v>43529</v>
      </c>
      <c r="C414" s="6" t="s">
        <v>1008</v>
      </c>
      <c r="D414" s="7" t="s">
        <v>1116</v>
      </c>
      <c r="E414" s="8" t="s">
        <v>1117</v>
      </c>
      <c r="F414" s="66">
        <v>5</v>
      </c>
      <c r="G414" s="30">
        <v>-110</v>
      </c>
      <c r="H414" s="10" t="s">
        <v>37</v>
      </c>
      <c r="I41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1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14" s="71"/>
      <c r="M414" s="71"/>
      <c r="N414" s="94"/>
      <c r="P414" s="89"/>
    </row>
    <row r="415" spans="1:16" x14ac:dyDescent="0.25">
      <c r="A415" s="70">
        <f t="shared" si="13"/>
        <v>39</v>
      </c>
      <c r="B415" s="6">
        <v>43529</v>
      </c>
      <c r="C415" s="6" t="s">
        <v>1008</v>
      </c>
      <c r="D415" s="7" t="s">
        <v>1118</v>
      </c>
      <c r="E415" s="8" t="s">
        <v>224</v>
      </c>
      <c r="F415" s="66">
        <v>5</v>
      </c>
      <c r="G415" s="30">
        <v>-110</v>
      </c>
      <c r="H415" s="10" t="s">
        <v>37</v>
      </c>
      <c r="I41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1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15" s="71"/>
      <c r="M415" s="71"/>
      <c r="N415" s="94"/>
      <c r="P415" s="89"/>
    </row>
    <row r="416" spans="1:16" x14ac:dyDescent="0.25">
      <c r="A416" s="70">
        <f t="shared" si="13"/>
        <v>39</v>
      </c>
      <c r="B416" s="6">
        <v>43529</v>
      </c>
      <c r="C416" s="6" t="s">
        <v>1008</v>
      </c>
      <c r="D416" s="7" t="s">
        <v>1118</v>
      </c>
      <c r="E416" s="8" t="s">
        <v>1119</v>
      </c>
      <c r="F416" s="66">
        <v>5</v>
      </c>
      <c r="G416" s="30">
        <v>-105</v>
      </c>
      <c r="H416" s="10" t="s">
        <v>7</v>
      </c>
      <c r="I41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1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16" s="71"/>
      <c r="M416" s="71"/>
      <c r="N416" s="94"/>
      <c r="P416" s="89"/>
    </row>
    <row r="417" spans="1:16" x14ac:dyDescent="0.25">
      <c r="A417" s="70">
        <f t="shared" si="13"/>
        <v>39</v>
      </c>
      <c r="B417" s="6">
        <v>43529</v>
      </c>
      <c r="C417" s="6" t="s">
        <v>1008</v>
      </c>
      <c r="D417" s="7" t="s">
        <v>1120</v>
      </c>
      <c r="E417" s="8" t="s">
        <v>1072</v>
      </c>
      <c r="F417" s="66">
        <v>5</v>
      </c>
      <c r="G417" s="30">
        <v>-105</v>
      </c>
      <c r="H417" s="10" t="s">
        <v>7</v>
      </c>
      <c r="I41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1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17" s="71"/>
      <c r="M417" s="71"/>
      <c r="N417" s="94"/>
      <c r="P417" s="89"/>
    </row>
    <row r="418" spans="1:16" x14ac:dyDescent="0.25">
      <c r="A418" s="70">
        <f t="shared" si="13"/>
        <v>39</v>
      </c>
      <c r="B418" s="6">
        <v>43529</v>
      </c>
      <c r="C418" s="6" t="s">
        <v>1008</v>
      </c>
      <c r="D418" s="7" t="s">
        <v>1120</v>
      </c>
      <c r="E418" s="8" t="s">
        <v>1121</v>
      </c>
      <c r="F418" s="66">
        <v>5</v>
      </c>
      <c r="G418" s="30">
        <v>-110</v>
      </c>
      <c r="H418" s="10" t="s">
        <v>7</v>
      </c>
      <c r="I41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1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18" s="71"/>
      <c r="M418" s="71"/>
      <c r="N418" s="94"/>
      <c r="P418" s="89"/>
    </row>
    <row r="419" spans="1:16" x14ac:dyDescent="0.25">
      <c r="A419" s="70">
        <f t="shared" si="13"/>
        <v>39</v>
      </c>
      <c r="B419" s="6">
        <v>43529</v>
      </c>
      <c r="C419" s="6" t="s">
        <v>1008</v>
      </c>
      <c r="D419" s="7" t="s">
        <v>1122</v>
      </c>
      <c r="E419" s="8" t="s">
        <v>810</v>
      </c>
      <c r="F419" s="66">
        <v>5</v>
      </c>
      <c r="G419" s="30">
        <v>-110</v>
      </c>
      <c r="H419" s="10" t="s">
        <v>7</v>
      </c>
      <c r="I41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1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19" s="71"/>
      <c r="M419" s="71"/>
      <c r="N419" s="94"/>
      <c r="P419" s="89"/>
    </row>
    <row r="420" spans="1:16" x14ac:dyDescent="0.25">
      <c r="A420" s="70">
        <f t="shared" si="13"/>
        <v>39</v>
      </c>
      <c r="B420" s="6">
        <v>43529</v>
      </c>
      <c r="C420" s="6" t="s">
        <v>1008</v>
      </c>
      <c r="D420" s="7" t="s">
        <v>1122</v>
      </c>
      <c r="E420" s="8" t="s">
        <v>1123</v>
      </c>
      <c r="F420" s="66">
        <v>5</v>
      </c>
      <c r="G420" s="30">
        <v>-115</v>
      </c>
      <c r="H420" s="10" t="s">
        <v>37</v>
      </c>
      <c r="I42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42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20" s="71"/>
      <c r="M420" s="71"/>
      <c r="N420" s="94"/>
      <c r="P420" s="89"/>
    </row>
    <row r="421" spans="1:16" x14ac:dyDescent="0.25">
      <c r="A421" s="70">
        <f t="shared" si="13"/>
        <v>39</v>
      </c>
      <c r="B421" s="6">
        <v>43529</v>
      </c>
      <c r="C421" s="6" t="s">
        <v>1008</v>
      </c>
      <c r="D421" s="7" t="s">
        <v>1124</v>
      </c>
      <c r="E421" s="8" t="s">
        <v>174</v>
      </c>
      <c r="F421" s="66">
        <v>5</v>
      </c>
      <c r="G421" s="30">
        <v>-115</v>
      </c>
      <c r="H421" s="10" t="s">
        <v>37</v>
      </c>
      <c r="I42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42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21" s="71"/>
      <c r="M421" s="71"/>
      <c r="N421" s="94"/>
      <c r="P421" s="89"/>
    </row>
    <row r="422" spans="1:16" x14ac:dyDescent="0.25">
      <c r="A422" s="70">
        <f t="shared" si="13"/>
        <v>39</v>
      </c>
      <c r="B422" s="6">
        <v>43529</v>
      </c>
      <c r="C422" s="6" t="s">
        <v>1008</v>
      </c>
      <c r="D422" s="7" t="s">
        <v>1124</v>
      </c>
      <c r="E422" s="8" t="s">
        <v>1125</v>
      </c>
      <c r="F422" s="66">
        <v>5</v>
      </c>
      <c r="G422" s="30">
        <v>-115</v>
      </c>
      <c r="H422" s="10" t="s">
        <v>37</v>
      </c>
      <c r="I42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42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22" s="71"/>
      <c r="M422" s="71"/>
      <c r="N422" s="94"/>
      <c r="P422" s="89"/>
    </row>
    <row r="423" spans="1:16" x14ac:dyDescent="0.25">
      <c r="A423" s="70">
        <f t="shared" si="13"/>
        <v>40</v>
      </c>
      <c r="B423" s="6">
        <v>43530</v>
      </c>
      <c r="C423" s="6" t="s">
        <v>1008</v>
      </c>
      <c r="D423" s="7" t="s">
        <v>1138</v>
      </c>
      <c r="E423" s="8" t="s">
        <v>553</v>
      </c>
      <c r="F423" s="66">
        <v>5</v>
      </c>
      <c r="G423" s="30">
        <v>-110</v>
      </c>
      <c r="H423" s="10" t="s">
        <v>7</v>
      </c>
      <c r="I42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2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23" s="71"/>
      <c r="M423" s="71"/>
      <c r="N423" s="94"/>
      <c r="P423" s="89"/>
    </row>
    <row r="424" spans="1:16" x14ac:dyDescent="0.25">
      <c r="A424" s="70">
        <f t="shared" si="13"/>
        <v>40</v>
      </c>
      <c r="B424" s="6">
        <v>43530</v>
      </c>
      <c r="C424" s="6" t="s">
        <v>1008</v>
      </c>
      <c r="D424" s="7" t="s">
        <v>1138</v>
      </c>
      <c r="E424" s="8" t="s">
        <v>1139</v>
      </c>
      <c r="F424" s="66">
        <v>5</v>
      </c>
      <c r="G424" s="30">
        <v>-110</v>
      </c>
      <c r="H424" s="10" t="s">
        <v>7</v>
      </c>
      <c r="I42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2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24" s="71"/>
      <c r="M424" s="71"/>
      <c r="N424" s="94"/>
      <c r="P424" s="89"/>
    </row>
    <row r="425" spans="1:16" x14ac:dyDescent="0.25">
      <c r="A425" s="70">
        <f t="shared" si="13"/>
        <v>40</v>
      </c>
      <c r="B425" s="6">
        <v>43530</v>
      </c>
      <c r="C425" s="6" t="s">
        <v>1008</v>
      </c>
      <c r="D425" s="7" t="s">
        <v>1140</v>
      </c>
      <c r="E425" s="8" t="s">
        <v>1141</v>
      </c>
      <c r="F425" s="66">
        <v>5</v>
      </c>
      <c r="G425" s="30">
        <v>-110</v>
      </c>
      <c r="H425" s="10" t="s">
        <v>37</v>
      </c>
      <c r="I42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2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25" s="71"/>
      <c r="M425" s="71"/>
      <c r="N425" s="94"/>
      <c r="P425" s="89"/>
    </row>
    <row r="426" spans="1:16" x14ac:dyDescent="0.25">
      <c r="A426" s="70">
        <f t="shared" si="13"/>
        <v>40</v>
      </c>
      <c r="B426" s="6">
        <v>43530</v>
      </c>
      <c r="C426" s="6" t="s">
        <v>1008</v>
      </c>
      <c r="D426" s="7" t="s">
        <v>1142</v>
      </c>
      <c r="E426" s="8" t="s">
        <v>273</v>
      </c>
      <c r="F426" s="66">
        <v>5</v>
      </c>
      <c r="G426" s="30">
        <v>-115</v>
      </c>
      <c r="H426" s="10" t="s">
        <v>7</v>
      </c>
      <c r="I42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2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26" s="71"/>
      <c r="M426" s="71"/>
      <c r="N426" s="94"/>
      <c r="P426" s="89"/>
    </row>
    <row r="427" spans="1:16" x14ac:dyDescent="0.25">
      <c r="A427" s="70">
        <f t="shared" si="13"/>
        <v>40</v>
      </c>
      <c r="B427" s="6">
        <v>43530</v>
      </c>
      <c r="C427" s="6" t="s">
        <v>1008</v>
      </c>
      <c r="D427" s="7" t="s">
        <v>1142</v>
      </c>
      <c r="E427" s="8" t="s">
        <v>1143</v>
      </c>
      <c r="F427" s="66">
        <v>5</v>
      </c>
      <c r="G427" s="30">
        <v>-110</v>
      </c>
      <c r="H427" s="10" t="s">
        <v>37</v>
      </c>
      <c r="I42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2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27" s="71"/>
      <c r="M427" s="71"/>
      <c r="N427" s="94"/>
      <c r="P427" s="89"/>
    </row>
    <row r="428" spans="1:16" x14ac:dyDescent="0.25">
      <c r="A428" s="70">
        <f t="shared" si="13"/>
        <v>40</v>
      </c>
      <c r="B428" s="6">
        <v>43530</v>
      </c>
      <c r="C428" s="6" t="s">
        <v>1008</v>
      </c>
      <c r="D428" s="7" t="s">
        <v>1144</v>
      </c>
      <c r="E428" s="8" t="s">
        <v>224</v>
      </c>
      <c r="F428" s="66">
        <v>5</v>
      </c>
      <c r="G428" s="30">
        <v>-105</v>
      </c>
      <c r="H428" s="10" t="s">
        <v>37</v>
      </c>
      <c r="I42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42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28" s="71"/>
      <c r="M428" s="71"/>
      <c r="N428" s="94"/>
      <c r="P428" s="89"/>
    </row>
    <row r="429" spans="1:16" x14ac:dyDescent="0.25">
      <c r="A429" s="70">
        <f t="shared" si="13"/>
        <v>40</v>
      </c>
      <c r="B429" s="6">
        <v>43530</v>
      </c>
      <c r="C429" s="6" t="s">
        <v>1008</v>
      </c>
      <c r="D429" s="7" t="s">
        <v>1145</v>
      </c>
      <c r="E429" s="8" t="s">
        <v>174</v>
      </c>
      <c r="F429" s="66">
        <v>5</v>
      </c>
      <c r="G429" s="30">
        <v>-105</v>
      </c>
      <c r="H429" s="10" t="s">
        <v>37</v>
      </c>
      <c r="I42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42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29" s="71"/>
      <c r="M429" s="71"/>
      <c r="N429" s="94"/>
      <c r="P429" s="89"/>
    </row>
    <row r="430" spans="1:16" x14ac:dyDescent="0.25">
      <c r="A430" s="70">
        <f t="shared" si="13"/>
        <v>40</v>
      </c>
      <c r="B430" s="6">
        <v>43530</v>
      </c>
      <c r="C430" s="6" t="s">
        <v>1008</v>
      </c>
      <c r="D430" s="7" t="s">
        <v>1146</v>
      </c>
      <c r="E430" s="8" t="s">
        <v>113</v>
      </c>
      <c r="F430" s="66">
        <v>5</v>
      </c>
      <c r="G430" s="30">
        <v>-115</v>
      </c>
      <c r="H430" s="10" t="s">
        <v>37</v>
      </c>
      <c r="I43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43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30" s="71"/>
      <c r="M430" s="71"/>
      <c r="N430" s="94"/>
      <c r="P430" s="89"/>
    </row>
    <row r="431" spans="1:16" x14ac:dyDescent="0.25">
      <c r="A431" s="70">
        <f t="shared" si="13"/>
        <v>40</v>
      </c>
      <c r="B431" s="6">
        <v>43530</v>
      </c>
      <c r="C431" s="6" t="s">
        <v>1008</v>
      </c>
      <c r="D431" s="7" t="s">
        <v>1146</v>
      </c>
      <c r="E431" s="8" t="s">
        <v>1147</v>
      </c>
      <c r="F431" s="66">
        <v>5</v>
      </c>
      <c r="G431" s="30">
        <v>-105</v>
      </c>
      <c r="H431" s="10" t="s">
        <v>7</v>
      </c>
      <c r="I43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3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31" s="71"/>
      <c r="M431" s="71"/>
      <c r="N431" s="94"/>
      <c r="P431" s="89"/>
    </row>
    <row r="432" spans="1:16" x14ac:dyDescent="0.25">
      <c r="A432" s="70">
        <f t="shared" si="13"/>
        <v>40</v>
      </c>
      <c r="B432" s="6">
        <v>43530</v>
      </c>
      <c r="C432" s="6" t="s">
        <v>1008</v>
      </c>
      <c r="D432" s="7" t="s">
        <v>1148</v>
      </c>
      <c r="E432" s="8" t="s">
        <v>224</v>
      </c>
      <c r="F432" s="66">
        <v>5</v>
      </c>
      <c r="G432" s="30">
        <v>-105</v>
      </c>
      <c r="H432" s="10" t="s">
        <v>37</v>
      </c>
      <c r="I43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43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32" s="71"/>
      <c r="M432" s="71"/>
      <c r="N432" s="94"/>
      <c r="P432" s="89"/>
    </row>
    <row r="433" spans="1:16" x14ac:dyDescent="0.25">
      <c r="A433" s="70">
        <f t="shared" si="13"/>
        <v>40</v>
      </c>
      <c r="B433" s="6">
        <v>43530</v>
      </c>
      <c r="C433" s="6" t="s">
        <v>1008</v>
      </c>
      <c r="D433" s="7" t="s">
        <v>1148</v>
      </c>
      <c r="E433" s="8" t="s">
        <v>1149</v>
      </c>
      <c r="F433" s="66">
        <v>5</v>
      </c>
      <c r="G433" s="30">
        <v>-110</v>
      </c>
      <c r="H433" s="10" t="s">
        <v>69</v>
      </c>
      <c r="I43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5</v>
      </c>
      <c r="J43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33" s="71"/>
      <c r="M433" s="71"/>
      <c r="N433" s="94"/>
      <c r="P433" s="89"/>
    </row>
    <row r="434" spans="1:16" x14ac:dyDescent="0.25">
      <c r="A434" s="70">
        <f t="shared" si="13"/>
        <v>40</v>
      </c>
      <c r="B434" s="6">
        <v>43530</v>
      </c>
      <c r="C434" s="6" t="s">
        <v>1008</v>
      </c>
      <c r="D434" s="7" t="s">
        <v>1150</v>
      </c>
      <c r="E434" s="8" t="s">
        <v>227</v>
      </c>
      <c r="F434" s="66">
        <v>5</v>
      </c>
      <c r="G434" s="30">
        <v>-105</v>
      </c>
      <c r="H434" s="10" t="s">
        <v>37</v>
      </c>
      <c r="I43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43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34" s="71"/>
      <c r="M434" s="71"/>
      <c r="N434" s="94"/>
      <c r="P434" s="89"/>
    </row>
    <row r="435" spans="1:16" x14ac:dyDescent="0.25">
      <c r="A435" s="70">
        <f t="shared" si="13"/>
        <v>40</v>
      </c>
      <c r="B435" s="6">
        <v>43530</v>
      </c>
      <c r="C435" s="6" t="s">
        <v>1008</v>
      </c>
      <c r="D435" s="7" t="s">
        <v>1150</v>
      </c>
      <c r="E435" s="8" t="s">
        <v>228</v>
      </c>
      <c r="F435" s="66">
        <v>5</v>
      </c>
      <c r="G435" s="30">
        <v>-110</v>
      </c>
      <c r="H435" s="10" t="s">
        <v>7</v>
      </c>
      <c r="I43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3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35" s="71"/>
      <c r="M435" s="71"/>
      <c r="N435" s="94"/>
      <c r="P435" s="89"/>
    </row>
    <row r="436" spans="1:16" ht="60" x14ac:dyDescent="0.25">
      <c r="A436" s="70">
        <f t="shared" si="13"/>
        <v>40</v>
      </c>
      <c r="B436" s="6">
        <v>43530</v>
      </c>
      <c r="C436" s="6" t="s">
        <v>1008</v>
      </c>
      <c r="D436" s="113" t="s">
        <v>1151</v>
      </c>
      <c r="E436" s="114" t="s">
        <v>1152</v>
      </c>
      <c r="F436" s="66">
        <v>2</v>
      </c>
      <c r="G436" s="30">
        <v>1321</v>
      </c>
      <c r="H436" s="10" t="s">
        <v>7</v>
      </c>
      <c r="I43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3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P</v>
      </c>
      <c r="K436" s="71"/>
      <c r="M436" s="71"/>
      <c r="N436" s="94"/>
      <c r="P436" s="89"/>
    </row>
    <row r="437" spans="1:16" x14ac:dyDescent="0.25">
      <c r="A437" s="70">
        <f t="shared" si="13"/>
        <v>41</v>
      </c>
      <c r="B437" s="6">
        <v>43536</v>
      </c>
      <c r="C437" s="6" t="s">
        <v>1008</v>
      </c>
      <c r="D437" s="7" t="s">
        <v>1175</v>
      </c>
      <c r="E437" s="8" t="s">
        <v>1176</v>
      </c>
      <c r="F437" s="66">
        <v>10</v>
      </c>
      <c r="G437" s="30">
        <v>-110</v>
      </c>
      <c r="H437" s="10" t="s">
        <v>37</v>
      </c>
      <c r="I43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43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37" s="71"/>
      <c r="M437" s="71"/>
      <c r="N437" s="94"/>
      <c r="P437" s="89"/>
    </row>
    <row r="438" spans="1:16" x14ac:dyDescent="0.25">
      <c r="A438" s="70">
        <f t="shared" si="13"/>
        <v>41</v>
      </c>
      <c r="B438" s="6">
        <v>43536</v>
      </c>
      <c r="C438" s="6" t="s">
        <v>1008</v>
      </c>
      <c r="D438" s="7" t="s">
        <v>1177</v>
      </c>
      <c r="E438" s="8" t="s">
        <v>134</v>
      </c>
      <c r="F438" s="66">
        <v>10</v>
      </c>
      <c r="G438" s="30">
        <v>-115</v>
      </c>
      <c r="H438" s="10" t="s">
        <v>7</v>
      </c>
      <c r="I43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3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38" s="71"/>
      <c r="M438" s="71"/>
      <c r="N438" s="94"/>
      <c r="P438" s="89"/>
    </row>
    <row r="439" spans="1:16" x14ac:dyDescent="0.25">
      <c r="A439" s="70">
        <f t="shared" si="13"/>
        <v>41</v>
      </c>
      <c r="B439" s="6">
        <v>43536</v>
      </c>
      <c r="C439" s="6" t="s">
        <v>1008</v>
      </c>
      <c r="D439" s="7" t="s">
        <v>1178</v>
      </c>
      <c r="E439" s="8" t="s">
        <v>131</v>
      </c>
      <c r="F439" s="66">
        <v>10</v>
      </c>
      <c r="G439" s="30">
        <v>-110</v>
      </c>
      <c r="H439" s="10" t="s">
        <v>7</v>
      </c>
      <c r="I43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3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39" s="71"/>
      <c r="M439" s="71"/>
      <c r="N439" s="94"/>
      <c r="P439" s="89"/>
    </row>
    <row r="440" spans="1:16" x14ac:dyDescent="0.25">
      <c r="A440" s="70">
        <f t="shared" si="13"/>
        <v>41</v>
      </c>
      <c r="B440" s="6">
        <v>43536</v>
      </c>
      <c r="C440" s="6" t="s">
        <v>1008</v>
      </c>
      <c r="D440" s="7" t="s">
        <v>1178</v>
      </c>
      <c r="E440" s="8" t="s">
        <v>1179</v>
      </c>
      <c r="F440" s="66">
        <v>10</v>
      </c>
      <c r="G440" s="30">
        <v>-115</v>
      </c>
      <c r="H440" s="10" t="s">
        <v>7</v>
      </c>
      <c r="I44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4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40" s="71"/>
      <c r="M440" s="71"/>
      <c r="N440" s="94"/>
      <c r="P440" s="89"/>
    </row>
    <row r="441" spans="1:16" x14ac:dyDescent="0.25">
      <c r="A441" s="70">
        <f t="shared" si="13"/>
        <v>41</v>
      </c>
      <c r="B441" s="6">
        <v>43536</v>
      </c>
      <c r="C441" s="6" t="s">
        <v>1008</v>
      </c>
      <c r="D441" s="7" t="s">
        <v>418</v>
      </c>
      <c r="E441" s="8" t="s">
        <v>1180</v>
      </c>
      <c r="F441" s="66">
        <v>10</v>
      </c>
      <c r="G441" s="30">
        <v>-105</v>
      </c>
      <c r="H441" s="10" t="s">
        <v>7</v>
      </c>
      <c r="I44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4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41" s="71"/>
      <c r="M441" s="71"/>
      <c r="N441" s="94"/>
      <c r="P441" s="89"/>
    </row>
    <row r="442" spans="1:16" x14ac:dyDescent="0.25">
      <c r="A442" s="70">
        <f t="shared" si="13"/>
        <v>41</v>
      </c>
      <c r="B442" s="6">
        <v>43536</v>
      </c>
      <c r="C442" s="6" t="s">
        <v>1008</v>
      </c>
      <c r="D442" s="7" t="s">
        <v>1181</v>
      </c>
      <c r="E442" s="8" t="s">
        <v>227</v>
      </c>
      <c r="F442" s="66">
        <v>10</v>
      </c>
      <c r="G442" s="30">
        <v>-115</v>
      </c>
      <c r="H442" s="10" t="s">
        <v>7</v>
      </c>
      <c r="I44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4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42" s="71"/>
      <c r="M442" s="71"/>
      <c r="N442" s="94"/>
      <c r="P442" s="89"/>
    </row>
    <row r="443" spans="1:16" x14ac:dyDescent="0.25">
      <c r="A443" s="70">
        <f t="shared" si="13"/>
        <v>41</v>
      </c>
      <c r="B443" s="6">
        <v>43536</v>
      </c>
      <c r="C443" s="6" t="s">
        <v>1008</v>
      </c>
      <c r="D443" s="7" t="s">
        <v>1181</v>
      </c>
      <c r="E443" s="8" t="s">
        <v>1182</v>
      </c>
      <c r="F443" s="66">
        <v>10</v>
      </c>
      <c r="G443" s="30">
        <v>-110</v>
      </c>
      <c r="H443" s="10" t="s">
        <v>37</v>
      </c>
      <c r="I44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19.090909090909093</v>
      </c>
      <c r="J44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43" s="71"/>
      <c r="M443" s="71"/>
      <c r="N443" s="94"/>
      <c r="P443" s="89"/>
    </row>
    <row r="444" spans="1:16" x14ac:dyDescent="0.25">
      <c r="A444" s="70">
        <f t="shared" si="13"/>
        <v>41</v>
      </c>
      <c r="B444" s="6">
        <v>43536</v>
      </c>
      <c r="C444" s="6" t="s">
        <v>1008</v>
      </c>
      <c r="D444" s="7" t="s">
        <v>125</v>
      </c>
      <c r="E444" s="8" t="s">
        <v>553</v>
      </c>
      <c r="F444" s="66">
        <v>10</v>
      </c>
      <c r="G444" s="30">
        <v>-115</v>
      </c>
      <c r="H444" s="10" t="s">
        <v>37</v>
      </c>
      <c r="I44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18.695652173913043</v>
      </c>
      <c r="J44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44" s="71"/>
      <c r="M444" s="71"/>
      <c r="N444" s="94"/>
      <c r="P444" s="89"/>
    </row>
    <row r="445" spans="1:16" ht="75" x14ac:dyDescent="0.25">
      <c r="A445" s="70">
        <f t="shared" si="13"/>
        <v>41</v>
      </c>
      <c r="B445" s="6">
        <v>43536</v>
      </c>
      <c r="C445" s="6" t="s">
        <v>1008</v>
      </c>
      <c r="D445" s="113" t="s">
        <v>1183</v>
      </c>
      <c r="E445" s="114" t="s">
        <v>1184</v>
      </c>
      <c r="F445" s="66">
        <v>2.08</v>
      </c>
      <c r="G445" s="30">
        <v>2387</v>
      </c>
      <c r="H445" s="10" t="s">
        <v>7</v>
      </c>
      <c r="I44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4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P</v>
      </c>
      <c r="K445" s="71"/>
      <c r="M445" s="71"/>
      <c r="N445" s="94"/>
      <c r="P445" s="89"/>
    </row>
    <row r="446" spans="1:16" x14ac:dyDescent="0.25">
      <c r="A446" s="70">
        <f t="shared" si="13"/>
        <v>42</v>
      </c>
      <c r="B446" s="6">
        <v>43537</v>
      </c>
      <c r="C446" s="6" t="s">
        <v>1008</v>
      </c>
      <c r="D446" s="7" t="s">
        <v>1185</v>
      </c>
      <c r="E446" s="8" t="s">
        <v>233</v>
      </c>
      <c r="F446" s="66">
        <v>5</v>
      </c>
      <c r="G446" s="30">
        <v>-115</v>
      </c>
      <c r="H446" s="10" t="s">
        <v>37</v>
      </c>
      <c r="I44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44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46" s="71"/>
      <c r="M446" s="71"/>
      <c r="N446" s="94"/>
      <c r="P446" s="89"/>
    </row>
    <row r="447" spans="1:16" x14ac:dyDescent="0.25">
      <c r="A447" s="70">
        <f t="shared" si="13"/>
        <v>42</v>
      </c>
      <c r="B447" s="6">
        <v>43537</v>
      </c>
      <c r="C447" s="6" t="s">
        <v>1008</v>
      </c>
      <c r="D447" s="7" t="s">
        <v>1185</v>
      </c>
      <c r="E447" s="8" t="s">
        <v>1186</v>
      </c>
      <c r="F447" s="66">
        <v>5</v>
      </c>
      <c r="G447" s="30">
        <v>-110</v>
      </c>
      <c r="H447" s="10" t="s">
        <v>7</v>
      </c>
      <c r="I44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4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47" s="71"/>
      <c r="M447" s="71"/>
      <c r="N447" s="94"/>
      <c r="P447" s="89"/>
    </row>
    <row r="448" spans="1:16" x14ac:dyDescent="0.25">
      <c r="A448" s="70">
        <f t="shared" si="13"/>
        <v>42</v>
      </c>
      <c r="B448" s="6">
        <v>43537</v>
      </c>
      <c r="C448" s="6" t="s">
        <v>1008</v>
      </c>
      <c r="D448" s="7" t="s">
        <v>1187</v>
      </c>
      <c r="E448" s="8" t="s">
        <v>350</v>
      </c>
      <c r="F448" s="66">
        <v>5</v>
      </c>
      <c r="G448" s="30">
        <v>-105</v>
      </c>
      <c r="H448" s="10" t="s">
        <v>37</v>
      </c>
      <c r="I44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44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48" s="71"/>
      <c r="M448" s="71"/>
      <c r="N448" s="94"/>
      <c r="P448" s="89"/>
    </row>
    <row r="449" spans="1:16" x14ac:dyDescent="0.25">
      <c r="A449" s="70">
        <f t="shared" si="13"/>
        <v>42</v>
      </c>
      <c r="B449" s="6">
        <v>43537</v>
      </c>
      <c r="C449" s="6" t="s">
        <v>1008</v>
      </c>
      <c r="D449" s="7" t="s">
        <v>1187</v>
      </c>
      <c r="E449" s="8" t="s">
        <v>1188</v>
      </c>
      <c r="F449" s="66">
        <v>5</v>
      </c>
      <c r="G449" s="30">
        <v>-105</v>
      </c>
      <c r="H449" s="10" t="s">
        <v>7</v>
      </c>
      <c r="I44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4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49" s="71"/>
      <c r="M449" s="71"/>
      <c r="N449" s="94"/>
      <c r="P449" s="89"/>
    </row>
    <row r="450" spans="1:16" x14ac:dyDescent="0.25">
      <c r="A450" s="70">
        <f t="shared" si="13"/>
        <v>42</v>
      </c>
      <c r="B450" s="6">
        <v>43537</v>
      </c>
      <c r="C450" s="6" t="s">
        <v>1008</v>
      </c>
      <c r="D450" s="7" t="s">
        <v>1189</v>
      </c>
      <c r="E450" s="8" t="s">
        <v>134</v>
      </c>
      <c r="F450" s="66">
        <v>5</v>
      </c>
      <c r="G450" s="30">
        <v>-115</v>
      </c>
      <c r="H450" s="10" t="s">
        <v>7</v>
      </c>
      <c r="I45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5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50" s="71"/>
      <c r="M450" s="71"/>
      <c r="N450" s="94"/>
      <c r="P450" s="89"/>
    </row>
    <row r="451" spans="1:16" x14ac:dyDescent="0.25">
      <c r="A451" s="70">
        <f t="shared" si="13"/>
        <v>42</v>
      </c>
      <c r="B451" s="6">
        <v>43537</v>
      </c>
      <c r="C451" s="6" t="s">
        <v>1008</v>
      </c>
      <c r="D451" s="7" t="s">
        <v>1189</v>
      </c>
      <c r="E451" s="8" t="s">
        <v>1190</v>
      </c>
      <c r="F451" s="66">
        <v>5</v>
      </c>
      <c r="G451" s="30">
        <v>-110</v>
      </c>
      <c r="H451" s="10" t="s">
        <v>37</v>
      </c>
      <c r="I45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5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51" s="71"/>
      <c r="M451" s="71"/>
      <c r="N451" s="94"/>
      <c r="P451" s="89"/>
    </row>
    <row r="452" spans="1:16" x14ac:dyDescent="0.25">
      <c r="A452" s="70">
        <f t="shared" si="13"/>
        <v>42</v>
      </c>
      <c r="B452" s="6">
        <v>43537</v>
      </c>
      <c r="C452" s="6" t="s">
        <v>1008</v>
      </c>
      <c r="D452" s="7" t="s">
        <v>1191</v>
      </c>
      <c r="E452" s="8" t="s">
        <v>174</v>
      </c>
      <c r="F452" s="66">
        <v>5</v>
      </c>
      <c r="G452" s="30">
        <v>-110</v>
      </c>
      <c r="H452" s="10" t="s">
        <v>37</v>
      </c>
      <c r="I45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5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52" s="71"/>
      <c r="M452" s="71"/>
      <c r="N452" s="94"/>
      <c r="P452" s="89"/>
    </row>
    <row r="453" spans="1:16" x14ac:dyDescent="0.25">
      <c r="A453" s="70">
        <f t="shared" si="13"/>
        <v>42</v>
      </c>
      <c r="B453" s="6">
        <v>43537</v>
      </c>
      <c r="C453" s="6" t="s">
        <v>1008</v>
      </c>
      <c r="D453" s="7" t="s">
        <v>1191</v>
      </c>
      <c r="E453" s="8" t="s">
        <v>1192</v>
      </c>
      <c r="F453" s="66">
        <v>5</v>
      </c>
      <c r="G453" s="30">
        <v>-110</v>
      </c>
      <c r="H453" s="10" t="s">
        <v>37</v>
      </c>
      <c r="I45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5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53" s="71"/>
      <c r="M453" s="71"/>
      <c r="N453" s="94"/>
      <c r="P453" s="89"/>
    </row>
    <row r="454" spans="1:16" x14ac:dyDescent="0.25">
      <c r="A454" s="70">
        <f t="shared" ref="A454:A517" si="14">IF(B454=B453,A453,A453+1)</f>
        <v>42</v>
      </c>
      <c r="B454" s="6">
        <v>43537</v>
      </c>
      <c r="C454" s="6" t="s">
        <v>1008</v>
      </c>
      <c r="D454" s="7" t="s">
        <v>1193</v>
      </c>
      <c r="E454" s="8" t="s">
        <v>1194</v>
      </c>
      <c r="F454" s="66">
        <v>5</v>
      </c>
      <c r="G454" s="30">
        <v>-110</v>
      </c>
      <c r="H454" s="10" t="s">
        <v>7</v>
      </c>
      <c r="I45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5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54" s="71"/>
      <c r="M454" s="71"/>
      <c r="N454" s="94"/>
      <c r="P454" s="89"/>
    </row>
    <row r="455" spans="1:16" ht="75" x14ac:dyDescent="0.25">
      <c r="A455" s="70">
        <f t="shared" si="14"/>
        <v>42</v>
      </c>
      <c r="B455" s="6">
        <v>43537</v>
      </c>
      <c r="C455" s="6" t="s">
        <v>1008</v>
      </c>
      <c r="D455" s="113" t="s">
        <v>1195</v>
      </c>
      <c r="E455" s="114" t="s">
        <v>1196</v>
      </c>
      <c r="F455" s="66">
        <v>1.88</v>
      </c>
      <c r="G455" s="30">
        <v>1601</v>
      </c>
      <c r="H455" s="10" t="s">
        <v>7</v>
      </c>
      <c r="I45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5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P</v>
      </c>
      <c r="K455" s="71"/>
      <c r="M455" s="71"/>
      <c r="N455" s="94"/>
      <c r="P455" s="89"/>
    </row>
    <row r="456" spans="1:16" x14ac:dyDescent="0.25">
      <c r="A456" s="70">
        <f t="shared" si="14"/>
        <v>43</v>
      </c>
      <c r="B456" s="6">
        <v>43538</v>
      </c>
      <c r="C456" s="6" t="s">
        <v>1008</v>
      </c>
      <c r="D456" s="7" t="s">
        <v>1197</v>
      </c>
      <c r="E456" s="8" t="s">
        <v>123</v>
      </c>
      <c r="F456" s="66">
        <v>5</v>
      </c>
      <c r="G456" s="30">
        <v>-115</v>
      </c>
      <c r="H456" s="10" t="s">
        <v>69</v>
      </c>
      <c r="I45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5</v>
      </c>
      <c r="J45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56" s="71"/>
      <c r="M456" s="71"/>
      <c r="N456" s="94"/>
      <c r="P456" s="89"/>
    </row>
    <row r="457" spans="1:16" x14ac:dyDescent="0.25">
      <c r="A457" s="70">
        <f t="shared" si="14"/>
        <v>43</v>
      </c>
      <c r="B457" s="6">
        <v>43538</v>
      </c>
      <c r="C457" s="6" t="s">
        <v>1008</v>
      </c>
      <c r="D457" s="7" t="s">
        <v>1197</v>
      </c>
      <c r="E457" s="8" t="s">
        <v>1198</v>
      </c>
      <c r="F457" s="66">
        <v>5</v>
      </c>
      <c r="G457" s="30">
        <v>-350</v>
      </c>
      <c r="H457" s="10" t="s">
        <v>37</v>
      </c>
      <c r="I45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6.4285714285714288</v>
      </c>
      <c r="J45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MF</v>
      </c>
      <c r="K457" s="71"/>
      <c r="M457" s="71"/>
      <c r="N457" s="94"/>
      <c r="P457" s="89"/>
    </row>
    <row r="458" spans="1:16" x14ac:dyDescent="0.25">
      <c r="A458" s="70">
        <f t="shared" si="14"/>
        <v>43</v>
      </c>
      <c r="B458" s="6">
        <v>43538</v>
      </c>
      <c r="C458" s="6" t="s">
        <v>1008</v>
      </c>
      <c r="D458" s="7" t="s">
        <v>1199</v>
      </c>
      <c r="E458" s="8" t="s">
        <v>1200</v>
      </c>
      <c r="F458" s="66">
        <v>5</v>
      </c>
      <c r="G458" s="30">
        <v>-105</v>
      </c>
      <c r="H458" s="10" t="s">
        <v>37</v>
      </c>
      <c r="I45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9.7619047619047628</v>
      </c>
      <c r="J45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58" s="71"/>
      <c r="M458" s="71"/>
      <c r="N458" s="94"/>
      <c r="P458" s="89"/>
    </row>
    <row r="459" spans="1:16" x14ac:dyDescent="0.25">
      <c r="A459" s="70">
        <f t="shared" si="14"/>
        <v>43</v>
      </c>
      <c r="B459" s="6">
        <v>43538</v>
      </c>
      <c r="C459" s="6" t="s">
        <v>1008</v>
      </c>
      <c r="D459" s="7" t="s">
        <v>1201</v>
      </c>
      <c r="E459" s="8" t="s">
        <v>224</v>
      </c>
      <c r="F459" s="66">
        <v>5</v>
      </c>
      <c r="G459" s="30">
        <v>-115</v>
      </c>
      <c r="H459" s="10" t="s">
        <v>7</v>
      </c>
      <c r="I45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5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59" s="71"/>
      <c r="M459" s="71"/>
      <c r="N459" s="94"/>
      <c r="P459" s="89"/>
    </row>
    <row r="460" spans="1:16" x14ac:dyDescent="0.25">
      <c r="A460" s="70">
        <f t="shared" si="14"/>
        <v>43</v>
      </c>
      <c r="B460" s="6">
        <v>43538</v>
      </c>
      <c r="C460" s="6" t="s">
        <v>1008</v>
      </c>
      <c r="D460" s="7" t="s">
        <v>1201</v>
      </c>
      <c r="E460" s="8" t="s">
        <v>1202</v>
      </c>
      <c r="F460" s="66">
        <v>5</v>
      </c>
      <c r="G460" s="30">
        <v>-320</v>
      </c>
      <c r="H460" s="10" t="s">
        <v>37</v>
      </c>
      <c r="I46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6.5625</v>
      </c>
      <c r="J46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MF</v>
      </c>
      <c r="K460" s="71"/>
      <c r="M460" s="71"/>
      <c r="N460" s="94"/>
      <c r="P460" s="89"/>
    </row>
    <row r="461" spans="1:16" x14ac:dyDescent="0.25">
      <c r="A461" s="70">
        <f t="shared" si="14"/>
        <v>43</v>
      </c>
      <c r="B461" s="6">
        <v>43538</v>
      </c>
      <c r="C461" s="6" t="s">
        <v>1008</v>
      </c>
      <c r="D461" s="7" t="s">
        <v>1203</v>
      </c>
      <c r="E461" s="8" t="s">
        <v>350</v>
      </c>
      <c r="F461" s="66">
        <v>5</v>
      </c>
      <c r="G461" s="30">
        <v>-115</v>
      </c>
      <c r="H461" s="10" t="s">
        <v>37</v>
      </c>
      <c r="I46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46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61" s="71"/>
      <c r="M461" s="71"/>
      <c r="N461" s="94"/>
      <c r="P461" s="89"/>
    </row>
    <row r="462" spans="1:16" x14ac:dyDescent="0.25">
      <c r="A462" s="70">
        <f t="shared" si="14"/>
        <v>43</v>
      </c>
      <c r="B462" s="6">
        <v>43538</v>
      </c>
      <c r="C462" s="6" t="s">
        <v>1008</v>
      </c>
      <c r="D462" s="7" t="s">
        <v>1203</v>
      </c>
      <c r="E462" s="8" t="s">
        <v>200</v>
      </c>
      <c r="F462" s="66">
        <v>5</v>
      </c>
      <c r="G462" s="30">
        <v>-470</v>
      </c>
      <c r="H462" s="10" t="s">
        <v>37</v>
      </c>
      <c r="I46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6.0638297872340425</v>
      </c>
      <c r="J46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MF</v>
      </c>
      <c r="K462" s="71"/>
      <c r="M462" s="71"/>
      <c r="N462" s="94"/>
      <c r="P462" s="89"/>
    </row>
    <row r="463" spans="1:16" x14ac:dyDescent="0.25">
      <c r="A463" s="70">
        <f t="shared" si="14"/>
        <v>43</v>
      </c>
      <c r="B463" s="6">
        <v>43538</v>
      </c>
      <c r="C463" s="6" t="s">
        <v>1008</v>
      </c>
      <c r="D463" s="7" t="s">
        <v>1204</v>
      </c>
      <c r="E463" s="8" t="s">
        <v>288</v>
      </c>
      <c r="F463" s="66">
        <v>5</v>
      </c>
      <c r="G463" s="30">
        <v>-110</v>
      </c>
      <c r="H463" s="10" t="s">
        <v>37</v>
      </c>
      <c r="I46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6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63" s="71"/>
      <c r="M463" s="71"/>
      <c r="N463" s="94"/>
      <c r="P463" s="89"/>
    </row>
    <row r="464" spans="1:16" x14ac:dyDescent="0.25">
      <c r="A464" s="70">
        <f t="shared" si="14"/>
        <v>43</v>
      </c>
      <c r="B464" s="6">
        <v>43538</v>
      </c>
      <c r="C464" s="6" t="s">
        <v>1008</v>
      </c>
      <c r="D464" s="7" t="s">
        <v>1204</v>
      </c>
      <c r="E464" s="8" t="s">
        <v>1205</v>
      </c>
      <c r="F464" s="66">
        <v>5</v>
      </c>
      <c r="G464" s="30">
        <v>-110</v>
      </c>
      <c r="H464" s="10" t="s">
        <v>37</v>
      </c>
      <c r="I46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6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64" s="71"/>
      <c r="M464" s="71"/>
      <c r="N464" s="94"/>
      <c r="P464" s="89"/>
    </row>
    <row r="465" spans="1:16" x14ac:dyDescent="0.25">
      <c r="A465" s="70">
        <f t="shared" si="14"/>
        <v>43</v>
      </c>
      <c r="B465" s="6">
        <v>43538</v>
      </c>
      <c r="C465" s="6" t="s">
        <v>1008</v>
      </c>
      <c r="D465" s="7" t="s">
        <v>1204</v>
      </c>
      <c r="E465" s="8" t="s">
        <v>804</v>
      </c>
      <c r="F465" s="66">
        <v>5</v>
      </c>
      <c r="G465" s="30">
        <v>-350</v>
      </c>
      <c r="H465" s="10" t="s">
        <v>37</v>
      </c>
      <c r="I46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6.4285714285714288</v>
      </c>
      <c r="J46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MF</v>
      </c>
      <c r="K465" s="71"/>
      <c r="M465" s="71"/>
      <c r="N465" s="94"/>
      <c r="P465" s="89"/>
    </row>
    <row r="466" spans="1:16" x14ac:dyDescent="0.25">
      <c r="A466" s="70">
        <f t="shared" si="14"/>
        <v>43</v>
      </c>
      <c r="B466" s="6">
        <v>43538</v>
      </c>
      <c r="C466" s="6" t="s">
        <v>1008</v>
      </c>
      <c r="D466" s="7" t="s">
        <v>133</v>
      </c>
      <c r="E466" s="8" t="s">
        <v>283</v>
      </c>
      <c r="F466" s="66">
        <v>5</v>
      </c>
      <c r="G466" s="30">
        <v>-115</v>
      </c>
      <c r="H466" s="10" t="s">
        <v>37</v>
      </c>
      <c r="I46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46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66" s="71"/>
      <c r="M466" s="71"/>
      <c r="N466" s="94"/>
      <c r="P466" s="89"/>
    </row>
    <row r="467" spans="1:16" x14ac:dyDescent="0.25">
      <c r="A467" s="70">
        <f t="shared" si="14"/>
        <v>43</v>
      </c>
      <c r="B467" s="6">
        <v>43538</v>
      </c>
      <c r="C467" s="6" t="s">
        <v>1008</v>
      </c>
      <c r="D467" s="7" t="s">
        <v>133</v>
      </c>
      <c r="E467" s="8" t="s">
        <v>195</v>
      </c>
      <c r="F467" s="66">
        <v>5</v>
      </c>
      <c r="G467" s="30">
        <v>-800</v>
      </c>
      <c r="H467" s="10" t="s">
        <v>37</v>
      </c>
      <c r="I46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5.625</v>
      </c>
      <c r="J46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MF</v>
      </c>
      <c r="K467" s="71"/>
      <c r="M467" s="71"/>
      <c r="N467" s="94"/>
      <c r="P467" s="89"/>
    </row>
    <row r="468" spans="1:16" x14ac:dyDescent="0.25">
      <c r="A468" s="70">
        <f t="shared" si="14"/>
        <v>44</v>
      </c>
      <c r="B468" s="6">
        <v>43539</v>
      </c>
      <c r="C468" s="6" t="s">
        <v>1008</v>
      </c>
      <c r="D468" s="7" t="s">
        <v>1215</v>
      </c>
      <c r="E468" s="8" t="s">
        <v>350</v>
      </c>
      <c r="F468" s="66">
        <v>5</v>
      </c>
      <c r="G468" s="30">
        <v>-110</v>
      </c>
      <c r="H468" s="10" t="s">
        <v>37</v>
      </c>
      <c r="I46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6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68" s="71"/>
      <c r="M468" s="71"/>
      <c r="N468" s="94"/>
      <c r="P468" s="89"/>
    </row>
    <row r="469" spans="1:16" x14ac:dyDescent="0.25">
      <c r="A469" s="70">
        <f t="shared" si="14"/>
        <v>44</v>
      </c>
      <c r="B469" s="6">
        <v>43539</v>
      </c>
      <c r="C469" s="6" t="s">
        <v>1008</v>
      </c>
      <c r="D469" s="7" t="s">
        <v>1216</v>
      </c>
      <c r="E469" s="8" t="s">
        <v>1217</v>
      </c>
      <c r="F469" s="66">
        <v>5</v>
      </c>
      <c r="G469" s="30">
        <v>-110</v>
      </c>
      <c r="H469" s="10" t="s">
        <v>7</v>
      </c>
      <c r="I46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6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69" s="71"/>
      <c r="M469" s="71"/>
      <c r="N469" s="94"/>
      <c r="P469" s="89"/>
    </row>
    <row r="470" spans="1:16" x14ac:dyDescent="0.25">
      <c r="A470" s="70">
        <f t="shared" si="14"/>
        <v>44</v>
      </c>
      <c r="B470" s="6">
        <v>43539</v>
      </c>
      <c r="C470" s="6" t="s">
        <v>1008</v>
      </c>
      <c r="D470" s="7" t="s">
        <v>201</v>
      </c>
      <c r="E470" s="8" t="s">
        <v>492</v>
      </c>
      <c r="F470" s="66">
        <v>5</v>
      </c>
      <c r="G470" s="30">
        <v>-115</v>
      </c>
      <c r="H470" s="10" t="s">
        <v>37</v>
      </c>
      <c r="I47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47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70" s="71"/>
      <c r="M470" s="71"/>
      <c r="N470" s="94"/>
      <c r="P470" s="89"/>
    </row>
    <row r="471" spans="1:16" x14ac:dyDescent="0.25">
      <c r="A471" s="70">
        <f t="shared" si="14"/>
        <v>44</v>
      </c>
      <c r="B471" s="6">
        <v>43539</v>
      </c>
      <c r="C471" s="6" t="s">
        <v>1008</v>
      </c>
      <c r="D471" s="7" t="s">
        <v>201</v>
      </c>
      <c r="E471" s="8" t="s">
        <v>1218</v>
      </c>
      <c r="F471" s="66">
        <v>5</v>
      </c>
      <c r="G471" s="30">
        <v>-105</v>
      </c>
      <c r="H471" s="10" t="s">
        <v>7</v>
      </c>
      <c r="I47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7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71" s="71"/>
      <c r="M471" s="71"/>
      <c r="N471" s="94"/>
      <c r="P471" s="89"/>
    </row>
    <row r="472" spans="1:16" x14ac:dyDescent="0.25">
      <c r="A472" s="70">
        <f t="shared" si="14"/>
        <v>44</v>
      </c>
      <c r="B472" s="6">
        <v>43539</v>
      </c>
      <c r="C472" s="6" t="s">
        <v>1008</v>
      </c>
      <c r="D472" s="7" t="s">
        <v>1219</v>
      </c>
      <c r="E472" s="8" t="s">
        <v>496</v>
      </c>
      <c r="F472" s="66">
        <v>5</v>
      </c>
      <c r="G472" s="30">
        <v>-115</v>
      </c>
      <c r="H472" s="10" t="s">
        <v>37</v>
      </c>
      <c r="I47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9.3478260869565215</v>
      </c>
      <c r="J47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72" s="71"/>
      <c r="M472" s="71"/>
      <c r="N472" s="94"/>
      <c r="P472" s="89"/>
    </row>
    <row r="473" spans="1:16" x14ac:dyDescent="0.25">
      <c r="A473" s="70">
        <f t="shared" si="14"/>
        <v>44</v>
      </c>
      <c r="B473" s="6">
        <v>43539</v>
      </c>
      <c r="C473" s="6" t="s">
        <v>1008</v>
      </c>
      <c r="D473" s="7" t="s">
        <v>1219</v>
      </c>
      <c r="E473" s="8" t="s">
        <v>1220</v>
      </c>
      <c r="F473" s="66">
        <v>5</v>
      </c>
      <c r="G473" s="30">
        <v>-105</v>
      </c>
      <c r="H473" s="10" t="s">
        <v>7</v>
      </c>
      <c r="I47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7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73" s="71"/>
      <c r="M473" s="71"/>
      <c r="N473" s="94"/>
      <c r="P473" s="89"/>
    </row>
    <row r="474" spans="1:16" x14ac:dyDescent="0.25">
      <c r="A474" s="70">
        <f t="shared" si="14"/>
        <v>44</v>
      </c>
      <c r="B474" s="6">
        <v>43539</v>
      </c>
      <c r="C474" s="6" t="s">
        <v>1008</v>
      </c>
      <c r="D474" s="7" t="s">
        <v>1221</v>
      </c>
      <c r="E474" s="8" t="s">
        <v>230</v>
      </c>
      <c r="F474" s="66">
        <v>5</v>
      </c>
      <c r="G474" s="30">
        <v>-105</v>
      </c>
      <c r="H474" s="10" t="s">
        <v>7</v>
      </c>
      <c r="I47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7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74" s="71"/>
      <c r="M474" s="71"/>
      <c r="N474" s="94"/>
      <c r="P474" s="89"/>
    </row>
    <row r="475" spans="1:16" x14ac:dyDescent="0.25">
      <c r="A475" s="70">
        <f t="shared" si="14"/>
        <v>44</v>
      </c>
      <c r="B475" s="6">
        <v>43539</v>
      </c>
      <c r="C475" s="6" t="s">
        <v>1008</v>
      </c>
      <c r="D475" s="7" t="s">
        <v>1221</v>
      </c>
      <c r="E475" s="8" t="s">
        <v>1222</v>
      </c>
      <c r="F475" s="66">
        <v>5</v>
      </c>
      <c r="G475" s="30">
        <v>-110</v>
      </c>
      <c r="H475" s="10" t="s">
        <v>7</v>
      </c>
      <c r="I47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7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75" s="71"/>
      <c r="M475" s="71"/>
      <c r="N475" s="94"/>
      <c r="P475" s="89"/>
    </row>
    <row r="476" spans="1:16" x14ac:dyDescent="0.25">
      <c r="A476" s="70">
        <f t="shared" si="14"/>
        <v>44</v>
      </c>
      <c r="B476" s="6">
        <v>43539</v>
      </c>
      <c r="C476" s="6" t="s">
        <v>1008</v>
      </c>
      <c r="D476" s="7" t="s">
        <v>1221</v>
      </c>
      <c r="E476" s="8" t="s">
        <v>205</v>
      </c>
      <c r="F476" s="66">
        <v>5</v>
      </c>
      <c r="G476" s="30">
        <v>-1600</v>
      </c>
      <c r="H476" s="10" t="s">
        <v>37</v>
      </c>
      <c r="I47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5.3125</v>
      </c>
      <c r="J47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MF</v>
      </c>
      <c r="K476" s="71"/>
      <c r="M476" s="71"/>
      <c r="N476" s="94"/>
      <c r="P476" s="89"/>
    </row>
    <row r="477" spans="1:16" x14ac:dyDescent="0.25">
      <c r="A477" s="70">
        <f t="shared" si="14"/>
        <v>44</v>
      </c>
      <c r="B477" s="6">
        <v>43539</v>
      </c>
      <c r="C477" s="6" t="s">
        <v>1008</v>
      </c>
      <c r="D477" s="7" t="s">
        <v>1223</v>
      </c>
      <c r="E477" s="8" t="s">
        <v>227</v>
      </c>
      <c r="F477" s="66">
        <v>5</v>
      </c>
      <c r="G477" s="30">
        <v>-115</v>
      </c>
      <c r="H477" s="10" t="s">
        <v>7</v>
      </c>
      <c r="I47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7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77" s="71"/>
      <c r="M477" s="71"/>
      <c r="N477" s="94"/>
      <c r="P477" s="89"/>
    </row>
    <row r="478" spans="1:16" x14ac:dyDescent="0.25">
      <c r="A478" s="70">
        <f t="shared" si="14"/>
        <v>44</v>
      </c>
      <c r="B478" s="6">
        <v>43539</v>
      </c>
      <c r="C478" s="6" t="s">
        <v>1008</v>
      </c>
      <c r="D478" s="7" t="s">
        <v>1223</v>
      </c>
      <c r="E478" s="8" t="s">
        <v>1224</v>
      </c>
      <c r="F478" s="66">
        <v>5</v>
      </c>
      <c r="G478" s="30">
        <v>-110</v>
      </c>
      <c r="H478" s="10" t="s">
        <v>37</v>
      </c>
      <c r="I47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9.5454545454545467</v>
      </c>
      <c r="J47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78" s="71"/>
      <c r="M478" s="71"/>
      <c r="N478" s="94"/>
      <c r="P478" s="89"/>
    </row>
    <row r="479" spans="1:16" x14ac:dyDescent="0.25">
      <c r="A479" s="70">
        <f t="shared" si="14"/>
        <v>45</v>
      </c>
      <c r="B479" s="6">
        <v>43549</v>
      </c>
      <c r="C479" s="6" t="s">
        <v>1008</v>
      </c>
      <c r="D479" s="7" t="s">
        <v>1256</v>
      </c>
      <c r="E479" s="8" t="s">
        <v>384</v>
      </c>
      <c r="F479" s="66">
        <v>5.5</v>
      </c>
      <c r="G479" s="30">
        <v>-110</v>
      </c>
      <c r="H479" s="10" t="s">
        <v>7</v>
      </c>
      <c r="I47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7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79" s="71"/>
      <c r="M479" s="71"/>
      <c r="N479" s="94"/>
      <c r="P479" s="89"/>
    </row>
    <row r="480" spans="1:16" x14ac:dyDescent="0.25">
      <c r="A480" s="70">
        <f t="shared" si="14"/>
        <v>45</v>
      </c>
      <c r="B480" s="6">
        <v>43549</v>
      </c>
      <c r="C480" s="6" t="s">
        <v>1008</v>
      </c>
      <c r="D480" s="7" t="s">
        <v>1257</v>
      </c>
      <c r="E480" s="8" t="s">
        <v>230</v>
      </c>
      <c r="F480" s="66">
        <v>5.75</v>
      </c>
      <c r="G480" s="30">
        <v>-115</v>
      </c>
      <c r="H480" s="10" t="s">
        <v>37</v>
      </c>
      <c r="I48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10.75</v>
      </c>
      <c r="J48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80" s="71"/>
      <c r="M480" s="71"/>
      <c r="N480" s="94"/>
      <c r="P480" s="89"/>
    </row>
    <row r="481" spans="1:16" x14ac:dyDescent="0.25">
      <c r="A481" s="70">
        <f t="shared" si="14"/>
        <v>45</v>
      </c>
      <c r="B481" s="6">
        <v>43549</v>
      </c>
      <c r="C481" s="6" t="s">
        <v>1008</v>
      </c>
      <c r="D481" s="7" t="s">
        <v>1257</v>
      </c>
      <c r="E481" s="8" t="s">
        <v>1258</v>
      </c>
      <c r="F481" s="66">
        <v>5.5</v>
      </c>
      <c r="G481" s="30">
        <v>-110</v>
      </c>
      <c r="H481" s="10" t="s">
        <v>37</v>
      </c>
      <c r="I48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10.5</v>
      </c>
      <c r="J48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81" s="71"/>
      <c r="M481" s="71"/>
      <c r="N481" s="94"/>
      <c r="P481" s="89"/>
    </row>
    <row r="482" spans="1:16" x14ac:dyDescent="0.25">
      <c r="A482" s="70">
        <f t="shared" si="14"/>
        <v>45</v>
      </c>
      <c r="B482" s="6">
        <v>43549</v>
      </c>
      <c r="C482" s="6" t="s">
        <v>1008</v>
      </c>
      <c r="D482" s="7" t="s">
        <v>803</v>
      </c>
      <c r="E482" s="8" t="s">
        <v>230</v>
      </c>
      <c r="F482" s="66">
        <v>5.75</v>
      </c>
      <c r="G482" s="30">
        <v>-115</v>
      </c>
      <c r="H482" s="10" t="s">
        <v>37</v>
      </c>
      <c r="I48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10.75</v>
      </c>
      <c r="J48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82" s="71"/>
      <c r="M482" s="71"/>
      <c r="N482" s="94"/>
      <c r="P482" s="89"/>
    </row>
    <row r="483" spans="1:16" x14ac:dyDescent="0.25">
      <c r="A483" s="70">
        <f t="shared" si="14"/>
        <v>45</v>
      </c>
      <c r="B483" s="6">
        <v>43549</v>
      </c>
      <c r="C483" s="6" t="s">
        <v>1008</v>
      </c>
      <c r="D483" s="7" t="s">
        <v>803</v>
      </c>
      <c r="E483" s="8" t="s">
        <v>1259</v>
      </c>
      <c r="F483" s="66">
        <v>5.5</v>
      </c>
      <c r="G483" s="30">
        <v>-110</v>
      </c>
      <c r="H483" s="10" t="s">
        <v>7</v>
      </c>
      <c r="I48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8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83" s="71"/>
      <c r="M483" s="71"/>
      <c r="N483" s="94"/>
      <c r="P483" s="89"/>
    </row>
    <row r="484" spans="1:16" x14ac:dyDescent="0.25">
      <c r="A484" s="70">
        <f t="shared" si="14"/>
        <v>45</v>
      </c>
      <c r="B484" s="6">
        <v>43549</v>
      </c>
      <c r="C484" s="6" t="s">
        <v>1008</v>
      </c>
      <c r="D484" s="7" t="s">
        <v>1260</v>
      </c>
      <c r="E484" s="8" t="s">
        <v>1261</v>
      </c>
      <c r="F484" s="66">
        <v>5.5</v>
      </c>
      <c r="G484" s="30">
        <v>-110</v>
      </c>
      <c r="H484" s="10" t="s">
        <v>37</v>
      </c>
      <c r="I48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10.5</v>
      </c>
      <c r="J48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84" s="71"/>
      <c r="M484" s="71"/>
      <c r="N484" s="94"/>
      <c r="P484" s="89"/>
    </row>
    <row r="485" spans="1:16" x14ac:dyDescent="0.25">
      <c r="A485" s="70">
        <f t="shared" si="14"/>
        <v>45</v>
      </c>
      <c r="B485" s="6">
        <v>43549</v>
      </c>
      <c r="C485" s="6" t="s">
        <v>1008</v>
      </c>
      <c r="D485" s="7" t="s">
        <v>1260</v>
      </c>
      <c r="E485" s="8" t="s">
        <v>116</v>
      </c>
      <c r="F485" s="66">
        <v>5.75</v>
      </c>
      <c r="G485" s="30">
        <v>-115</v>
      </c>
      <c r="H485" s="10" t="s">
        <v>7</v>
      </c>
      <c r="I48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8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85" s="71"/>
      <c r="M485" s="71"/>
      <c r="N485" s="94"/>
      <c r="P485" s="89"/>
    </row>
    <row r="486" spans="1:16" x14ac:dyDescent="0.25">
      <c r="A486" s="70">
        <f t="shared" si="14"/>
        <v>46</v>
      </c>
      <c r="B486" s="6">
        <v>43550</v>
      </c>
      <c r="C486" s="6" t="s">
        <v>1008</v>
      </c>
      <c r="D486" s="7" t="s">
        <v>1277</v>
      </c>
      <c r="E486" s="8" t="s">
        <v>230</v>
      </c>
      <c r="F486" s="66">
        <v>5.25</v>
      </c>
      <c r="G486" s="30">
        <v>-105</v>
      </c>
      <c r="H486" s="10" t="s">
        <v>37</v>
      </c>
      <c r="I48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10.25</v>
      </c>
      <c r="J48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86" s="71"/>
      <c r="M486" s="71"/>
      <c r="N486" s="94"/>
      <c r="P486" s="89"/>
    </row>
    <row r="487" spans="1:16" x14ac:dyDescent="0.25">
      <c r="A487" s="70">
        <f t="shared" si="14"/>
        <v>46</v>
      </c>
      <c r="B487" s="6">
        <v>43550</v>
      </c>
      <c r="C487" s="6" t="s">
        <v>1008</v>
      </c>
      <c r="D487" s="7" t="s">
        <v>1278</v>
      </c>
      <c r="E487" s="8" t="s">
        <v>1279</v>
      </c>
      <c r="F487" s="66">
        <v>5.5</v>
      </c>
      <c r="G487" s="30">
        <v>-110</v>
      </c>
      <c r="H487" s="10" t="s">
        <v>37</v>
      </c>
      <c r="I48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10.5</v>
      </c>
      <c r="J48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87" s="71"/>
      <c r="M487" s="71"/>
      <c r="N487" s="94"/>
      <c r="P487" s="89"/>
    </row>
    <row r="488" spans="1:16" x14ac:dyDescent="0.25">
      <c r="A488" s="70">
        <f t="shared" si="14"/>
        <v>46</v>
      </c>
      <c r="B488" s="6">
        <v>43550</v>
      </c>
      <c r="C488" s="6" t="s">
        <v>1008</v>
      </c>
      <c r="D488" s="7" t="s">
        <v>1280</v>
      </c>
      <c r="E488" s="8" t="s">
        <v>1281</v>
      </c>
      <c r="F488" s="66">
        <v>5.5</v>
      </c>
      <c r="G488" s="30">
        <v>-110</v>
      </c>
      <c r="H488" s="10" t="s">
        <v>7</v>
      </c>
      <c r="I48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8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88" s="71"/>
      <c r="M488" s="71"/>
      <c r="N488" s="94"/>
      <c r="P488" s="89"/>
    </row>
    <row r="489" spans="1:16" x14ac:dyDescent="0.25">
      <c r="A489" s="70">
        <f t="shared" si="14"/>
        <v>46</v>
      </c>
      <c r="B489" s="6">
        <v>43550</v>
      </c>
      <c r="C489" s="6" t="s">
        <v>1008</v>
      </c>
      <c r="D489" s="7" t="s">
        <v>1280</v>
      </c>
      <c r="E489" s="8" t="s">
        <v>1282</v>
      </c>
      <c r="F489" s="66">
        <v>5.25</v>
      </c>
      <c r="G489" s="30">
        <v>-105</v>
      </c>
      <c r="H489" s="10" t="s">
        <v>7</v>
      </c>
      <c r="I48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8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89" s="71"/>
      <c r="M489" s="71"/>
      <c r="N489" s="94"/>
      <c r="P489" s="89"/>
    </row>
    <row r="490" spans="1:16" x14ac:dyDescent="0.25">
      <c r="A490" s="70">
        <f t="shared" si="14"/>
        <v>46</v>
      </c>
      <c r="B490" s="6">
        <v>43550</v>
      </c>
      <c r="C490" s="6" t="s">
        <v>1008</v>
      </c>
      <c r="D490" s="7" t="s">
        <v>1283</v>
      </c>
      <c r="E490" s="8" t="s">
        <v>236</v>
      </c>
      <c r="F490" s="66">
        <v>5.5</v>
      </c>
      <c r="G490" s="30">
        <v>-110</v>
      </c>
      <c r="H490" s="10" t="s">
        <v>7</v>
      </c>
      <c r="I49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9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90" s="71"/>
      <c r="M490" s="71"/>
      <c r="N490" s="94"/>
      <c r="P490" s="89"/>
    </row>
    <row r="491" spans="1:16" x14ac:dyDescent="0.25">
      <c r="A491" s="70">
        <f t="shared" si="14"/>
        <v>46</v>
      </c>
      <c r="B491" s="6">
        <v>43550</v>
      </c>
      <c r="C491" s="6" t="s">
        <v>1008</v>
      </c>
      <c r="D491" s="7" t="s">
        <v>1284</v>
      </c>
      <c r="E491" s="8" t="s">
        <v>353</v>
      </c>
      <c r="F491" s="66">
        <v>5.5</v>
      </c>
      <c r="G491" s="30">
        <v>-110</v>
      </c>
      <c r="H491" s="10" t="s">
        <v>7</v>
      </c>
      <c r="I49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9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91" s="71"/>
      <c r="M491" s="71"/>
      <c r="N491" s="94"/>
      <c r="P491" s="89"/>
    </row>
    <row r="492" spans="1:16" x14ac:dyDescent="0.25">
      <c r="A492" s="70">
        <f t="shared" si="14"/>
        <v>46</v>
      </c>
      <c r="B492" s="6">
        <v>43550</v>
      </c>
      <c r="C492" s="6" t="s">
        <v>1008</v>
      </c>
      <c r="D492" s="7" t="s">
        <v>1285</v>
      </c>
      <c r="E492" s="8" t="s">
        <v>441</v>
      </c>
      <c r="F492" s="66">
        <v>5.5</v>
      </c>
      <c r="G492" s="30">
        <v>-110</v>
      </c>
      <c r="H492" s="10" t="s">
        <v>7</v>
      </c>
      <c r="I49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9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92" s="71"/>
      <c r="M492" s="71"/>
      <c r="N492" s="94"/>
      <c r="P492" s="89"/>
    </row>
    <row r="493" spans="1:16" x14ac:dyDescent="0.25">
      <c r="A493" s="70">
        <f t="shared" si="14"/>
        <v>46</v>
      </c>
      <c r="B493" s="6">
        <v>43550</v>
      </c>
      <c r="C493" s="6" t="s">
        <v>1008</v>
      </c>
      <c r="D493" s="7" t="s">
        <v>1285</v>
      </c>
      <c r="E493" s="8" t="s">
        <v>1286</v>
      </c>
      <c r="F493" s="66">
        <v>5.5</v>
      </c>
      <c r="G493" s="30">
        <v>-110</v>
      </c>
      <c r="H493" s="10" t="s">
        <v>7</v>
      </c>
      <c r="I49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9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93" s="71"/>
      <c r="M493" s="71"/>
      <c r="N493" s="94"/>
      <c r="P493" s="89"/>
    </row>
    <row r="494" spans="1:16" x14ac:dyDescent="0.25">
      <c r="A494" s="70">
        <f t="shared" si="14"/>
        <v>46</v>
      </c>
      <c r="B494" s="6">
        <v>43550</v>
      </c>
      <c r="C494" s="6" t="s">
        <v>1008</v>
      </c>
      <c r="D494" s="7" t="s">
        <v>1287</v>
      </c>
      <c r="E494" s="8" t="s">
        <v>131</v>
      </c>
      <c r="F494" s="66">
        <v>5.25</v>
      </c>
      <c r="G494" s="30">
        <v>-105</v>
      </c>
      <c r="H494" s="10" t="s">
        <v>37</v>
      </c>
      <c r="I49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10.25</v>
      </c>
      <c r="J49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494" s="71"/>
      <c r="M494" s="71"/>
      <c r="N494" s="94"/>
      <c r="P494" s="89"/>
    </row>
    <row r="495" spans="1:16" x14ac:dyDescent="0.25">
      <c r="A495" s="70">
        <f t="shared" si="14"/>
        <v>46</v>
      </c>
      <c r="B495" s="6">
        <v>43550</v>
      </c>
      <c r="C495" s="6" t="s">
        <v>1008</v>
      </c>
      <c r="D495" s="7" t="s">
        <v>1287</v>
      </c>
      <c r="E495" s="8" t="s">
        <v>1288</v>
      </c>
      <c r="F495" s="66">
        <v>5.5</v>
      </c>
      <c r="G495" s="30">
        <v>-110</v>
      </c>
      <c r="H495" s="10" t="s">
        <v>37</v>
      </c>
      <c r="I49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10.5</v>
      </c>
      <c r="J49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F</v>
      </c>
      <c r="K495" s="71"/>
      <c r="M495" s="71"/>
      <c r="N495" s="94"/>
      <c r="P495" s="89"/>
    </row>
    <row r="496" spans="1:16" x14ac:dyDescent="0.25">
      <c r="A496" s="70">
        <f t="shared" si="14"/>
        <v>47</v>
      </c>
      <c r="B496" s="6">
        <v>43551</v>
      </c>
      <c r="C496" s="6" t="s">
        <v>1008</v>
      </c>
      <c r="D496" s="7" t="s">
        <v>1309</v>
      </c>
      <c r="E496" s="8" t="s">
        <v>1310</v>
      </c>
      <c r="F496" s="66">
        <v>4</v>
      </c>
      <c r="G496" s="30">
        <v>-110</v>
      </c>
      <c r="H496" s="10" t="s">
        <v>7</v>
      </c>
      <c r="I496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96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96" s="71"/>
      <c r="M496" s="71"/>
      <c r="N496" s="94"/>
      <c r="P496" s="89"/>
    </row>
    <row r="497" spans="1:16" x14ac:dyDescent="0.25">
      <c r="A497" s="70">
        <f t="shared" si="14"/>
        <v>47</v>
      </c>
      <c r="B497" s="6">
        <v>43551</v>
      </c>
      <c r="C497" s="6" t="s">
        <v>1008</v>
      </c>
      <c r="D497" s="7" t="s">
        <v>1311</v>
      </c>
      <c r="E497" s="8" t="s">
        <v>1312</v>
      </c>
      <c r="F497" s="66">
        <v>4</v>
      </c>
      <c r="G497" s="30">
        <v>-110</v>
      </c>
      <c r="H497" s="10" t="s">
        <v>7</v>
      </c>
      <c r="I497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97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97" s="71"/>
      <c r="M497" s="71"/>
      <c r="N497" s="94"/>
      <c r="P497" s="89"/>
    </row>
    <row r="498" spans="1:16" x14ac:dyDescent="0.25">
      <c r="A498" s="70">
        <f t="shared" si="14"/>
        <v>47</v>
      </c>
      <c r="B498" s="6">
        <v>43551</v>
      </c>
      <c r="C498" s="6" t="s">
        <v>1008</v>
      </c>
      <c r="D498" s="7" t="s">
        <v>1311</v>
      </c>
      <c r="E498" s="8" t="s">
        <v>320</v>
      </c>
      <c r="F498" s="66">
        <v>4</v>
      </c>
      <c r="G498" s="30">
        <v>-110</v>
      </c>
      <c r="H498" s="10" t="s">
        <v>7</v>
      </c>
      <c r="I498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498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498" s="71"/>
      <c r="M498" s="71"/>
      <c r="N498" s="94"/>
      <c r="P498" s="89"/>
    </row>
    <row r="499" spans="1:16" x14ac:dyDescent="0.25">
      <c r="A499" s="70">
        <f t="shared" si="14"/>
        <v>47</v>
      </c>
      <c r="B499" s="6">
        <v>43551</v>
      </c>
      <c r="C499" s="6" t="s">
        <v>1008</v>
      </c>
      <c r="D499" s="7" t="s">
        <v>1313</v>
      </c>
      <c r="E499" s="8" t="s">
        <v>266</v>
      </c>
      <c r="F499" s="66">
        <v>4</v>
      </c>
      <c r="G499" s="30">
        <v>-115</v>
      </c>
      <c r="H499" s="10" t="s">
        <v>37</v>
      </c>
      <c r="I499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7.4782608695652169</v>
      </c>
      <c r="J499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499" s="71"/>
      <c r="M499" s="71"/>
      <c r="N499" s="94"/>
      <c r="P499" s="89"/>
    </row>
    <row r="500" spans="1:16" x14ac:dyDescent="0.25">
      <c r="A500" s="70">
        <f t="shared" si="14"/>
        <v>47</v>
      </c>
      <c r="B500" s="6">
        <v>43551</v>
      </c>
      <c r="C500" s="6" t="s">
        <v>1008</v>
      </c>
      <c r="D500" s="7" t="s">
        <v>1313</v>
      </c>
      <c r="E500" s="8" t="s">
        <v>1224</v>
      </c>
      <c r="F500" s="66">
        <v>4</v>
      </c>
      <c r="G500" s="30">
        <v>-115</v>
      </c>
      <c r="H500" s="10" t="s">
        <v>7</v>
      </c>
      <c r="I500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00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500" s="71"/>
      <c r="M500" s="71"/>
      <c r="N500" s="94"/>
      <c r="P500" s="89"/>
    </row>
    <row r="501" spans="1:16" x14ac:dyDescent="0.25">
      <c r="A501" s="70">
        <f t="shared" si="14"/>
        <v>48</v>
      </c>
      <c r="B501" s="6">
        <v>43552</v>
      </c>
      <c r="C501" s="6" t="s">
        <v>1008</v>
      </c>
      <c r="D501" s="7" t="s">
        <v>410</v>
      </c>
      <c r="E501" s="8" t="s">
        <v>693</v>
      </c>
      <c r="F501" s="66">
        <v>4</v>
      </c>
      <c r="G501" s="30">
        <v>-115</v>
      </c>
      <c r="H501" s="10" t="s">
        <v>37</v>
      </c>
      <c r="I501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7.4782608695652169</v>
      </c>
      <c r="J501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501" s="71"/>
      <c r="M501" s="71"/>
      <c r="N501" s="94"/>
      <c r="P501" s="89"/>
    </row>
    <row r="502" spans="1:16" x14ac:dyDescent="0.25">
      <c r="A502" s="70">
        <f t="shared" si="14"/>
        <v>48</v>
      </c>
      <c r="B502" s="6">
        <v>43552</v>
      </c>
      <c r="C502" s="6" t="s">
        <v>1008</v>
      </c>
      <c r="D502" s="7" t="s">
        <v>410</v>
      </c>
      <c r="E502" s="8" t="s">
        <v>412</v>
      </c>
      <c r="F502" s="66">
        <v>4</v>
      </c>
      <c r="G502" s="30">
        <v>-110</v>
      </c>
      <c r="H502" s="10" t="s">
        <v>7</v>
      </c>
      <c r="I502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02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D</v>
      </c>
      <c r="K502" s="71"/>
      <c r="M502" s="71"/>
      <c r="N502" s="94"/>
      <c r="P502" s="89"/>
    </row>
    <row r="503" spans="1:16" x14ac:dyDescent="0.25">
      <c r="A503" s="70">
        <f t="shared" si="14"/>
        <v>48</v>
      </c>
      <c r="B503" s="6">
        <v>43552</v>
      </c>
      <c r="C503" s="6" t="s">
        <v>1008</v>
      </c>
      <c r="D503" s="7" t="s">
        <v>1314</v>
      </c>
      <c r="E503" s="8" t="s">
        <v>147</v>
      </c>
      <c r="F503" s="66">
        <v>4</v>
      </c>
      <c r="G503" s="30">
        <v>-105</v>
      </c>
      <c r="H503" s="10" t="s">
        <v>7</v>
      </c>
      <c r="I503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03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503" s="71"/>
      <c r="M503" s="71"/>
      <c r="N503" s="94"/>
      <c r="P503" s="89"/>
    </row>
    <row r="504" spans="1:16" x14ac:dyDescent="0.25">
      <c r="A504" s="70">
        <f t="shared" si="14"/>
        <v>48</v>
      </c>
      <c r="B504" s="6">
        <v>43552</v>
      </c>
      <c r="C504" s="6" t="s">
        <v>1008</v>
      </c>
      <c r="D504" s="7" t="s">
        <v>1315</v>
      </c>
      <c r="E504" s="8" t="s">
        <v>1312</v>
      </c>
      <c r="F504" s="66">
        <v>4</v>
      </c>
      <c r="G504" s="30">
        <v>-110</v>
      </c>
      <c r="H504" s="10" t="s">
        <v>7</v>
      </c>
      <c r="I504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04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O</v>
      </c>
      <c r="K504" s="71"/>
      <c r="M504" s="71"/>
      <c r="N504" s="94"/>
      <c r="P504" s="89"/>
    </row>
    <row r="505" spans="1:16" x14ac:dyDescent="0.25">
      <c r="A505" s="70">
        <f t="shared" si="14"/>
        <v>48</v>
      </c>
      <c r="B505" s="6">
        <v>43552</v>
      </c>
      <c r="C505" s="6" t="s">
        <v>1008</v>
      </c>
      <c r="D505" s="7" t="s">
        <v>1316</v>
      </c>
      <c r="E505" s="8" t="s">
        <v>350</v>
      </c>
      <c r="F505" s="66">
        <v>4</v>
      </c>
      <c r="G505" s="30">
        <v>-105</v>
      </c>
      <c r="H505" s="10" t="s">
        <v>7</v>
      </c>
      <c r="I505" s="39">
        <f>IF(NBA_Bets[[#This Row],[Result]]="L",0,IF(NBA_Bets[[#This Row],[Result]]="Push",NBA_Bets[[#This Row],[Risk]],IF(NBA_Bets[[#This Row],[Result]]="W",IF(NBA_Bets[[#This Row],[Odds]]&gt;0,NBA_Bets[[#This Row],[Odds]]/100*NBA_Bets[[#This Row],[Risk]]+NBA_Bets[[#This Row],[Risk]],(NBA_Bets[[#This Row],[Risk]]/NBA_Bets[[#This Row],[Odds]]*-100)+NBA_Bets[[#This Row],[Risk]]),"")))</f>
        <v>0</v>
      </c>
      <c r="J505" s="110" t="str">
        <f>IF(ISNUMBER(SEARCH(CHAR(10),NBA_Bets[[#This Row],[Bet]])),"P",IF(ISNUMBER(SEARCH("Under",NBA_Bets[[#This Row],[Bet]])),"U",IF(ISNUMBER(SEARCH("Over",NBA_Bets[[#This Row],[Bet]])),"O",IF(ISNUMBER(SEARCH("+",NBA_Bets[[#This Row],[Bet]])),"D",IF(ISNUMBER(SEARCH("-",NBA_Bets[[#This Row],[Bet]])),"F",IF(ISNUMBER(SEARCH("Moneyline",NBA_Bets[[#This Row],[Bet]])),IF(NBA_Bets[[#This Row],[Odds]]&lt;0,"MF","MD"),""))))))</f>
        <v>U</v>
      </c>
      <c r="K505" s="71"/>
      <c r="M505" s="71"/>
      <c r="N505" s="94"/>
      <c r="P505" s="89"/>
    </row>
    <row r="506" spans="1:16" x14ac:dyDescent="0.25">
      <c r="A506" s="70">
        <f t="shared" si="14"/>
        <v>49</v>
      </c>
      <c r="B506" s="6"/>
      <c r="C506" s="6"/>
      <c r="D506" s="7"/>
      <c r="E506" s="8"/>
      <c r="F506" s="66"/>
      <c r="G506" s="30"/>
      <c r="H506" s="10"/>
      <c r="I506" s="39"/>
      <c r="J506" s="110"/>
      <c r="K506" s="71"/>
      <c r="M506" s="71"/>
      <c r="N506" s="94"/>
      <c r="P506" s="89"/>
    </row>
    <row r="507" spans="1:16" x14ac:dyDescent="0.25">
      <c r="A507" s="70">
        <f t="shared" si="14"/>
        <v>49</v>
      </c>
      <c r="B507" s="6"/>
      <c r="C507" s="6"/>
      <c r="D507" s="7"/>
      <c r="E507" s="8"/>
      <c r="F507" s="66"/>
      <c r="G507" s="30"/>
      <c r="H507" s="10"/>
      <c r="I507" s="39"/>
      <c r="J507" s="110"/>
      <c r="K507" s="71"/>
      <c r="M507" s="71"/>
      <c r="N507" s="94"/>
      <c r="P507" s="89"/>
    </row>
    <row r="508" spans="1:16" x14ac:dyDescent="0.25">
      <c r="A508" s="70">
        <f t="shared" si="14"/>
        <v>49</v>
      </c>
      <c r="K508" s="71"/>
      <c r="M508" s="71"/>
      <c r="N508" s="94"/>
      <c r="P508" s="89"/>
    </row>
    <row r="509" spans="1:16" x14ac:dyDescent="0.25">
      <c r="A509" s="70">
        <f t="shared" si="14"/>
        <v>49</v>
      </c>
      <c r="K509" s="71"/>
      <c r="M509" s="71"/>
      <c r="N509" s="94"/>
      <c r="P509" s="89"/>
    </row>
    <row r="510" spans="1:16" x14ac:dyDescent="0.25">
      <c r="A510" s="70">
        <f t="shared" si="14"/>
        <v>49</v>
      </c>
      <c r="K510" s="71"/>
      <c r="M510" s="71"/>
      <c r="N510" s="94"/>
      <c r="P510" s="89"/>
    </row>
    <row r="511" spans="1:16" x14ac:dyDescent="0.25">
      <c r="A511" s="70">
        <f t="shared" si="14"/>
        <v>49</v>
      </c>
      <c r="K511" s="71"/>
      <c r="M511" s="71"/>
      <c r="N511" s="94"/>
      <c r="P511" s="89"/>
    </row>
    <row r="512" spans="1:16" x14ac:dyDescent="0.25">
      <c r="A512" s="70">
        <f t="shared" si="14"/>
        <v>49</v>
      </c>
      <c r="K512" s="71"/>
      <c r="M512" s="71"/>
      <c r="N512" s="94"/>
      <c r="P512" s="89"/>
    </row>
    <row r="513" spans="1:16" x14ac:dyDescent="0.25">
      <c r="A513" s="70">
        <f t="shared" si="14"/>
        <v>49</v>
      </c>
      <c r="K513" s="71"/>
      <c r="M513" s="71"/>
      <c r="N513" s="94"/>
      <c r="P513" s="89"/>
    </row>
    <row r="514" spans="1:16" x14ac:dyDescent="0.25">
      <c r="A514" s="70">
        <f t="shared" si="14"/>
        <v>49</v>
      </c>
      <c r="K514" s="71"/>
      <c r="M514" s="71"/>
      <c r="N514" s="94"/>
      <c r="P514" s="89"/>
    </row>
    <row r="515" spans="1:16" x14ac:dyDescent="0.25">
      <c r="A515" s="70">
        <f t="shared" si="14"/>
        <v>49</v>
      </c>
      <c r="K515" s="71"/>
      <c r="M515" s="71"/>
      <c r="N515" s="94"/>
      <c r="P515" s="89"/>
    </row>
    <row r="516" spans="1:16" x14ac:dyDescent="0.25">
      <c r="A516" s="70">
        <f t="shared" si="14"/>
        <v>49</v>
      </c>
      <c r="K516" s="71"/>
      <c r="M516" s="71"/>
      <c r="N516" s="94"/>
      <c r="P516" s="89"/>
    </row>
    <row r="517" spans="1:16" x14ac:dyDescent="0.25">
      <c r="A517" s="70">
        <f t="shared" si="14"/>
        <v>49</v>
      </c>
      <c r="K517" s="71"/>
      <c r="M517" s="71"/>
      <c r="N517" s="94"/>
      <c r="P517" s="89"/>
    </row>
    <row r="518" spans="1:16" x14ac:dyDescent="0.25">
      <c r="A518" s="70">
        <f t="shared" ref="A518:A581" si="15">IF(B518=B517,A517,A517+1)</f>
        <v>49</v>
      </c>
      <c r="K518" s="71"/>
      <c r="M518" s="71"/>
      <c r="N518" s="94"/>
      <c r="P518" s="89"/>
    </row>
    <row r="519" spans="1:16" x14ac:dyDescent="0.25">
      <c r="A519" s="70">
        <f t="shared" si="15"/>
        <v>49</v>
      </c>
      <c r="K519" s="71"/>
      <c r="M519" s="71"/>
      <c r="N519" s="94"/>
      <c r="P519" s="89"/>
    </row>
    <row r="520" spans="1:16" x14ac:dyDescent="0.25">
      <c r="A520" s="70">
        <f t="shared" si="15"/>
        <v>49</v>
      </c>
      <c r="K520" s="71"/>
      <c r="M520" s="71"/>
      <c r="N520" s="94"/>
      <c r="P520" s="89"/>
    </row>
    <row r="521" spans="1:16" x14ac:dyDescent="0.25">
      <c r="A521" s="70">
        <f t="shared" si="15"/>
        <v>49</v>
      </c>
      <c r="K521" s="71"/>
      <c r="M521" s="71"/>
      <c r="N521" s="94"/>
      <c r="P521" s="89"/>
    </row>
    <row r="522" spans="1:16" x14ac:dyDescent="0.25">
      <c r="A522" s="70">
        <f t="shared" si="15"/>
        <v>49</v>
      </c>
      <c r="K522" s="71"/>
      <c r="M522" s="71"/>
      <c r="N522" s="94"/>
      <c r="P522" s="89"/>
    </row>
    <row r="523" spans="1:16" x14ac:dyDescent="0.25">
      <c r="A523" s="70">
        <f t="shared" si="15"/>
        <v>49</v>
      </c>
      <c r="K523" s="71"/>
      <c r="M523" s="71"/>
      <c r="N523" s="94"/>
      <c r="P523" s="89"/>
    </row>
    <row r="524" spans="1:16" x14ac:dyDescent="0.25">
      <c r="A524" s="70">
        <f t="shared" si="15"/>
        <v>49</v>
      </c>
      <c r="K524" s="71"/>
      <c r="M524" s="71"/>
      <c r="N524" s="94"/>
      <c r="P524" s="89"/>
    </row>
    <row r="525" spans="1:16" x14ac:dyDescent="0.25">
      <c r="A525" s="70">
        <f t="shared" si="15"/>
        <v>49</v>
      </c>
      <c r="K525" s="71"/>
      <c r="M525" s="71"/>
      <c r="N525" s="94"/>
      <c r="P525" s="89"/>
    </row>
    <row r="526" spans="1:16" x14ac:dyDescent="0.25">
      <c r="A526" s="70">
        <f t="shared" si="15"/>
        <v>49</v>
      </c>
      <c r="K526" s="71"/>
      <c r="M526" s="71"/>
      <c r="N526" s="94"/>
      <c r="P526" s="89"/>
    </row>
    <row r="527" spans="1:16" x14ac:dyDescent="0.25">
      <c r="A527" s="70">
        <f t="shared" si="15"/>
        <v>49</v>
      </c>
      <c r="K527" s="71"/>
      <c r="M527" s="71"/>
      <c r="N527" s="94"/>
      <c r="P527" s="89"/>
    </row>
    <row r="528" spans="1:16" x14ac:dyDescent="0.25">
      <c r="A528" s="70">
        <f t="shared" si="15"/>
        <v>49</v>
      </c>
      <c r="K528" s="71"/>
      <c r="M528" s="71"/>
      <c r="N528" s="94"/>
      <c r="P528" s="89"/>
    </row>
    <row r="529" spans="1:16" x14ac:dyDescent="0.25">
      <c r="A529" s="70">
        <f t="shared" si="15"/>
        <v>49</v>
      </c>
      <c r="K529" s="71"/>
      <c r="M529" s="71"/>
      <c r="N529" s="94"/>
      <c r="P529" s="89"/>
    </row>
    <row r="530" spans="1:16" x14ac:dyDescent="0.25">
      <c r="A530" s="70">
        <f t="shared" si="15"/>
        <v>49</v>
      </c>
      <c r="K530" s="71"/>
      <c r="M530" s="71"/>
      <c r="N530" s="94"/>
      <c r="P530" s="89"/>
    </row>
    <row r="531" spans="1:16" x14ac:dyDescent="0.25">
      <c r="A531" s="70">
        <f t="shared" si="15"/>
        <v>49</v>
      </c>
      <c r="K531" s="71"/>
      <c r="M531" s="71"/>
      <c r="N531" s="94"/>
      <c r="P531" s="89"/>
    </row>
    <row r="532" spans="1:16" x14ac:dyDescent="0.25">
      <c r="A532" s="70">
        <f t="shared" si="15"/>
        <v>49</v>
      </c>
      <c r="K532" s="71"/>
      <c r="M532" s="71"/>
      <c r="N532" s="94"/>
      <c r="P532" s="89"/>
    </row>
    <row r="533" spans="1:16" x14ac:dyDescent="0.25">
      <c r="A533" s="70">
        <f t="shared" si="15"/>
        <v>49</v>
      </c>
      <c r="K533" s="71"/>
      <c r="M533" s="71"/>
      <c r="N533" s="94"/>
      <c r="P533" s="89"/>
    </row>
    <row r="534" spans="1:16" x14ac:dyDescent="0.25">
      <c r="A534" s="70">
        <f t="shared" si="15"/>
        <v>49</v>
      </c>
      <c r="K534" s="71"/>
      <c r="M534" s="71"/>
      <c r="N534" s="94"/>
      <c r="P534" s="89"/>
    </row>
    <row r="535" spans="1:16" x14ac:dyDescent="0.25">
      <c r="A535" s="70">
        <f t="shared" si="15"/>
        <v>49</v>
      </c>
      <c r="K535" s="71"/>
      <c r="M535" s="71"/>
      <c r="N535" s="94"/>
      <c r="P535" s="89"/>
    </row>
    <row r="536" spans="1:16" x14ac:dyDescent="0.25">
      <c r="A536" s="70">
        <f t="shared" si="15"/>
        <v>49</v>
      </c>
      <c r="K536" s="71"/>
      <c r="M536" s="71"/>
      <c r="N536" s="94"/>
      <c r="P536" s="89"/>
    </row>
    <row r="537" spans="1:16" x14ac:dyDescent="0.25">
      <c r="A537" s="70">
        <f t="shared" si="15"/>
        <v>49</v>
      </c>
      <c r="K537" s="71"/>
      <c r="M537" s="71"/>
      <c r="N537" s="94"/>
      <c r="P537" s="89"/>
    </row>
    <row r="538" spans="1:16" x14ac:dyDescent="0.25">
      <c r="A538" s="70">
        <f t="shared" si="15"/>
        <v>49</v>
      </c>
      <c r="K538" s="71"/>
      <c r="M538" s="71"/>
      <c r="N538" s="94"/>
      <c r="P538" s="89"/>
    </row>
    <row r="539" spans="1:16" x14ac:dyDescent="0.25">
      <c r="A539" s="70">
        <f t="shared" si="15"/>
        <v>49</v>
      </c>
      <c r="K539" s="71"/>
      <c r="M539" s="71"/>
      <c r="N539" s="94"/>
      <c r="P539" s="89"/>
    </row>
    <row r="540" spans="1:16" x14ac:dyDescent="0.25">
      <c r="A540" s="70">
        <f t="shared" si="15"/>
        <v>49</v>
      </c>
      <c r="K540" s="71"/>
      <c r="M540" s="71"/>
      <c r="N540" s="94"/>
      <c r="P540" s="89"/>
    </row>
    <row r="541" spans="1:16" x14ac:dyDescent="0.25">
      <c r="A541" s="70">
        <f t="shared" si="15"/>
        <v>49</v>
      </c>
      <c r="K541" s="71"/>
      <c r="M541" s="71"/>
      <c r="N541" s="94"/>
      <c r="P541" s="89"/>
    </row>
    <row r="542" spans="1:16" x14ac:dyDescent="0.25">
      <c r="A542" s="70">
        <f t="shared" si="15"/>
        <v>49</v>
      </c>
      <c r="K542" s="71"/>
      <c r="M542" s="71"/>
      <c r="N542" s="94"/>
      <c r="P542" s="89"/>
    </row>
    <row r="543" spans="1:16" x14ac:dyDescent="0.25">
      <c r="A543" s="70">
        <f t="shared" si="15"/>
        <v>49</v>
      </c>
      <c r="K543" s="71"/>
      <c r="M543" s="71"/>
      <c r="N543" s="94"/>
      <c r="P543" s="89"/>
    </row>
    <row r="544" spans="1:16" x14ac:dyDescent="0.25">
      <c r="A544" s="70">
        <f t="shared" si="15"/>
        <v>49</v>
      </c>
      <c r="K544" s="71"/>
      <c r="M544" s="71"/>
      <c r="N544" s="94"/>
      <c r="P544" s="89"/>
    </row>
    <row r="545" spans="1:16" x14ac:dyDescent="0.25">
      <c r="A545" s="70">
        <f t="shared" si="15"/>
        <v>49</v>
      </c>
      <c r="K545" s="71"/>
      <c r="M545" s="71"/>
      <c r="N545" s="94"/>
      <c r="P545" s="89"/>
    </row>
    <row r="546" spans="1:16" x14ac:dyDescent="0.25">
      <c r="A546" s="70">
        <f t="shared" si="15"/>
        <v>49</v>
      </c>
      <c r="K546" s="71"/>
      <c r="M546" s="71"/>
      <c r="N546" s="94"/>
      <c r="P546" s="89"/>
    </row>
    <row r="547" spans="1:16" x14ac:dyDescent="0.25">
      <c r="A547" s="70">
        <f t="shared" si="15"/>
        <v>49</v>
      </c>
      <c r="K547" s="71"/>
      <c r="M547" s="71"/>
      <c r="N547" s="94"/>
      <c r="P547" s="89"/>
    </row>
    <row r="548" spans="1:16" x14ac:dyDescent="0.25">
      <c r="A548" s="70">
        <f t="shared" si="15"/>
        <v>49</v>
      </c>
      <c r="K548" s="71"/>
      <c r="M548" s="71"/>
      <c r="N548" s="94"/>
      <c r="P548" s="89"/>
    </row>
    <row r="549" spans="1:16" x14ac:dyDescent="0.25">
      <c r="A549" s="70">
        <f t="shared" si="15"/>
        <v>49</v>
      </c>
      <c r="K549" s="71"/>
      <c r="M549" s="71"/>
      <c r="N549" s="94"/>
      <c r="P549" s="89"/>
    </row>
    <row r="550" spans="1:16" x14ac:dyDescent="0.25">
      <c r="A550" s="70">
        <f t="shared" si="15"/>
        <v>49</v>
      </c>
      <c r="K550" s="71"/>
      <c r="M550" s="71"/>
      <c r="N550" s="94"/>
      <c r="P550" s="89"/>
    </row>
    <row r="551" spans="1:16" x14ac:dyDescent="0.25">
      <c r="A551" s="70">
        <f t="shared" si="15"/>
        <v>49</v>
      </c>
      <c r="K551" s="71"/>
      <c r="M551" s="71"/>
      <c r="N551" s="94"/>
      <c r="P551" s="89"/>
    </row>
    <row r="552" spans="1:16" x14ac:dyDescent="0.25">
      <c r="A552" s="70">
        <f t="shared" si="15"/>
        <v>49</v>
      </c>
      <c r="K552" s="71"/>
      <c r="M552" s="71"/>
      <c r="N552" s="94"/>
      <c r="P552" s="89"/>
    </row>
    <row r="553" spans="1:16" x14ac:dyDescent="0.25">
      <c r="A553" s="70">
        <f t="shared" si="15"/>
        <v>49</v>
      </c>
      <c r="K553" s="71"/>
      <c r="M553" s="71"/>
      <c r="N553" s="94"/>
      <c r="P553" s="89"/>
    </row>
    <row r="554" spans="1:16" x14ac:dyDescent="0.25">
      <c r="A554" s="70">
        <f t="shared" si="15"/>
        <v>49</v>
      </c>
      <c r="K554" s="71"/>
      <c r="M554" s="71"/>
      <c r="N554" s="94"/>
      <c r="P554" s="89"/>
    </row>
    <row r="555" spans="1:16" x14ac:dyDescent="0.25">
      <c r="A555" s="70">
        <f t="shared" si="15"/>
        <v>49</v>
      </c>
      <c r="K555" s="71"/>
      <c r="M555" s="71"/>
      <c r="N555" s="94"/>
      <c r="P555" s="89"/>
    </row>
    <row r="556" spans="1:16" x14ac:dyDescent="0.25">
      <c r="A556" s="70">
        <f t="shared" si="15"/>
        <v>49</v>
      </c>
      <c r="K556" s="71"/>
      <c r="M556" s="71"/>
      <c r="N556" s="94"/>
      <c r="P556" s="89"/>
    </row>
    <row r="557" spans="1:16" x14ac:dyDescent="0.25">
      <c r="A557" s="70">
        <f t="shared" si="15"/>
        <v>49</v>
      </c>
      <c r="K557" s="71"/>
      <c r="M557" s="71"/>
      <c r="N557" s="94"/>
      <c r="P557" s="89"/>
    </row>
    <row r="558" spans="1:16" x14ac:dyDescent="0.25">
      <c r="A558" s="70">
        <f t="shared" si="15"/>
        <v>49</v>
      </c>
      <c r="K558" s="71"/>
      <c r="M558" s="71"/>
      <c r="N558" s="94"/>
      <c r="P558" s="89"/>
    </row>
    <row r="559" spans="1:16" x14ac:dyDescent="0.25">
      <c r="A559" s="70">
        <f t="shared" si="15"/>
        <v>49</v>
      </c>
      <c r="K559" s="71"/>
      <c r="M559" s="71"/>
      <c r="N559" s="94"/>
      <c r="P559" s="89"/>
    </row>
    <row r="560" spans="1:16" x14ac:dyDescent="0.25">
      <c r="A560" s="70">
        <f t="shared" si="15"/>
        <v>49</v>
      </c>
      <c r="K560" s="71"/>
      <c r="M560" s="71"/>
      <c r="N560" s="94"/>
      <c r="P560" s="89"/>
    </row>
    <row r="561" spans="1:16" x14ac:dyDescent="0.25">
      <c r="A561" s="70">
        <f t="shared" si="15"/>
        <v>49</v>
      </c>
      <c r="K561" s="71"/>
      <c r="M561" s="71"/>
      <c r="N561" s="94"/>
      <c r="P561" s="89"/>
    </row>
    <row r="562" spans="1:16" x14ac:dyDescent="0.25">
      <c r="A562" s="70">
        <f t="shared" si="15"/>
        <v>49</v>
      </c>
      <c r="K562" s="71"/>
      <c r="M562" s="71"/>
      <c r="N562" s="94"/>
      <c r="P562" s="89"/>
    </row>
    <row r="563" spans="1:16" x14ac:dyDescent="0.25">
      <c r="A563" s="70">
        <f t="shared" si="15"/>
        <v>49</v>
      </c>
      <c r="K563" s="71"/>
      <c r="M563" s="71"/>
      <c r="N563" s="94"/>
      <c r="P563" s="89"/>
    </row>
    <row r="564" spans="1:16" x14ac:dyDescent="0.25">
      <c r="A564" s="70">
        <f t="shared" si="15"/>
        <v>49</v>
      </c>
      <c r="K564" s="71"/>
      <c r="M564" s="71"/>
      <c r="N564" s="94"/>
      <c r="P564" s="89"/>
    </row>
    <row r="565" spans="1:16" x14ac:dyDescent="0.25">
      <c r="A565" s="70">
        <f t="shared" si="15"/>
        <v>49</v>
      </c>
      <c r="K565" s="71"/>
      <c r="M565" s="71"/>
      <c r="N565" s="94"/>
      <c r="P565" s="89"/>
    </row>
    <row r="566" spans="1:16" x14ac:dyDescent="0.25">
      <c r="A566" s="70">
        <f t="shared" si="15"/>
        <v>49</v>
      </c>
      <c r="K566" s="71"/>
      <c r="M566" s="71"/>
      <c r="N566" s="94"/>
      <c r="P566" s="89"/>
    </row>
    <row r="567" spans="1:16" x14ac:dyDescent="0.25">
      <c r="A567" s="70">
        <f t="shared" si="15"/>
        <v>49</v>
      </c>
      <c r="K567" s="71"/>
      <c r="M567" s="71"/>
      <c r="N567" s="94"/>
      <c r="P567" s="89"/>
    </row>
    <row r="568" spans="1:16" x14ac:dyDescent="0.25">
      <c r="A568" s="70">
        <f t="shared" si="15"/>
        <v>49</v>
      </c>
      <c r="K568" s="71"/>
      <c r="M568" s="71"/>
      <c r="N568" s="94"/>
      <c r="P568" s="89"/>
    </row>
    <row r="569" spans="1:16" x14ac:dyDescent="0.25">
      <c r="A569" s="70">
        <f t="shared" si="15"/>
        <v>49</v>
      </c>
      <c r="K569" s="71"/>
      <c r="M569" s="71"/>
      <c r="N569" s="94"/>
      <c r="P569" s="89"/>
    </row>
    <row r="570" spans="1:16" x14ac:dyDescent="0.25">
      <c r="A570" s="70">
        <f t="shared" si="15"/>
        <v>49</v>
      </c>
      <c r="K570" s="71"/>
      <c r="M570" s="71"/>
      <c r="N570" s="94"/>
      <c r="P570" s="89"/>
    </row>
    <row r="571" spans="1:16" x14ac:dyDescent="0.25">
      <c r="A571" s="70">
        <f t="shared" si="15"/>
        <v>49</v>
      </c>
      <c r="K571" s="71"/>
      <c r="M571" s="71"/>
      <c r="N571" s="94"/>
      <c r="P571" s="89"/>
    </row>
    <row r="572" spans="1:16" x14ac:dyDescent="0.25">
      <c r="A572" s="70">
        <f t="shared" si="15"/>
        <v>49</v>
      </c>
      <c r="K572" s="71"/>
      <c r="M572" s="71"/>
      <c r="N572" s="94"/>
      <c r="P572" s="89"/>
    </row>
    <row r="573" spans="1:16" x14ac:dyDescent="0.25">
      <c r="A573" s="70">
        <f t="shared" si="15"/>
        <v>49</v>
      </c>
      <c r="K573" s="71"/>
      <c r="M573" s="71"/>
      <c r="N573" s="94"/>
      <c r="P573" s="89"/>
    </row>
    <row r="574" spans="1:16" x14ac:dyDescent="0.25">
      <c r="A574" s="70">
        <f t="shared" si="15"/>
        <v>49</v>
      </c>
      <c r="K574" s="71"/>
      <c r="M574" s="71"/>
      <c r="N574" s="94"/>
      <c r="P574" s="89"/>
    </row>
    <row r="575" spans="1:16" x14ac:dyDescent="0.25">
      <c r="A575" s="70">
        <f t="shared" si="15"/>
        <v>49</v>
      </c>
      <c r="K575" s="71"/>
      <c r="M575" s="71"/>
      <c r="N575" s="94"/>
      <c r="P575" s="89"/>
    </row>
    <row r="576" spans="1:16" x14ac:dyDescent="0.25">
      <c r="A576" s="70">
        <f t="shared" si="15"/>
        <v>49</v>
      </c>
      <c r="K576" s="71"/>
      <c r="M576" s="71"/>
      <c r="N576" s="94"/>
      <c r="P576" s="89"/>
    </row>
    <row r="577" spans="1:16" x14ac:dyDescent="0.25">
      <c r="A577" s="70">
        <f t="shared" si="15"/>
        <v>49</v>
      </c>
      <c r="K577" s="71"/>
      <c r="M577" s="71"/>
      <c r="N577" s="94"/>
      <c r="P577" s="89"/>
    </row>
    <row r="578" spans="1:16" x14ac:dyDescent="0.25">
      <c r="A578" s="70">
        <f t="shared" si="15"/>
        <v>49</v>
      </c>
      <c r="K578" s="71"/>
      <c r="M578" s="71"/>
      <c r="N578" s="94"/>
      <c r="P578" s="89"/>
    </row>
    <row r="579" spans="1:16" x14ac:dyDescent="0.25">
      <c r="A579" s="70">
        <f t="shared" si="15"/>
        <v>49</v>
      </c>
      <c r="K579" s="71"/>
      <c r="M579" s="71"/>
      <c r="N579" s="94"/>
      <c r="P579" s="89"/>
    </row>
    <row r="580" spans="1:16" x14ac:dyDescent="0.25">
      <c r="A580" s="70">
        <f t="shared" si="15"/>
        <v>49</v>
      </c>
      <c r="K580" s="71"/>
      <c r="M580" s="71"/>
      <c r="N580" s="94"/>
      <c r="P580" s="89"/>
    </row>
    <row r="581" spans="1:16" x14ac:dyDescent="0.25">
      <c r="A581" s="70">
        <f t="shared" si="15"/>
        <v>49</v>
      </c>
      <c r="K581" s="71"/>
      <c r="M581" s="71"/>
      <c r="N581" s="94"/>
      <c r="P581" s="89"/>
    </row>
    <row r="582" spans="1:16" x14ac:dyDescent="0.25">
      <c r="A582" s="70">
        <f t="shared" ref="A582:A645" si="16">IF(B582=B581,A581,A581+1)</f>
        <v>49</v>
      </c>
      <c r="K582" s="71"/>
      <c r="M582" s="71"/>
      <c r="N582" s="94"/>
      <c r="P582" s="89"/>
    </row>
    <row r="583" spans="1:16" x14ac:dyDescent="0.25">
      <c r="A583" s="70">
        <f t="shared" si="16"/>
        <v>49</v>
      </c>
      <c r="K583" s="71"/>
      <c r="M583" s="71"/>
      <c r="N583" s="94"/>
      <c r="P583" s="89"/>
    </row>
    <row r="584" spans="1:16" x14ac:dyDescent="0.25">
      <c r="A584" s="70">
        <f t="shared" si="16"/>
        <v>49</v>
      </c>
      <c r="K584" s="71"/>
      <c r="M584" s="71"/>
      <c r="N584" s="94"/>
      <c r="P584" s="89"/>
    </row>
    <row r="585" spans="1:16" x14ac:dyDescent="0.25">
      <c r="A585" s="70">
        <f t="shared" si="16"/>
        <v>49</v>
      </c>
      <c r="K585" s="71"/>
      <c r="M585" s="71"/>
      <c r="N585" s="94"/>
      <c r="P585" s="89"/>
    </row>
    <row r="586" spans="1:16" x14ac:dyDescent="0.25">
      <c r="A586" s="70">
        <f t="shared" si="16"/>
        <v>49</v>
      </c>
      <c r="K586" s="71"/>
      <c r="M586" s="71"/>
      <c r="N586" s="94"/>
      <c r="P586" s="89"/>
    </row>
    <row r="587" spans="1:16" x14ac:dyDescent="0.25">
      <c r="A587" s="70">
        <f t="shared" si="16"/>
        <v>49</v>
      </c>
      <c r="K587" s="71"/>
      <c r="M587" s="71"/>
      <c r="N587" s="94"/>
      <c r="P587" s="89"/>
    </row>
    <row r="588" spans="1:16" x14ac:dyDescent="0.25">
      <c r="A588" s="70">
        <f t="shared" si="16"/>
        <v>49</v>
      </c>
      <c r="K588" s="71"/>
      <c r="M588" s="71"/>
      <c r="N588" s="94"/>
      <c r="P588" s="89"/>
    </row>
    <row r="589" spans="1:16" x14ac:dyDescent="0.25">
      <c r="A589" s="70">
        <f t="shared" si="16"/>
        <v>49</v>
      </c>
      <c r="K589" s="71"/>
      <c r="M589" s="71"/>
      <c r="N589" s="94"/>
      <c r="P589" s="89"/>
    </row>
    <row r="590" spans="1:16" x14ac:dyDescent="0.25">
      <c r="A590" s="70">
        <f t="shared" si="16"/>
        <v>49</v>
      </c>
      <c r="K590" s="71"/>
      <c r="M590" s="71"/>
      <c r="N590" s="94"/>
      <c r="P590" s="89"/>
    </row>
    <row r="591" spans="1:16" x14ac:dyDescent="0.25">
      <c r="A591" s="70">
        <f t="shared" si="16"/>
        <v>49</v>
      </c>
      <c r="K591" s="71"/>
      <c r="M591" s="71"/>
      <c r="N591" s="94"/>
      <c r="P591" s="89"/>
    </row>
    <row r="592" spans="1:16" x14ac:dyDescent="0.25">
      <c r="A592" s="70">
        <f t="shared" si="16"/>
        <v>49</v>
      </c>
      <c r="K592" s="71"/>
      <c r="M592" s="71"/>
      <c r="N592" s="94"/>
      <c r="P592" s="89"/>
    </row>
    <row r="593" spans="1:16" x14ac:dyDescent="0.25">
      <c r="A593" s="70">
        <f t="shared" si="16"/>
        <v>49</v>
      </c>
      <c r="K593" s="71"/>
      <c r="M593" s="71"/>
      <c r="N593" s="94"/>
      <c r="P593" s="89"/>
    </row>
    <row r="594" spans="1:16" x14ac:dyDescent="0.25">
      <c r="A594" s="70">
        <f t="shared" si="16"/>
        <v>49</v>
      </c>
      <c r="K594" s="71"/>
      <c r="M594" s="71"/>
      <c r="N594" s="94"/>
      <c r="P594" s="89"/>
    </row>
    <row r="595" spans="1:16" x14ac:dyDescent="0.25">
      <c r="A595" s="70">
        <f t="shared" si="16"/>
        <v>49</v>
      </c>
      <c r="K595" s="71"/>
      <c r="M595" s="71"/>
      <c r="N595" s="94"/>
      <c r="P595" s="89"/>
    </row>
    <row r="596" spans="1:16" x14ac:dyDescent="0.25">
      <c r="A596" s="70">
        <f t="shared" si="16"/>
        <v>49</v>
      </c>
      <c r="K596" s="71"/>
      <c r="M596" s="71"/>
      <c r="N596" s="94"/>
      <c r="P596" s="89"/>
    </row>
    <row r="597" spans="1:16" x14ac:dyDescent="0.25">
      <c r="A597" s="70">
        <f t="shared" si="16"/>
        <v>49</v>
      </c>
      <c r="K597" s="71"/>
      <c r="M597" s="71"/>
      <c r="N597" s="94"/>
      <c r="P597" s="89"/>
    </row>
    <row r="598" spans="1:16" x14ac:dyDescent="0.25">
      <c r="A598" s="70">
        <f t="shared" si="16"/>
        <v>49</v>
      </c>
      <c r="K598" s="71"/>
      <c r="M598" s="71"/>
      <c r="N598" s="94"/>
      <c r="P598" s="89"/>
    </row>
    <row r="599" spans="1:16" x14ac:dyDescent="0.25">
      <c r="A599" s="70">
        <f t="shared" si="16"/>
        <v>49</v>
      </c>
      <c r="K599" s="71"/>
      <c r="M599" s="71"/>
      <c r="N599" s="94"/>
      <c r="P599" s="89"/>
    </row>
    <row r="600" spans="1:16" x14ac:dyDescent="0.25">
      <c r="A600" s="70">
        <f t="shared" si="16"/>
        <v>49</v>
      </c>
      <c r="K600" s="71"/>
      <c r="M600" s="71"/>
      <c r="N600" s="94"/>
      <c r="P600" s="89"/>
    </row>
    <row r="601" spans="1:16" x14ac:dyDescent="0.25">
      <c r="A601" s="70">
        <f t="shared" si="16"/>
        <v>49</v>
      </c>
      <c r="K601" s="71"/>
      <c r="M601" s="71"/>
      <c r="N601" s="94"/>
      <c r="P601" s="89"/>
    </row>
    <row r="602" spans="1:16" x14ac:dyDescent="0.25">
      <c r="A602" s="70">
        <f t="shared" si="16"/>
        <v>49</v>
      </c>
      <c r="K602" s="71"/>
      <c r="M602" s="71"/>
      <c r="N602" s="94"/>
      <c r="P602" s="89"/>
    </row>
    <row r="603" spans="1:16" x14ac:dyDescent="0.25">
      <c r="A603" s="70">
        <f t="shared" si="16"/>
        <v>49</v>
      </c>
      <c r="K603" s="71"/>
      <c r="M603" s="71"/>
      <c r="N603" s="94"/>
      <c r="P603" s="89"/>
    </row>
    <row r="604" spans="1:16" x14ac:dyDescent="0.25">
      <c r="A604" s="70">
        <f t="shared" si="16"/>
        <v>49</v>
      </c>
      <c r="K604" s="71"/>
      <c r="M604" s="71"/>
      <c r="N604" s="94"/>
      <c r="P604" s="89"/>
    </row>
    <row r="605" spans="1:16" x14ac:dyDescent="0.25">
      <c r="A605" s="70">
        <f t="shared" si="16"/>
        <v>49</v>
      </c>
      <c r="K605" s="71"/>
      <c r="M605" s="71"/>
      <c r="N605" s="94"/>
      <c r="P605" s="89"/>
    </row>
    <row r="606" spans="1:16" x14ac:dyDescent="0.25">
      <c r="A606" s="70">
        <f t="shared" si="16"/>
        <v>49</v>
      </c>
      <c r="K606" s="71"/>
      <c r="M606" s="71"/>
      <c r="N606" s="94"/>
      <c r="P606" s="89"/>
    </row>
    <row r="607" spans="1:16" x14ac:dyDescent="0.25">
      <c r="A607" s="70">
        <f t="shared" si="16"/>
        <v>49</v>
      </c>
      <c r="K607" s="71"/>
      <c r="M607" s="71"/>
      <c r="N607" s="94"/>
      <c r="P607" s="89"/>
    </row>
    <row r="608" spans="1:16" x14ac:dyDescent="0.25">
      <c r="A608" s="70">
        <f t="shared" si="16"/>
        <v>49</v>
      </c>
      <c r="K608" s="71"/>
      <c r="M608" s="71"/>
      <c r="N608" s="94"/>
      <c r="P608" s="89"/>
    </row>
    <row r="609" spans="1:16" x14ac:dyDescent="0.25">
      <c r="A609" s="70">
        <f t="shared" si="16"/>
        <v>49</v>
      </c>
      <c r="K609" s="71"/>
      <c r="M609" s="71"/>
      <c r="N609" s="94"/>
      <c r="P609" s="89"/>
    </row>
    <row r="610" spans="1:16" x14ac:dyDescent="0.25">
      <c r="A610" s="70">
        <f t="shared" si="16"/>
        <v>49</v>
      </c>
      <c r="K610" s="71"/>
      <c r="M610" s="71"/>
      <c r="N610" s="94"/>
      <c r="P610" s="89"/>
    </row>
    <row r="611" spans="1:16" x14ac:dyDescent="0.25">
      <c r="A611" s="70">
        <f t="shared" si="16"/>
        <v>49</v>
      </c>
      <c r="K611" s="71"/>
      <c r="M611" s="71"/>
      <c r="N611" s="94"/>
      <c r="P611" s="89"/>
    </row>
    <row r="612" spans="1:16" x14ac:dyDescent="0.25">
      <c r="A612" s="70">
        <f t="shared" si="16"/>
        <v>49</v>
      </c>
      <c r="K612" s="71"/>
      <c r="M612" s="71"/>
      <c r="N612" s="94"/>
      <c r="P612" s="89"/>
    </row>
    <row r="613" spans="1:16" x14ac:dyDescent="0.25">
      <c r="A613" s="70">
        <f t="shared" si="16"/>
        <v>49</v>
      </c>
      <c r="K613" s="71"/>
      <c r="M613" s="71"/>
      <c r="N613" s="94"/>
      <c r="P613" s="89"/>
    </row>
    <row r="614" spans="1:16" x14ac:dyDescent="0.25">
      <c r="A614" s="70">
        <f t="shared" si="16"/>
        <v>49</v>
      </c>
      <c r="K614" s="71"/>
      <c r="M614" s="71"/>
      <c r="N614" s="94"/>
      <c r="P614" s="89"/>
    </row>
    <row r="615" spans="1:16" x14ac:dyDescent="0.25">
      <c r="A615" s="70">
        <f t="shared" si="16"/>
        <v>49</v>
      </c>
      <c r="K615" s="71"/>
      <c r="M615" s="71"/>
      <c r="N615" s="94"/>
      <c r="P615" s="89"/>
    </row>
    <row r="616" spans="1:16" x14ac:dyDescent="0.25">
      <c r="A616" s="70">
        <f t="shared" si="16"/>
        <v>49</v>
      </c>
      <c r="K616" s="71"/>
      <c r="M616" s="71"/>
      <c r="N616" s="94"/>
      <c r="P616" s="89"/>
    </row>
    <row r="617" spans="1:16" x14ac:dyDescent="0.25">
      <c r="A617" s="70">
        <f t="shared" si="16"/>
        <v>49</v>
      </c>
      <c r="K617" s="71"/>
      <c r="M617" s="71"/>
      <c r="N617" s="94"/>
      <c r="P617" s="89"/>
    </row>
    <row r="618" spans="1:16" x14ac:dyDescent="0.25">
      <c r="A618" s="70">
        <f t="shared" si="16"/>
        <v>49</v>
      </c>
      <c r="K618" s="71"/>
      <c r="M618" s="71"/>
      <c r="N618" s="94"/>
      <c r="P618" s="89"/>
    </row>
    <row r="619" spans="1:16" x14ac:dyDescent="0.25">
      <c r="A619" s="70">
        <f t="shared" si="16"/>
        <v>49</v>
      </c>
      <c r="K619" s="71"/>
      <c r="M619" s="71"/>
      <c r="N619" s="94"/>
      <c r="P619" s="89"/>
    </row>
    <row r="620" spans="1:16" x14ac:dyDescent="0.25">
      <c r="A620" s="70">
        <f t="shared" si="16"/>
        <v>49</v>
      </c>
      <c r="K620" s="71"/>
      <c r="M620" s="71"/>
      <c r="N620" s="94"/>
      <c r="P620" s="89"/>
    </row>
    <row r="621" spans="1:16" x14ac:dyDescent="0.25">
      <c r="A621" s="70">
        <f t="shared" si="16"/>
        <v>49</v>
      </c>
      <c r="K621" s="71"/>
      <c r="M621" s="71"/>
      <c r="N621" s="94"/>
      <c r="P621" s="89"/>
    </row>
    <row r="622" spans="1:16" x14ac:dyDescent="0.25">
      <c r="A622" s="70">
        <f t="shared" si="16"/>
        <v>49</v>
      </c>
      <c r="K622" s="71"/>
      <c r="M622" s="71"/>
      <c r="N622" s="94"/>
      <c r="P622" s="89"/>
    </row>
    <row r="623" spans="1:16" x14ac:dyDescent="0.25">
      <c r="A623" s="70">
        <f t="shared" si="16"/>
        <v>49</v>
      </c>
      <c r="K623" s="71"/>
      <c r="M623" s="71"/>
      <c r="N623" s="94"/>
      <c r="P623" s="89"/>
    </row>
    <row r="624" spans="1:16" x14ac:dyDescent="0.25">
      <c r="A624" s="70">
        <f t="shared" si="16"/>
        <v>49</v>
      </c>
      <c r="K624" s="71"/>
      <c r="M624" s="71"/>
      <c r="N624" s="94"/>
      <c r="P624" s="89"/>
    </row>
    <row r="625" spans="1:16" x14ac:dyDescent="0.25">
      <c r="A625" s="70">
        <f t="shared" si="16"/>
        <v>49</v>
      </c>
      <c r="K625" s="71"/>
      <c r="M625" s="71"/>
      <c r="N625" s="94"/>
      <c r="P625" s="89"/>
    </row>
    <row r="626" spans="1:16" x14ac:dyDescent="0.25">
      <c r="A626" s="70">
        <f t="shared" si="16"/>
        <v>49</v>
      </c>
      <c r="K626" s="71"/>
      <c r="M626" s="71"/>
      <c r="N626" s="94"/>
      <c r="P626" s="89"/>
    </row>
    <row r="627" spans="1:16" x14ac:dyDescent="0.25">
      <c r="A627" s="70">
        <f t="shared" si="16"/>
        <v>49</v>
      </c>
      <c r="K627" s="71"/>
      <c r="M627" s="71"/>
      <c r="N627" s="94"/>
      <c r="P627" s="89"/>
    </row>
    <row r="628" spans="1:16" x14ac:dyDescent="0.25">
      <c r="A628" s="70">
        <f t="shared" si="16"/>
        <v>49</v>
      </c>
      <c r="K628" s="71"/>
      <c r="M628" s="71"/>
      <c r="N628" s="94"/>
      <c r="P628" s="89"/>
    </row>
    <row r="629" spans="1:16" x14ac:dyDescent="0.25">
      <c r="A629" s="70">
        <f t="shared" si="16"/>
        <v>49</v>
      </c>
      <c r="K629" s="71"/>
      <c r="M629" s="71"/>
      <c r="N629" s="94"/>
      <c r="P629" s="89"/>
    </row>
    <row r="630" spans="1:16" x14ac:dyDescent="0.25">
      <c r="A630" s="70">
        <f t="shared" si="16"/>
        <v>49</v>
      </c>
      <c r="K630" s="71"/>
      <c r="M630" s="71"/>
      <c r="N630" s="94"/>
      <c r="P630" s="89"/>
    </row>
    <row r="631" spans="1:16" x14ac:dyDescent="0.25">
      <c r="A631" s="70">
        <f t="shared" si="16"/>
        <v>49</v>
      </c>
      <c r="K631" s="71"/>
      <c r="M631" s="71"/>
      <c r="N631" s="94"/>
      <c r="P631" s="89"/>
    </row>
    <row r="632" spans="1:16" x14ac:dyDescent="0.25">
      <c r="A632" s="70">
        <f t="shared" si="16"/>
        <v>49</v>
      </c>
      <c r="K632" s="71"/>
      <c r="M632" s="71"/>
      <c r="N632" s="94"/>
      <c r="P632" s="89"/>
    </row>
    <row r="633" spans="1:16" x14ac:dyDescent="0.25">
      <c r="A633" s="70">
        <f t="shared" si="16"/>
        <v>49</v>
      </c>
      <c r="K633" s="71"/>
      <c r="M633" s="71"/>
      <c r="N633" s="94"/>
      <c r="P633" s="89"/>
    </row>
    <row r="634" spans="1:16" x14ac:dyDescent="0.25">
      <c r="A634" s="70">
        <f t="shared" si="16"/>
        <v>49</v>
      </c>
      <c r="K634" s="71"/>
      <c r="M634" s="71"/>
      <c r="N634" s="94"/>
      <c r="P634" s="89"/>
    </row>
    <row r="635" spans="1:16" x14ac:dyDescent="0.25">
      <c r="A635" s="70">
        <f t="shared" si="16"/>
        <v>49</v>
      </c>
      <c r="K635" s="71"/>
      <c r="M635" s="71"/>
      <c r="N635" s="94"/>
      <c r="P635" s="89"/>
    </row>
    <row r="636" spans="1:16" x14ac:dyDescent="0.25">
      <c r="A636" s="70">
        <f t="shared" si="16"/>
        <v>49</v>
      </c>
      <c r="K636" s="71"/>
      <c r="M636" s="71"/>
      <c r="N636" s="94"/>
      <c r="P636" s="89"/>
    </row>
    <row r="637" spans="1:16" x14ac:dyDescent="0.25">
      <c r="A637" s="70">
        <f t="shared" si="16"/>
        <v>49</v>
      </c>
      <c r="K637" s="71"/>
      <c r="M637" s="71"/>
      <c r="N637" s="94"/>
      <c r="P637" s="89"/>
    </row>
    <row r="638" spans="1:16" x14ac:dyDescent="0.25">
      <c r="A638" s="70">
        <f t="shared" si="16"/>
        <v>49</v>
      </c>
      <c r="K638" s="71"/>
      <c r="M638" s="71"/>
      <c r="N638" s="94"/>
      <c r="P638" s="89"/>
    </row>
    <row r="639" spans="1:16" x14ac:dyDescent="0.25">
      <c r="A639" s="70">
        <f t="shared" si="16"/>
        <v>49</v>
      </c>
      <c r="K639" s="71"/>
      <c r="M639" s="71"/>
      <c r="N639" s="94"/>
      <c r="P639" s="89"/>
    </row>
    <row r="640" spans="1:16" x14ac:dyDescent="0.25">
      <c r="A640" s="70">
        <f t="shared" si="16"/>
        <v>49</v>
      </c>
      <c r="K640" s="71"/>
      <c r="M640" s="71"/>
      <c r="N640" s="94"/>
      <c r="P640" s="89"/>
    </row>
    <row r="641" spans="1:16" x14ac:dyDescent="0.25">
      <c r="A641" s="70">
        <f t="shared" si="16"/>
        <v>49</v>
      </c>
      <c r="K641" s="71"/>
      <c r="M641" s="71"/>
      <c r="N641" s="94"/>
      <c r="P641" s="89"/>
    </row>
    <row r="642" spans="1:16" x14ac:dyDescent="0.25">
      <c r="A642" s="70">
        <f t="shared" si="16"/>
        <v>49</v>
      </c>
      <c r="K642" s="71"/>
      <c r="M642" s="71"/>
      <c r="N642" s="94"/>
      <c r="P642" s="89"/>
    </row>
    <row r="643" spans="1:16" x14ac:dyDescent="0.25">
      <c r="A643" s="70">
        <f t="shared" si="16"/>
        <v>49</v>
      </c>
      <c r="K643" s="71"/>
      <c r="M643" s="71"/>
      <c r="N643" s="94"/>
      <c r="P643" s="89"/>
    </row>
    <row r="644" spans="1:16" x14ac:dyDescent="0.25">
      <c r="A644" s="70">
        <f t="shared" si="16"/>
        <v>49</v>
      </c>
      <c r="K644" s="71"/>
      <c r="M644" s="71"/>
      <c r="N644" s="94"/>
      <c r="P644" s="89"/>
    </row>
    <row r="645" spans="1:16" x14ac:dyDescent="0.25">
      <c r="A645" s="70">
        <f t="shared" si="16"/>
        <v>49</v>
      </c>
      <c r="K645" s="71"/>
      <c r="M645" s="71"/>
      <c r="N645" s="94"/>
      <c r="P645" s="89"/>
    </row>
    <row r="646" spans="1:16" x14ac:dyDescent="0.25">
      <c r="A646" s="70">
        <f t="shared" ref="A646:A709" si="17">IF(B646=B645,A645,A645+1)</f>
        <v>49</v>
      </c>
      <c r="K646" s="71"/>
      <c r="M646" s="71"/>
      <c r="N646" s="94"/>
      <c r="P646" s="89"/>
    </row>
    <row r="647" spans="1:16" x14ac:dyDescent="0.25">
      <c r="A647" s="70">
        <f t="shared" si="17"/>
        <v>49</v>
      </c>
      <c r="K647" s="71"/>
      <c r="M647" s="71"/>
      <c r="N647" s="94"/>
      <c r="P647" s="89"/>
    </row>
    <row r="648" spans="1:16" x14ac:dyDescent="0.25">
      <c r="A648" s="70">
        <f t="shared" si="17"/>
        <v>49</v>
      </c>
      <c r="K648" s="71"/>
      <c r="M648" s="71"/>
      <c r="N648" s="94"/>
      <c r="P648" s="89"/>
    </row>
    <row r="649" spans="1:16" x14ac:dyDescent="0.25">
      <c r="A649" s="70">
        <f t="shared" si="17"/>
        <v>49</v>
      </c>
      <c r="K649" s="71"/>
      <c r="M649" s="71"/>
      <c r="N649" s="94"/>
      <c r="P649" s="89"/>
    </row>
    <row r="650" spans="1:16" x14ac:dyDescent="0.25">
      <c r="A650" s="70">
        <f t="shared" si="17"/>
        <v>49</v>
      </c>
      <c r="K650" s="71"/>
      <c r="M650" s="71"/>
      <c r="N650" s="94"/>
      <c r="P650" s="89"/>
    </row>
    <row r="651" spans="1:16" x14ac:dyDescent="0.25">
      <c r="A651" s="70">
        <f t="shared" si="17"/>
        <v>49</v>
      </c>
      <c r="K651" s="71"/>
      <c r="M651" s="71"/>
      <c r="N651" s="94"/>
      <c r="P651" s="89"/>
    </row>
    <row r="652" spans="1:16" x14ac:dyDescent="0.25">
      <c r="A652" s="70">
        <f t="shared" si="17"/>
        <v>49</v>
      </c>
      <c r="K652" s="71"/>
      <c r="M652" s="71"/>
      <c r="N652" s="94"/>
      <c r="P652" s="89"/>
    </row>
    <row r="653" spans="1:16" x14ac:dyDescent="0.25">
      <c r="A653" s="70">
        <f t="shared" si="17"/>
        <v>49</v>
      </c>
      <c r="K653" s="71"/>
      <c r="M653" s="71"/>
      <c r="N653" s="94"/>
      <c r="P653" s="89"/>
    </row>
    <row r="654" spans="1:16" x14ac:dyDescent="0.25">
      <c r="A654" s="70">
        <f t="shared" si="17"/>
        <v>49</v>
      </c>
      <c r="K654" s="71"/>
      <c r="M654" s="71"/>
      <c r="N654" s="94"/>
      <c r="P654" s="89"/>
    </row>
    <row r="655" spans="1:16" x14ac:dyDescent="0.25">
      <c r="A655" s="70">
        <f t="shared" si="17"/>
        <v>49</v>
      </c>
      <c r="K655" s="71"/>
      <c r="M655" s="71"/>
      <c r="N655" s="94"/>
      <c r="P655" s="89"/>
    </row>
    <row r="656" spans="1:16" x14ac:dyDescent="0.25">
      <c r="A656" s="70">
        <f t="shared" si="17"/>
        <v>49</v>
      </c>
      <c r="K656" s="71"/>
      <c r="M656" s="71"/>
      <c r="N656" s="94"/>
      <c r="P656" s="89"/>
    </row>
    <row r="657" spans="1:16" x14ac:dyDescent="0.25">
      <c r="A657" s="70">
        <f t="shared" si="17"/>
        <v>49</v>
      </c>
      <c r="K657" s="71"/>
      <c r="M657" s="71"/>
      <c r="N657" s="94"/>
      <c r="P657" s="89"/>
    </row>
    <row r="658" spans="1:16" x14ac:dyDescent="0.25">
      <c r="A658" s="70">
        <f t="shared" si="17"/>
        <v>49</v>
      </c>
      <c r="K658" s="71"/>
      <c r="M658" s="71"/>
      <c r="N658" s="94"/>
      <c r="P658" s="89"/>
    </row>
    <row r="659" spans="1:16" x14ac:dyDescent="0.25">
      <c r="A659" s="70">
        <f t="shared" si="17"/>
        <v>49</v>
      </c>
      <c r="K659" s="71"/>
      <c r="M659" s="71"/>
      <c r="N659" s="94"/>
      <c r="P659" s="89"/>
    </row>
    <row r="660" spans="1:16" x14ac:dyDescent="0.25">
      <c r="A660" s="70">
        <f t="shared" si="17"/>
        <v>49</v>
      </c>
      <c r="K660" s="71"/>
      <c r="M660" s="71"/>
      <c r="N660" s="94"/>
      <c r="P660" s="89"/>
    </row>
    <row r="661" spans="1:16" x14ac:dyDescent="0.25">
      <c r="A661" s="70">
        <f t="shared" si="17"/>
        <v>49</v>
      </c>
      <c r="K661" s="71"/>
      <c r="M661" s="71"/>
      <c r="N661" s="94"/>
      <c r="P661" s="89"/>
    </row>
    <row r="662" spans="1:16" x14ac:dyDescent="0.25">
      <c r="A662" s="70">
        <f t="shared" si="17"/>
        <v>49</v>
      </c>
      <c r="K662" s="71"/>
      <c r="M662" s="71"/>
      <c r="N662" s="94"/>
      <c r="P662" s="89"/>
    </row>
    <row r="663" spans="1:16" x14ac:dyDescent="0.25">
      <c r="A663" s="70">
        <f t="shared" si="17"/>
        <v>49</v>
      </c>
      <c r="K663" s="71"/>
      <c r="M663" s="71"/>
      <c r="N663" s="94"/>
      <c r="P663" s="89"/>
    </row>
    <row r="664" spans="1:16" x14ac:dyDescent="0.25">
      <c r="A664" s="70">
        <f t="shared" si="17"/>
        <v>49</v>
      </c>
      <c r="K664" s="71"/>
      <c r="M664" s="71"/>
      <c r="N664" s="94"/>
      <c r="P664" s="89"/>
    </row>
    <row r="665" spans="1:16" x14ac:dyDescent="0.25">
      <c r="A665" s="70">
        <f t="shared" si="17"/>
        <v>49</v>
      </c>
      <c r="K665" s="71"/>
      <c r="M665" s="71"/>
      <c r="N665" s="94"/>
      <c r="P665" s="89"/>
    </row>
    <row r="666" spans="1:16" x14ac:dyDescent="0.25">
      <c r="A666" s="70">
        <f t="shared" si="17"/>
        <v>49</v>
      </c>
      <c r="K666" s="71"/>
      <c r="M666" s="71"/>
      <c r="N666" s="94"/>
      <c r="P666" s="89"/>
    </row>
    <row r="667" spans="1:16" x14ac:dyDescent="0.25">
      <c r="A667" s="70">
        <f t="shared" si="17"/>
        <v>49</v>
      </c>
      <c r="K667" s="71"/>
      <c r="M667" s="71"/>
      <c r="N667" s="94"/>
      <c r="P667" s="89"/>
    </row>
    <row r="668" spans="1:16" x14ac:dyDescent="0.25">
      <c r="A668" s="70">
        <f t="shared" si="17"/>
        <v>49</v>
      </c>
      <c r="K668" s="71"/>
      <c r="M668" s="71"/>
      <c r="N668" s="94"/>
      <c r="P668" s="89"/>
    </row>
    <row r="669" spans="1:16" x14ac:dyDescent="0.25">
      <c r="A669" s="70">
        <f t="shared" si="17"/>
        <v>49</v>
      </c>
      <c r="K669" s="71"/>
      <c r="M669" s="71"/>
      <c r="N669" s="94"/>
      <c r="P669" s="89"/>
    </row>
    <row r="670" spans="1:16" x14ac:dyDescent="0.25">
      <c r="A670" s="70">
        <f t="shared" si="17"/>
        <v>49</v>
      </c>
      <c r="K670" s="71"/>
      <c r="M670" s="71"/>
      <c r="N670" s="94"/>
      <c r="P670" s="89"/>
    </row>
    <row r="671" spans="1:16" x14ac:dyDescent="0.25">
      <c r="A671" s="70">
        <f t="shared" si="17"/>
        <v>49</v>
      </c>
      <c r="K671" s="71"/>
      <c r="M671" s="71"/>
      <c r="N671" s="94"/>
      <c r="P671" s="89"/>
    </row>
    <row r="672" spans="1:16" x14ac:dyDescent="0.25">
      <c r="A672" s="70">
        <f t="shared" si="17"/>
        <v>49</v>
      </c>
      <c r="K672" s="71"/>
      <c r="M672" s="71"/>
      <c r="N672" s="94"/>
      <c r="P672" s="89"/>
    </row>
    <row r="673" spans="1:16" x14ac:dyDescent="0.25">
      <c r="A673" s="70">
        <f t="shared" si="17"/>
        <v>49</v>
      </c>
      <c r="K673" s="71"/>
      <c r="M673" s="71"/>
      <c r="N673" s="94"/>
      <c r="P673" s="89"/>
    </row>
    <row r="674" spans="1:16" x14ac:dyDescent="0.25">
      <c r="A674" s="70">
        <f t="shared" si="17"/>
        <v>49</v>
      </c>
      <c r="K674" s="71"/>
      <c r="M674" s="71"/>
      <c r="N674" s="94"/>
      <c r="P674" s="89"/>
    </row>
    <row r="675" spans="1:16" x14ac:dyDescent="0.25">
      <c r="A675" s="70">
        <f t="shared" si="17"/>
        <v>49</v>
      </c>
      <c r="K675" s="71"/>
      <c r="M675" s="71"/>
      <c r="N675" s="94"/>
      <c r="P675" s="89"/>
    </row>
    <row r="676" spans="1:16" x14ac:dyDescent="0.25">
      <c r="A676" s="70">
        <f t="shared" si="17"/>
        <v>49</v>
      </c>
      <c r="K676" s="71"/>
      <c r="M676" s="71"/>
      <c r="N676" s="94"/>
      <c r="P676" s="89"/>
    </row>
    <row r="677" spans="1:16" x14ac:dyDescent="0.25">
      <c r="A677" s="70">
        <f t="shared" si="17"/>
        <v>49</v>
      </c>
      <c r="K677" s="71"/>
      <c r="M677" s="71"/>
      <c r="N677" s="94"/>
      <c r="P677" s="89"/>
    </row>
    <row r="678" spans="1:16" x14ac:dyDescent="0.25">
      <c r="A678" s="70">
        <f t="shared" si="17"/>
        <v>49</v>
      </c>
      <c r="K678" s="71"/>
      <c r="M678" s="71"/>
      <c r="N678" s="94"/>
      <c r="P678" s="89"/>
    </row>
    <row r="679" spans="1:16" x14ac:dyDescent="0.25">
      <c r="A679" s="70">
        <f t="shared" si="17"/>
        <v>49</v>
      </c>
      <c r="K679" s="71"/>
      <c r="M679" s="71"/>
      <c r="N679" s="94"/>
      <c r="P679" s="89"/>
    </row>
    <row r="680" spans="1:16" x14ac:dyDescent="0.25">
      <c r="A680" s="70">
        <f t="shared" si="17"/>
        <v>49</v>
      </c>
      <c r="K680" s="71"/>
      <c r="M680" s="71"/>
      <c r="N680" s="94"/>
      <c r="P680" s="89"/>
    </row>
    <row r="681" spans="1:16" x14ac:dyDescent="0.25">
      <c r="A681" s="70">
        <f t="shared" si="17"/>
        <v>49</v>
      </c>
      <c r="K681" s="71"/>
      <c r="M681" s="71"/>
      <c r="N681" s="94"/>
      <c r="P681" s="89"/>
    </row>
    <row r="682" spans="1:16" x14ac:dyDescent="0.25">
      <c r="A682" s="70">
        <f t="shared" si="17"/>
        <v>49</v>
      </c>
      <c r="K682" s="71"/>
      <c r="M682" s="71"/>
      <c r="N682" s="94"/>
      <c r="P682" s="89"/>
    </row>
    <row r="683" spans="1:16" x14ac:dyDescent="0.25">
      <c r="A683" s="70">
        <f t="shared" si="17"/>
        <v>49</v>
      </c>
      <c r="K683" s="71"/>
      <c r="M683" s="71"/>
      <c r="N683" s="94"/>
      <c r="P683" s="89"/>
    </row>
    <row r="684" spans="1:16" x14ac:dyDescent="0.25">
      <c r="A684" s="70">
        <f t="shared" si="17"/>
        <v>49</v>
      </c>
      <c r="K684" s="71"/>
      <c r="M684" s="71"/>
      <c r="N684" s="94"/>
      <c r="P684" s="89"/>
    </row>
    <row r="685" spans="1:16" x14ac:dyDescent="0.25">
      <c r="A685" s="70">
        <f t="shared" si="17"/>
        <v>49</v>
      </c>
      <c r="K685" s="71"/>
      <c r="M685" s="71"/>
      <c r="N685" s="94"/>
      <c r="P685" s="89"/>
    </row>
    <row r="686" spans="1:16" x14ac:dyDescent="0.25">
      <c r="A686" s="70">
        <f t="shared" si="17"/>
        <v>49</v>
      </c>
      <c r="K686" s="71"/>
      <c r="M686" s="71"/>
      <c r="N686" s="94"/>
      <c r="P686" s="89"/>
    </row>
    <row r="687" spans="1:16" x14ac:dyDescent="0.25">
      <c r="A687" s="70">
        <f t="shared" si="17"/>
        <v>49</v>
      </c>
      <c r="K687" s="71"/>
      <c r="M687" s="71"/>
      <c r="N687" s="94"/>
      <c r="P687" s="89"/>
    </row>
    <row r="688" spans="1:16" x14ac:dyDescent="0.25">
      <c r="A688" s="70">
        <f t="shared" si="17"/>
        <v>49</v>
      </c>
      <c r="K688" s="71"/>
      <c r="M688" s="71"/>
      <c r="N688" s="94"/>
      <c r="P688" s="89"/>
    </row>
    <row r="689" spans="1:16" x14ac:dyDescent="0.25">
      <c r="A689" s="70">
        <f t="shared" si="17"/>
        <v>49</v>
      </c>
      <c r="K689" s="71"/>
      <c r="M689" s="71"/>
      <c r="N689" s="94"/>
      <c r="P689" s="89"/>
    </row>
    <row r="690" spans="1:16" x14ac:dyDescent="0.25">
      <c r="A690" s="70">
        <f t="shared" si="17"/>
        <v>49</v>
      </c>
      <c r="K690" s="71"/>
      <c r="M690" s="71"/>
      <c r="N690" s="94"/>
      <c r="P690" s="89"/>
    </row>
    <row r="691" spans="1:16" x14ac:dyDescent="0.25">
      <c r="A691" s="70">
        <f t="shared" si="17"/>
        <v>49</v>
      </c>
      <c r="K691" s="71"/>
      <c r="M691" s="71"/>
      <c r="N691" s="94"/>
      <c r="P691" s="89"/>
    </row>
    <row r="692" spans="1:16" x14ac:dyDescent="0.25">
      <c r="A692" s="70">
        <f t="shared" si="17"/>
        <v>49</v>
      </c>
      <c r="K692" s="71"/>
      <c r="M692" s="71"/>
      <c r="N692" s="94"/>
      <c r="P692" s="89"/>
    </row>
    <row r="693" spans="1:16" x14ac:dyDescent="0.25">
      <c r="A693" s="70">
        <f t="shared" si="17"/>
        <v>49</v>
      </c>
      <c r="K693" s="71"/>
      <c r="M693" s="71"/>
      <c r="N693" s="94"/>
      <c r="P693" s="89"/>
    </row>
    <row r="694" spans="1:16" x14ac:dyDescent="0.25">
      <c r="A694" s="70">
        <f t="shared" si="17"/>
        <v>49</v>
      </c>
      <c r="K694" s="71"/>
      <c r="M694" s="71"/>
      <c r="N694" s="94"/>
      <c r="P694" s="89"/>
    </row>
    <row r="695" spans="1:16" x14ac:dyDescent="0.25">
      <c r="A695" s="70">
        <f t="shared" si="17"/>
        <v>49</v>
      </c>
      <c r="K695" s="71"/>
      <c r="M695" s="71"/>
      <c r="N695" s="94"/>
      <c r="P695" s="89"/>
    </row>
    <row r="696" spans="1:16" x14ac:dyDescent="0.25">
      <c r="A696" s="70">
        <f t="shared" si="17"/>
        <v>49</v>
      </c>
      <c r="K696" s="71"/>
      <c r="M696" s="71"/>
      <c r="N696" s="94"/>
      <c r="P696" s="89"/>
    </row>
    <row r="697" spans="1:16" x14ac:dyDescent="0.25">
      <c r="A697" s="70">
        <f t="shared" si="17"/>
        <v>49</v>
      </c>
      <c r="K697" s="71"/>
      <c r="M697" s="71"/>
      <c r="N697" s="94"/>
      <c r="P697" s="89"/>
    </row>
    <row r="698" spans="1:16" x14ac:dyDescent="0.25">
      <c r="A698" s="70">
        <f t="shared" si="17"/>
        <v>49</v>
      </c>
      <c r="K698" s="71"/>
      <c r="M698" s="71"/>
      <c r="N698" s="94"/>
      <c r="P698" s="89"/>
    </row>
    <row r="699" spans="1:16" x14ac:dyDescent="0.25">
      <c r="A699" s="70">
        <f t="shared" si="17"/>
        <v>49</v>
      </c>
      <c r="K699" s="71"/>
      <c r="M699" s="71"/>
      <c r="N699" s="94"/>
      <c r="P699" s="89"/>
    </row>
    <row r="700" spans="1:16" x14ac:dyDescent="0.25">
      <c r="A700" s="70">
        <f t="shared" si="17"/>
        <v>49</v>
      </c>
      <c r="K700" s="71"/>
      <c r="M700" s="71"/>
      <c r="N700" s="94"/>
      <c r="P700" s="89"/>
    </row>
    <row r="701" spans="1:16" x14ac:dyDescent="0.25">
      <c r="A701" s="70">
        <f t="shared" si="17"/>
        <v>49</v>
      </c>
      <c r="K701" s="71"/>
      <c r="M701" s="71"/>
      <c r="N701" s="94"/>
      <c r="P701" s="89"/>
    </row>
    <row r="702" spans="1:16" x14ac:dyDescent="0.25">
      <c r="A702" s="70">
        <f t="shared" si="17"/>
        <v>49</v>
      </c>
      <c r="K702" s="71"/>
      <c r="M702" s="71"/>
      <c r="N702" s="94"/>
      <c r="P702" s="89"/>
    </row>
    <row r="703" spans="1:16" x14ac:dyDescent="0.25">
      <c r="A703" s="70">
        <f t="shared" si="17"/>
        <v>49</v>
      </c>
      <c r="K703" s="71"/>
      <c r="M703" s="71"/>
      <c r="N703" s="94"/>
      <c r="P703" s="89"/>
    </row>
    <row r="704" spans="1:16" x14ac:dyDescent="0.25">
      <c r="A704" s="70">
        <f t="shared" si="17"/>
        <v>49</v>
      </c>
      <c r="K704" s="71"/>
      <c r="M704" s="71"/>
      <c r="N704" s="94"/>
      <c r="P704" s="89"/>
    </row>
    <row r="705" spans="1:16" x14ac:dyDescent="0.25">
      <c r="A705" s="70">
        <f t="shared" si="17"/>
        <v>49</v>
      </c>
      <c r="K705" s="71"/>
      <c r="M705" s="71"/>
      <c r="N705" s="94"/>
      <c r="P705" s="89"/>
    </row>
    <row r="706" spans="1:16" x14ac:dyDescent="0.25">
      <c r="A706" s="70">
        <f t="shared" si="17"/>
        <v>49</v>
      </c>
      <c r="K706" s="71"/>
      <c r="M706" s="71"/>
      <c r="N706" s="94"/>
      <c r="P706" s="89"/>
    </row>
    <row r="707" spans="1:16" x14ac:dyDescent="0.25">
      <c r="A707" s="70">
        <f t="shared" si="17"/>
        <v>49</v>
      </c>
      <c r="K707" s="71"/>
      <c r="M707" s="71"/>
      <c r="N707" s="94"/>
      <c r="P707" s="89"/>
    </row>
    <row r="708" spans="1:16" x14ac:dyDescent="0.25">
      <c r="A708" s="70">
        <f t="shared" si="17"/>
        <v>49</v>
      </c>
      <c r="K708" s="71"/>
      <c r="M708" s="71"/>
      <c r="N708" s="94"/>
      <c r="P708" s="89"/>
    </row>
    <row r="709" spans="1:16" x14ac:dyDescent="0.25">
      <c r="A709" s="70">
        <f t="shared" si="17"/>
        <v>49</v>
      </c>
      <c r="K709" s="71"/>
      <c r="M709" s="71"/>
      <c r="N709" s="94"/>
      <c r="P709" s="89"/>
    </row>
    <row r="710" spans="1:16" x14ac:dyDescent="0.25">
      <c r="A710" s="70">
        <f t="shared" ref="A710:A773" si="18">IF(B710=B709,A709,A709+1)</f>
        <v>49</v>
      </c>
      <c r="K710" s="71"/>
      <c r="M710" s="71"/>
      <c r="N710" s="94"/>
      <c r="P710" s="89"/>
    </row>
    <row r="711" spans="1:16" x14ac:dyDescent="0.25">
      <c r="A711" s="70">
        <f t="shared" si="18"/>
        <v>49</v>
      </c>
      <c r="K711" s="71"/>
      <c r="M711" s="71"/>
      <c r="N711" s="94"/>
      <c r="P711" s="89"/>
    </row>
    <row r="712" spans="1:16" x14ac:dyDescent="0.25">
      <c r="A712" s="70">
        <f t="shared" si="18"/>
        <v>49</v>
      </c>
      <c r="K712" s="71"/>
      <c r="M712" s="71"/>
      <c r="N712" s="94"/>
      <c r="P712" s="89"/>
    </row>
    <row r="713" spans="1:16" x14ac:dyDescent="0.25">
      <c r="A713" s="70">
        <f t="shared" si="18"/>
        <v>49</v>
      </c>
      <c r="K713" s="71"/>
      <c r="M713" s="71"/>
      <c r="N713" s="94"/>
      <c r="P713" s="89"/>
    </row>
    <row r="714" spans="1:16" x14ac:dyDescent="0.25">
      <c r="A714" s="70">
        <f t="shared" si="18"/>
        <v>49</v>
      </c>
      <c r="K714" s="71"/>
      <c r="M714" s="71"/>
      <c r="N714" s="94"/>
      <c r="P714" s="89"/>
    </row>
    <row r="715" spans="1:16" x14ac:dyDescent="0.25">
      <c r="A715" s="70">
        <f t="shared" si="18"/>
        <v>49</v>
      </c>
      <c r="K715" s="71"/>
      <c r="M715" s="71"/>
      <c r="N715" s="94"/>
      <c r="P715" s="89"/>
    </row>
    <row r="716" spans="1:16" x14ac:dyDescent="0.25">
      <c r="A716" s="70">
        <f t="shared" si="18"/>
        <v>49</v>
      </c>
      <c r="K716" s="71"/>
      <c r="M716" s="71"/>
      <c r="N716" s="94"/>
      <c r="P716" s="89"/>
    </row>
    <row r="717" spans="1:16" x14ac:dyDescent="0.25">
      <c r="A717" s="70">
        <f t="shared" si="18"/>
        <v>49</v>
      </c>
      <c r="K717" s="71"/>
      <c r="M717" s="71"/>
      <c r="N717" s="94"/>
      <c r="P717" s="89"/>
    </row>
    <row r="718" spans="1:16" x14ac:dyDescent="0.25">
      <c r="A718" s="70">
        <f t="shared" si="18"/>
        <v>49</v>
      </c>
      <c r="K718" s="71"/>
      <c r="M718" s="71"/>
      <c r="N718" s="94"/>
      <c r="P718" s="89"/>
    </row>
    <row r="719" spans="1:16" x14ac:dyDescent="0.25">
      <c r="A719" s="70">
        <f t="shared" si="18"/>
        <v>49</v>
      </c>
      <c r="K719" s="71"/>
      <c r="M719" s="71"/>
      <c r="N719" s="94"/>
      <c r="P719" s="89"/>
    </row>
    <row r="720" spans="1:16" x14ac:dyDescent="0.25">
      <c r="A720" s="70">
        <f t="shared" si="18"/>
        <v>49</v>
      </c>
      <c r="K720" s="71"/>
      <c r="M720" s="71"/>
      <c r="N720" s="94"/>
      <c r="P720" s="89"/>
    </row>
    <row r="721" spans="1:16" x14ac:dyDescent="0.25">
      <c r="A721" s="70">
        <f t="shared" si="18"/>
        <v>49</v>
      </c>
      <c r="K721" s="71"/>
      <c r="M721" s="71"/>
      <c r="N721" s="94"/>
      <c r="P721" s="89"/>
    </row>
    <row r="722" spans="1:16" x14ac:dyDescent="0.25">
      <c r="A722" s="70">
        <f t="shared" si="18"/>
        <v>49</v>
      </c>
      <c r="K722" s="71"/>
      <c r="M722" s="71"/>
      <c r="N722" s="94"/>
      <c r="P722" s="89"/>
    </row>
    <row r="723" spans="1:16" x14ac:dyDescent="0.25">
      <c r="A723" s="70">
        <f t="shared" si="18"/>
        <v>49</v>
      </c>
      <c r="K723" s="71"/>
      <c r="M723" s="71"/>
      <c r="N723" s="94"/>
      <c r="P723" s="89"/>
    </row>
    <row r="724" spans="1:16" x14ac:dyDescent="0.25">
      <c r="A724" s="70">
        <f t="shared" si="18"/>
        <v>49</v>
      </c>
      <c r="K724" s="71"/>
      <c r="M724" s="71"/>
      <c r="N724" s="94"/>
      <c r="P724" s="89"/>
    </row>
    <row r="725" spans="1:16" x14ac:dyDescent="0.25">
      <c r="A725" s="70">
        <f t="shared" si="18"/>
        <v>49</v>
      </c>
      <c r="K725" s="71"/>
      <c r="M725" s="71"/>
      <c r="N725" s="94"/>
      <c r="P725" s="89"/>
    </row>
    <row r="726" spans="1:16" x14ac:dyDescent="0.25">
      <c r="A726" s="70">
        <f t="shared" si="18"/>
        <v>49</v>
      </c>
      <c r="K726" s="71"/>
      <c r="M726" s="71"/>
      <c r="N726" s="94"/>
      <c r="P726" s="89"/>
    </row>
    <row r="727" spans="1:16" x14ac:dyDescent="0.25">
      <c r="A727" s="70">
        <f t="shared" si="18"/>
        <v>49</v>
      </c>
      <c r="K727" s="71"/>
      <c r="M727" s="71"/>
      <c r="N727" s="94"/>
      <c r="P727" s="89"/>
    </row>
    <row r="728" spans="1:16" x14ac:dyDescent="0.25">
      <c r="A728" s="70">
        <f t="shared" si="18"/>
        <v>49</v>
      </c>
      <c r="K728" s="71"/>
      <c r="M728" s="71"/>
      <c r="N728" s="94"/>
      <c r="P728" s="89"/>
    </row>
    <row r="729" spans="1:16" x14ac:dyDescent="0.25">
      <c r="A729" s="70">
        <f t="shared" si="18"/>
        <v>49</v>
      </c>
      <c r="K729" s="71"/>
      <c r="M729" s="71"/>
      <c r="N729" s="94"/>
      <c r="P729" s="89"/>
    </row>
    <row r="730" spans="1:16" x14ac:dyDescent="0.25">
      <c r="A730" s="70">
        <f t="shared" si="18"/>
        <v>49</v>
      </c>
      <c r="K730" s="71"/>
      <c r="M730" s="71"/>
      <c r="N730" s="94"/>
      <c r="P730" s="89"/>
    </row>
    <row r="731" spans="1:16" x14ac:dyDescent="0.25">
      <c r="A731" s="70">
        <f t="shared" si="18"/>
        <v>49</v>
      </c>
      <c r="K731" s="71"/>
      <c r="M731" s="71"/>
      <c r="N731" s="94"/>
      <c r="P731" s="89"/>
    </row>
    <row r="732" spans="1:16" x14ac:dyDescent="0.25">
      <c r="A732" s="70">
        <f t="shared" si="18"/>
        <v>49</v>
      </c>
      <c r="K732" s="71"/>
      <c r="M732" s="71"/>
      <c r="N732" s="94"/>
      <c r="P732" s="89"/>
    </row>
    <row r="733" spans="1:16" x14ac:dyDescent="0.25">
      <c r="A733" s="70">
        <f t="shared" si="18"/>
        <v>49</v>
      </c>
      <c r="K733" s="71"/>
      <c r="M733" s="71"/>
      <c r="N733" s="94"/>
      <c r="P733" s="89"/>
    </row>
    <row r="734" spans="1:16" x14ac:dyDescent="0.25">
      <c r="A734" s="70">
        <f t="shared" si="18"/>
        <v>49</v>
      </c>
      <c r="K734" s="71"/>
      <c r="M734" s="71"/>
      <c r="N734" s="94"/>
      <c r="P734" s="89"/>
    </row>
    <row r="735" spans="1:16" x14ac:dyDescent="0.25">
      <c r="A735" s="70">
        <f t="shared" si="18"/>
        <v>49</v>
      </c>
      <c r="K735" s="71"/>
      <c r="M735" s="71"/>
      <c r="N735" s="94"/>
      <c r="P735" s="89"/>
    </row>
    <row r="736" spans="1:16" x14ac:dyDescent="0.25">
      <c r="A736" s="70">
        <f t="shared" si="18"/>
        <v>49</v>
      </c>
      <c r="K736" s="71"/>
      <c r="M736" s="71"/>
      <c r="N736" s="94"/>
      <c r="P736" s="89"/>
    </row>
    <row r="737" spans="1:16" x14ac:dyDescent="0.25">
      <c r="A737" s="70">
        <f t="shared" si="18"/>
        <v>49</v>
      </c>
      <c r="K737" s="71"/>
      <c r="M737" s="71"/>
      <c r="N737" s="94"/>
      <c r="P737" s="89"/>
    </row>
    <row r="738" spans="1:16" x14ac:dyDescent="0.25">
      <c r="A738" s="70">
        <f t="shared" si="18"/>
        <v>49</v>
      </c>
      <c r="K738" s="71"/>
      <c r="M738" s="71"/>
      <c r="N738" s="94"/>
      <c r="P738" s="89"/>
    </row>
    <row r="739" spans="1:16" x14ac:dyDescent="0.25">
      <c r="A739" s="70">
        <f t="shared" si="18"/>
        <v>49</v>
      </c>
      <c r="K739" s="71"/>
      <c r="M739" s="71"/>
      <c r="N739" s="94"/>
      <c r="P739" s="89"/>
    </row>
    <row r="740" spans="1:16" x14ac:dyDescent="0.25">
      <c r="A740" s="70">
        <f t="shared" si="18"/>
        <v>49</v>
      </c>
      <c r="K740" s="71"/>
      <c r="M740" s="71"/>
      <c r="N740" s="94"/>
      <c r="P740" s="89"/>
    </row>
    <row r="741" spans="1:16" x14ac:dyDescent="0.25">
      <c r="A741" s="70">
        <f t="shared" si="18"/>
        <v>49</v>
      </c>
      <c r="K741" s="71"/>
      <c r="M741" s="71"/>
      <c r="N741" s="94"/>
      <c r="P741" s="89"/>
    </row>
    <row r="742" spans="1:16" x14ac:dyDescent="0.25">
      <c r="A742" s="70">
        <f t="shared" si="18"/>
        <v>49</v>
      </c>
      <c r="K742" s="71"/>
      <c r="M742" s="71"/>
      <c r="N742" s="94"/>
      <c r="P742" s="89"/>
    </row>
    <row r="743" spans="1:16" x14ac:dyDescent="0.25">
      <c r="A743" s="70">
        <f t="shared" si="18"/>
        <v>49</v>
      </c>
      <c r="K743" s="71"/>
      <c r="M743" s="71"/>
      <c r="N743" s="94"/>
      <c r="P743" s="89"/>
    </row>
    <row r="744" spans="1:16" x14ac:dyDescent="0.25">
      <c r="A744" s="70">
        <f t="shared" si="18"/>
        <v>49</v>
      </c>
      <c r="K744" s="71"/>
      <c r="M744" s="71"/>
      <c r="N744" s="94"/>
      <c r="P744" s="89"/>
    </row>
    <row r="745" spans="1:16" x14ac:dyDescent="0.25">
      <c r="A745" s="70">
        <f t="shared" si="18"/>
        <v>49</v>
      </c>
      <c r="K745" s="71"/>
      <c r="M745" s="71"/>
      <c r="N745" s="94"/>
      <c r="P745" s="89"/>
    </row>
    <row r="746" spans="1:16" x14ac:dyDescent="0.25">
      <c r="A746" s="70">
        <f t="shared" si="18"/>
        <v>49</v>
      </c>
      <c r="K746" s="71"/>
      <c r="M746" s="71"/>
      <c r="N746" s="94"/>
      <c r="P746" s="89"/>
    </row>
    <row r="747" spans="1:16" x14ac:dyDescent="0.25">
      <c r="A747" s="70">
        <f t="shared" si="18"/>
        <v>49</v>
      </c>
      <c r="K747" s="71"/>
      <c r="M747" s="71"/>
      <c r="N747" s="94"/>
      <c r="P747" s="89"/>
    </row>
    <row r="748" spans="1:16" x14ac:dyDescent="0.25">
      <c r="A748" s="70">
        <f t="shared" si="18"/>
        <v>49</v>
      </c>
      <c r="K748" s="71"/>
      <c r="M748" s="71"/>
      <c r="N748" s="94"/>
      <c r="P748" s="89"/>
    </row>
    <row r="749" spans="1:16" x14ac:dyDescent="0.25">
      <c r="A749" s="70">
        <f t="shared" si="18"/>
        <v>49</v>
      </c>
      <c r="K749" s="71"/>
      <c r="M749" s="71"/>
      <c r="N749" s="94"/>
      <c r="P749" s="89"/>
    </row>
    <row r="750" spans="1:16" x14ac:dyDescent="0.25">
      <c r="A750" s="70">
        <f t="shared" si="18"/>
        <v>49</v>
      </c>
      <c r="K750" s="71"/>
      <c r="M750" s="71"/>
      <c r="N750" s="94"/>
      <c r="P750" s="89"/>
    </row>
    <row r="751" spans="1:16" x14ac:dyDescent="0.25">
      <c r="A751" s="70">
        <f t="shared" si="18"/>
        <v>49</v>
      </c>
      <c r="K751" s="71"/>
      <c r="M751" s="71"/>
      <c r="N751" s="94"/>
      <c r="P751" s="89"/>
    </row>
    <row r="752" spans="1:16" x14ac:dyDescent="0.25">
      <c r="A752" s="70">
        <f t="shared" si="18"/>
        <v>49</v>
      </c>
      <c r="K752" s="71"/>
      <c r="M752" s="71"/>
      <c r="N752" s="94"/>
      <c r="P752" s="89"/>
    </row>
    <row r="753" spans="1:16" x14ac:dyDescent="0.25">
      <c r="A753" s="70">
        <f t="shared" si="18"/>
        <v>49</v>
      </c>
      <c r="K753" s="71"/>
      <c r="M753" s="71"/>
      <c r="N753" s="94"/>
      <c r="P753" s="89"/>
    </row>
    <row r="754" spans="1:16" x14ac:dyDescent="0.25">
      <c r="A754" s="70">
        <f t="shared" si="18"/>
        <v>49</v>
      </c>
      <c r="K754" s="71"/>
      <c r="M754" s="71"/>
      <c r="N754" s="94"/>
      <c r="P754" s="89"/>
    </row>
    <row r="755" spans="1:16" x14ac:dyDescent="0.25">
      <c r="A755" s="70">
        <f t="shared" si="18"/>
        <v>49</v>
      </c>
      <c r="K755" s="71"/>
      <c r="M755" s="71"/>
      <c r="N755" s="94"/>
      <c r="P755" s="89"/>
    </row>
    <row r="756" spans="1:16" x14ac:dyDescent="0.25">
      <c r="A756" s="70">
        <f t="shared" si="18"/>
        <v>49</v>
      </c>
      <c r="K756" s="71"/>
      <c r="M756" s="71"/>
      <c r="N756" s="94"/>
      <c r="P756" s="89"/>
    </row>
    <row r="757" spans="1:16" x14ac:dyDescent="0.25">
      <c r="A757" s="70">
        <f t="shared" si="18"/>
        <v>49</v>
      </c>
      <c r="K757" s="71"/>
      <c r="M757" s="71"/>
      <c r="N757" s="94"/>
      <c r="P757" s="89"/>
    </row>
    <row r="758" spans="1:16" x14ac:dyDescent="0.25">
      <c r="A758" s="70">
        <f t="shared" si="18"/>
        <v>49</v>
      </c>
      <c r="K758" s="71"/>
      <c r="M758" s="71"/>
      <c r="N758" s="94"/>
      <c r="P758" s="89"/>
    </row>
    <row r="759" spans="1:16" x14ac:dyDescent="0.25">
      <c r="A759" s="70">
        <f t="shared" si="18"/>
        <v>49</v>
      </c>
      <c r="K759" s="71"/>
      <c r="M759" s="71"/>
      <c r="N759" s="94"/>
      <c r="P759" s="89"/>
    </row>
    <row r="760" spans="1:16" x14ac:dyDescent="0.25">
      <c r="A760" s="70">
        <f t="shared" si="18"/>
        <v>49</v>
      </c>
      <c r="K760" s="71"/>
      <c r="M760" s="71"/>
      <c r="N760" s="94"/>
      <c r="P760" s="89"/>
    </row>
    <row r="761" spans="1:16" x14ac:dyDescent="0.25">
      <c r="A761" s="70">
        <f t="shared" si="18"/>
        <v>49</v>
      </c>
      <c r="K761" s="71"/>
      <c r="M761" s="71"/>
      <c r="N761" s="94"/>
      <c r="P761" s="89"/>
    </row>
    <row r="762" spans="1:16" x14ac:dyDescent="0.25">
      <c r="A762" s="70">
        <f t="shared" si="18"/>
        <v>49</v>
      </c>
      <c r="K762" s="71"/>
      <c r="M762" s="71"/>
      <c r="N762" s="94"/>
      <c r="P762" s="89"/>
    </row>
    <row r="763" spans="1:16" x14ac:dyDescent="0.25">
      <c r="A763" s="70">
        <f t="shared" si="18"/>
        <v>49</v>
      </c>
      <c r="K763" s="71"/>
      <c r="M763" s="71"/>
      <c r="N763" s="94"/>
      <c r="P763" s="89"/>
    </row>
    <row r="764" spans="1:16" x14ac:dyDescent="0.25">
      <c r="A764" s="70">
        <f t="shared" si="18"/>
        <v>49</v>
      </c>
      <c r="K764" s="71"/>
      <c r="M764" s="71"/>
      <c r="N764" s="94"/>
      <c r="P764" s="89"/>
    </row>
    <row r="765" spans="1:16" x14ac:dyDescent="0.25">
      <c r="A765" s="70">
        <f t="shared" si="18"/>
        <v>49</v>
      </c>
      <c r="K765" s="71"/>
      <c r="M765" s="71"/>
      <c r="N765" s="94"/>
      <c r="P765" s="89"/>
    </row>
    <row r="766" spans="1:16" x14ac:dyDescent="0.25">
      <c r="A766" s="70">
        <f t="shared" si="18"/>
        <v>49</v>
      </c>
      <c r="K766" s="71"/>
      <c r="M766" s="71"/>
      <c r="N766" s="94"/>
      <c r="P766" s="89"/>
    </row>
    <row r="767" spans="1:16" x14ac:dyDescent="0.25">
      <c r="A767" s="70">
        <f t="shared" si="18"/>
        <v>49</v>
      </c>
      <c r="K767" s="71"/>
      <c r="M767" s="71"/>
      <c r="N767" s="94"/>
      <c r="P767" s="89"/>
    </row>
    <row r="768" spans="1:16" x14ac:dyDescent="0.25">
      <c r="A768" s="70">
        <f t="shared" si="18"/>
        <v>49</v>
      </c>
      <c r="K768" s="71"/>
      <c r="M768" s="71"/>
      <c r="N768" s="94"/>
      <c r="P768" s="89"/>
    </row>
    <row r="769" spans="1:16" x14ac:dyDescent="0.25">
      <c r="A769" s="70">
        <f t="shared" si="18"/>
        <v>49</v>
      </c>
      <c r="K769" s="71"/>
      <c r="M769" s="71"/>
      <c r="N769" s="94"/>
      <c r="P769" s="89"/>
    </row>
    <row r="770" spans="1:16" x14ac:dyDescent="0.25">
      <c r="A770" s="70">
        <f t="shared" si="18"/>
        <v>49</v>
      </c>
      <c r="K770" s="71"/>
      <c r="M770" s="71"/>
      <c r="N770" s="94"/>
      <c r="P770" s="89"/>
    </row>
    <row r="771" spans="1:16" x14ac:dyDescent="0.25">
      <c r="A771" s="70">
        <f t="shared" si="18"/>
        <v>49</v>
      </c>
      <c r="K771" s="71"/>
      <c r="M771" s="71"/>
      <c r="N771" s="94"/>
      <c r="P771" s="89"/>
    </row>
    <row r="772" spans="1:16" x14ac:dyDescent="0.25">
      <c r="A772" s="70">
        <f t="shared" si="18"/>
        <v>49</v>
      </c>
      <c r="K772" s="71"/>
      <c r="M772" s="71"/>
      <c r="N772" s="94"/>
      <c r="P772" s="89"/>
    </row>
    <row r="773" spans="1:16" x14ac:dyDescent="0.25">
      <c r="A773" s="70">
        <f t="shared" si="18"/>
        <v>49</v>
      </c>
      <c r="K773" s="71"/>
      <c r="M773" s="71"/>
      <c r="N773" s="94"/>
      <c r="P773" s="89"/>
    </row>
    <row r="774" spans="1:16" x14ac:dyDescent="0.25">
      <c r="A774" s="70">
        <f t="shared" ref="A774:A837" si="19">IF(B774=B773,A773,A773+1)</f>
        <v>49</v>
      </c>
      <c r="K774" s="71"/>
      <c r="M774" s="71"/>
      <c r="N774" s="94"/>
      <c r="P774" s="89"/>
    </row>
    <row r="775" spans="1:16" x14ac:dyDescent="0.25">
      <c r="A775" s="70">
        <f t="shared" si="19"/>
        <v>49</v>
      </c>
      <c r="K775" s="71"/>
      <c r="M775" s="71"/>
      <c r="N775" s="94"/>
      <c r="P775" s="89"/>
    </row>
    <row r="776" spans="1:16" x14ac:dyDescent="0.25">
      <c r="A776" s="70">
        <f t="shared" si="19"/>
        <v>49</v>
      </c>
      <c r="K776" s="71"/>
      <c r="M776" s="71"/>
      <c r="N776" s="94"/>
      <c r="P776" s="89"/>
    </row>
    <row r="777" spans="1:16" x14ac:dyDescent="0.25">
      <c r="A777" s="70">
        <f t="shared" si="19"/>
        <v>49</v>
      </c>
      <c r="K777" s="71"/>
      <c r="M777" s="71"/>
      <c r="N777" s="94"/>
      <c r="P777" s="89"/>
    </row>
    <row r="778" spans="1:16" x14ac:dyDescent="0.25">
      <c r="A778" s="70">
        <f t="shared" si="19"/>
        <v>49</v>
      </c>
      <c r="K778" s="71"/>
      <c r="M778" s="71"/>
      <c r="N778" s="94"/>
      <c r="P778" s="89"/>
    </row>
    <row r="779" spans="1:16" x14ac:dyDescent="0.25">
      <c r="A779" s="70">
        <f t="shared" si="19"/>
        <v>49</v>
      </c>
      <c r="K779" s="71"/>
      <c r="M779" s="71"/>
      <c r="N779" s="94"/>
      <c r="P779" s="89"/>
    </row>
    <row r="780" spans="1:16" x14ac:dyDescent="0.25">
      <c r="A780" s="70">
        <f t="shared" si="19"/>
        <v>49</v>
      </c>
      <c r="K780" s="71"/>
      <c r="M780" s="71"/>
      <c r="N780" s="94"/>
      <c r="P780" s="89"/>
    </row>
    <row r="781" spans="1:16" x14ac:dyDescent="0.25">
      <c r="A781" s="70">
        <f t="shared" si="19"/>
        <v>49</v>
      </c>
      <c r="K781" s="71"/>
      <c r="M781" s="71"/>
      <c r="N781" s="94"/>
      <c r="P781" s="89"/>
    </row>
    <row r="782" spans="1:16" x14ac:dyDescent="0.25">
      <c r="A782" s="70">
        <f t="shared" si="19"/>
        <v>49</v>
      </c>
      <c r="K782" s="71"/>
      <c r="M782" s="71"/>
      <c r="N782" s="94"/>
      <c r="P782" s="89"/>
    </row>
    <row r="783" spans="1:16" x14ac:dyDescent="0.25">
      <c r="A783" s="70">
        <f t="shared" si="19"/>
        <v>49</v>
      </c>
      <c r="K783" s="71"/>
      <c r="M783" s="71"/>
      <c r="N783" s="94"/>
      <c r="P783" s="89"/>
    </row>
    <row r="784" spans="1:16" x14ac:dyDescent="0.25">
      <c r="A784" s="70">
        <f t="shared" si="19"/>
        <v>49</v>
      </c>
      <c r="K784" s="71"/>
      <c r="M784" s="71"/>
      <c r="N784" s="94"/>
      <c r="P784" s="89"/>
    </row>
    <row r="785" spans="1:16" x14ac:dyDescent="0.25">
      <c r="A785" s="70">
        <f t="shared" si="19"/>
        <v>49</v>
      </c>
      <c r="K785" s="71"/>
      <c r="M785" s="71"/>
      <c r="N785" s="94"/>
      <c r="P785" s="89"/>
    </row>
    <row r="786" spans="1:16" x14ac:dyDescent="0.25">
      <c r="A786" s="70">
        <f t="shared" si="19"/>
        <v>49</v>
      </c>
      <c r="K786" s="71"/>
      <c r="M786" s="71"/>
      <c r="N786" s="94"/>
      <c r="P786" s="89"/>
    </row>
    <row r="787" spans="1:16" x14ac:dyDescent="0.25">
      <c r="A787" s="70">
        <f t="shared" si="19"/>
        <v>49</v>
      </c>
      <c r="K787" s="71"/>
      <c r="M787" s="71"/>
      <c r="N787" s="94"/>
      <c r="P787" s="89"/>
    </row>
    <row r="788" spans="1:16" x14ac:dyDescent="0.25">
      <c r="A788" s="70">
        <f t="shared" si="19"/>
        <v>49</v>
      </c>
      <c r="K788" s="71"/>
      <c r="M788" s="71"/>
      <c r="N788" s="94"/>
      <c r="P788" s="89"/>
    </row>
    <row r="789" spans="1:16" x14ac:dyDescent="0.25">
      <c r="A789" s="70">
        <f t="shared" si="19"/>
        <v>49</v>
      </c>
      <c r="K789" s="71"/>
      <c r="M789" s="71"/>
      <c r="N789" s="94"/>
      <c r="P789" s="89"/>
    </row>
    <row r="790" spans="1:16" x14ac:dyDescent="0.25">
      <c r="A790" s="70">
        <f t="shared" si="19"/>
        <v>49</v>
      </c>
      <c r="K790" s="71"/>
      <c r="M790" s="71"/>
      <c r="N790" s="94"/>
      <c r="P790" s="89"/>
    </row>
    <row r="791" spans="1:16" x14ac:dyDescent="0.25">
      <c r="A791" s="70">
        <f t="shared" si="19"/>
        <v>49</v>
      </c>
      <c r="K791" s="71"/>
      <c r="M791" s="71"/>
      <c r="N791" s="94"/>
      <c r="P791" s="89"/>
    </row>
    <row r="792" spans="1:16" x14ac:dyDescent="0.25">
      <c r="A792" s="70">
        <f t="shared" si="19"/>
        <v>49</v>
      </c>
      <c r="K792" s="71"/>
      <c r="M792" s="71"/>
      <c r="N792" s="94"/>
      <c r="P792" s="89"/>
    </row>
    <row r="793" spans="1:16" x14ac:dyDescent="0.25">
      <c r="A793" s="70">
        <f t="shared" si="19"/>
        <v>49</v>
      </c>
      <c r="K793" s="71"/>
      <c r="M793" s="71"/>
      <c r="N793" s="94"/>
      <c r="P793" s="89"/>
    </row>
    <row r="794" spans="1:16" x14ac:dyDescent="0.25">
      <c r="A794" s="70">
        <f t="shared" si="19"/>
        <v>49</v>
      </c>
      <c r="K794" s="71"/>
      <c r="M794" s="71"/>
      <c r="N794" s="94"/>
      <c r="P794" s="89"/>
    </row>
    <row r="795" spans="1:16" x14ac:dyDescent="0.25">
      <c r="A795" s="70">
        <f t="shared" si="19"/>
        <v>49</v>
      </c>
      <c r="K795" s="71"/>
      <c r="M795" s="71"/>
      <c r="N795" s="94"/>
      <c r="P795" s="89"/>
    </row>
    <row r="796" spans="1:16" x14ac:dyDescent="0.25">
      <c r="A796" s="70">
        <f t="shared" si="19"/>
        <v>49</v>
      </c>
      <c r="K796" s="71"/>
      <c r="M796" s="71"/>
      <c r="N796" s="94"/>
      <c r="P796" s="89"/>
    </row>
    <row r="797" spans="1:16" x14ac:dyDescent="0.25">
      <c r="A797" s="70">
        <f t="shared" si="19"/>
        <v>49</v>
      </c>
      <c r="K797" s="71"/>
      <c r="M797" s="71"/>
      <c r="N797" s="94"/>
      <c r="P797" s="89"/>
    </row>
    <row r="798" spans="1:16" x14ac:dyDescent="0.25">
      <c r="A798" s="70">
        <f t="shared" si="19"/>
        <v>49</v>
      </c>
      <c r="K798" s="71"/>
      <c r="M798" s="71"/>
      <c r="N798" s="94"/>
      <c r="P798" s="89"/>
    </row>
    <row r="799" spans="1:16" x14ac:dyDescent="0.25">
      <c r="A799" s="70">
        <f t="shared" si="19"/>
        <v>49</v>
      </c>
      <c r="K799" s="71"/>
      <c r="M799" s="71"/>
      <c r="N799" s="94"/>
      <c r="P799" s="89"/>
    </row>
    <row r="800" spans="1:16" x14ac:dyDescent="0.25">
      <c r="A800" s="70">
        <f t="shared" si="19"/>
        <v>49</v>
      </c>
      <c r="K800" s="71"/>
      <c r="M800" s="71"/>
      <c r="N800" s="94"/>
      <c r="P800" s="89"/>
    </row>
    <row r="801" spans="1:16" x14ac:dyDescent="0.25">
      <c r="A801" s="70">
        <f t="shared" si="19"/>
        <v>49</v>
      </c>
      <c r="K801" s="71"/>
      <c r="M801" s="71"/>
      <c r="N801" s="94"/>
      <c r="P801" s="89"/>
    </row>
    <row r="802" spans="1:16" x14ac:dyDescent="0.25">
      <c r="A802" s="70">
        <f t="shared" si="19"/>
        <v>49</v>
      </c>
      <c r="K802" s="71"/>
      <c r="M802" s="71"/>
      <c r="N802" s="94"/>
      <c r="P802" s="89"/>
    </row>
    <row r="803" spans="1:16" x14ac:dyDescent="0.25">
      <c r="A803" s="70">
        <f t="shared" si="19"/>
        <v>49</v>
      </c>
      <c r="K803" s="71"/>
      <c r="M803" s="71"/>
      <c r="N803" s="94"/>
      <c r="P803" s="89"/>
    </row>
    <row r="804" spans="1:16" x14ac:dyDescent="0.25">
      <c r="A804" s="70">
        <f t="shared" si="19"/>
        <v>49</v>
      </c>
      <c r="K804" s="71"/>
      <c r="M804" s="71"/>
      <c r="N804" s="94"/>
      <c r="P804" s="89"/>
    </row>
    <row r="805" spans="1:16" x14ac:dyDescent="0.25">
      <c r="A805" s="70">
        <f t="shared" si="19"/>
        <v>49</v>
      </c>
      <c r="K805" s="71"/>
      <c r="M805" s="71"/>
      <c r="N805" s="94"/>
      <c r="P805" s="89"/>
    </row>
    <row r="806" spans="1:16" x14ac:dyDescent="0.25">
      <c r="A806" s="70">
        <f t="shared" si="19"/>
        <v>49</v>
      </c>
      <c r="K806" s="71"/>
      <c r="M806" s="71"/>
      <c r="N806" s="94"/>
      <c r="P806" s="89"/>
    </row>
    <row r="807" spans="1:16" x14ac:dyDescent="0.25">
      <c r="A807" s="70">
        <f t="shared" si="19"/>
        <v>49</v>
      </c>
      <c r="K807" s="71"/>
      <c r="M807" s="71"/>
      <c r="N807" s="94"/>
      <c r="P807" s="89"/>
    </row>
    <row r="808" spans="1:16" x14ac:dyDescent="0.25">
      <c r="A808" s="70">
        <f t="shared" si="19"/>
        <v>49</v>
      </c>
      <c r="K808" s="71"/>
      <c r="M808" s="71"/>
      <c r="N808" s="94"/>
      <c r="P808" s="89"/>
    </row>
    <row r="809" spans="1:16" x14ac:dyDescent="0.25">
      <c r="A809" s="70">
        <f t="shared" si="19"/>
        <v>49</v>
      </c>
      <c r="K809" s="71"/>
      <c r="M809" s="71"/>
      <c r="N809" s="94"/>
      <c r="P809" s="89"/>
    </row>
    <row r="810" spans="1:16" x14ac:dyDescent="0.25">
      <c r="A810" s="70">
        <f t="shared" si="19"/>
        <v>49</v>
      </c>
      <c r="K810" s="71"/>
      <c r="M810" s="71"/>
      <c r="N810" s="94"/>
      <c r="P810" s="89"/>
    </row>
    <row r="811" spans="1:16" x14ac:dyDescent="0.25">
      <c r="A811" s="70">
        <f t="shared" si="19"/>
        <v>49</v>
      </c>
      <c r="K811" s="71"/>
      <c r="M811" s="71"/>
      <c r="N811" s="94"/>
      <c r="P811" s="89"/>
    </row>
    <row r="812" spans="1:16" x14ac:dyDescent="0.25">
      <c r="A812" s="70">
        <f t="shared" si="19"/>
        <v>49</v>
      </c>
      <c r="K812" s="71"/>
      <c r="M812" s="71"/>
      <c r="N812" s="94"/>
      <c r="P812" s="89"/>
    </row>
    <row r="813" spans="1:16" x14ac:dyDescent="0.25">
      <c r="A813" s="70">
        <f t="shared" si="19"/>
        <v>49</v>
      </c>
      <c r="K813" s="71"/>
      <c r="M813" s="71"/>
      <c r="N813" s="94"/>
      <c r="P813" s="89"/>
    </row>
    <row r="814" spans="1:16" x14ac:dyDescent="0.25">
      <c r="A814" s="70">
        <f t="shared" si="19"/>
        <v>49</v>
      </c>
      <c r="K814" s="71"/>
      <c r="M814" s="71"/>
      <c r="N814" s="94"/>
      <c r="P814" s="89"/>
    </row>
    <row r="815" spans="1:16" x14ac:dyDescent="0.25">
      <c r="A815" s="70">
        <f t="shared" si="19"/>
        <v>49</v>
      </c>
      <c r="K815" s="71"/>
      <c r="M815" s="71"/>
      <c r="N815" s="94"/>
      <c r="P815" s="89"/>
    </row>
    <row r="816" spans="1:16" x14ac:dyDescent="0.25">
      <c r="A816" s="70">
        <f t="shared" si="19"/>
        <v>49</v>
      </c>
      <c r="K816" s="71"/>
      <c r="M816" s="71"/>
      <c r="N816" s="94"/>
      <c r="P816" s="89"/>
    </row>
    <row r="817" spans="1:16" x14ac:dyDescent="0.25">
      <c r="A817" s="70">
        <f t="shared" si="19"/>
        <v>49</v>
      </c>
      <c r="K817" s="71"/>
      <c r="M817" s="71"/>
      <c r="N817" s="94"/>
      <c r="P817" s="89"/>
    </row>
    <row r="818" spans="1:16" x14ac:dyDescent="0.25">
      <c r="A818" s="70">
        <f t="shared" si="19"/>
        <v>49</v>
      </c>
      <c r="K818" s="71"/>
      <c r="M818" s="71"/>
      <c r="N818" s="94"/>
      <c r="P818" s="89"/>
    </row>
    <row r="819" spans="1:16" x14ac:dyDescent="0.25">
      <c r="A819" s="70">
        <f t="shared" si="19"/>
        <v>49</v>
      </c>
      <c r="K819" s="71"/>
      <c r="M819" s="71"/>
      <c r="N819" s="94"/>
      <c r="P819" s="89"/>
    </row>
    <row r="820" spans="1:16" x14ac:dyDescent="0.25">
      <c r="A820" s="70">
        <f t="shared" si="19"/>
        <v>49</v>
      </c>
      <c r="K820" s="71"/>
      <c r="M820" s="71"/>
      <c r="N820" s="94"/>
      <c r="P820" s="89"/>
    </row>
    <row r="821" spans="1:16" x14ac:dyDescent="0.25">
      <c r="A821" s="70">
        <f t="shared" si="19"/>
        <v>49</v>
      </c>
      <c r="K821" s="71"/>
      <c r="M821" s="71"/>
      <c r="N821" s="94"/>
      <c r="P821" s="89"/>
    </row>
    <row r="822" spans="1:16" x14ac:dyDescent="0.25">
      <c r="A822" s="70">
        <f t="shared" si="19"/>
        <v>49</v>
      </c>
      <c r="K822" s="71"/>
      <c r="M822" s="71"/>
      <c r="N822" s="94"/>
      <c r="P822" s="89"/>
    </row>
    <row r="823" spans="1:16" x14ac:dyDescent="0.25">
      <c r="A823" s="70">
        <f t="shared" si="19"/>
        <v>49</v>
      </c>
      <c r="K823" s="71"/>
      <c r="M823" s="71"/>
      <c r="N823" s="94"/>
      <c r="P823" s="89"/>
    </row>
    <row r="824" spans="1:16" x14ac:dyDescent="0.25">
      <c r="A824" s="70">
        <f t="shared" si="19"/>
        <v>49</v>
      </c>
      <c r="K824" s="71"/>
      <c r="M824" s="71"/>
      <c r="N824" s="94"/>
      <c r="P824" s="89"/>
    </row>
    <row r="825" spans="1:16" x14ac:dyDescent="0.25">
      <c r="A825" s="70">
        <f t="shared" si="19"/>
        <v>49</v>
      </c>
      <c r="K825" s="71"/>
      <c r="M825" s="71"/>
      <c r="N825" s="94"/>
      <c r="P825" s="89"/>
    </row>
    <row r="826" spans="1:16" x14ac:dyDescent="0.25">
      <c r="A826" s="70">
        <f t="shared" si="19"/>
        <v>49</v>
      </c>
      <c r="K826" s="71"/>
      <c r="M826" s="71"/>
      <c r="N826" s="94"/>
      <c r="P826" s="89"/>
    </row>
    <row r="827" spans="1:16" x14ac:dyDescent="0.25">
      <c r="A827" s="70">
        <f t="shared" si="19"/>
        <v>49</v>
      </c>
      <c r="K827" s="71"/>
      <c r="M827" s="71"/>
      <c r="N827" s="94"/>
      <c r="P827" s="89"/>
    </row>
    <row r="828" spans="1:16" x14ac:dyDescent="0.25">
      <c r="A828" s="70">
        <f t="shared" si="19"/>
        <v>49</v>
      </c>
      <c r="K828" s="71"/>
      <c r="M828" s="71"/>
      <c r="N828" s="94"/>
      <c r="P828" s="89"/>
    </row>
    <row r="829" spans="1:16" x14ac:dyDescent="0.25">
      <c r="A829" s="70">
        <f t="shared" si="19"/>
        <v>49</v>
      </c>
      <c r="K829" s="71"/>
      <c r="M829" s="71"/>
      <c r="N829" s="94"/>
      <c r="P829" s="89"/>
    </row>
    <row r="830" spans="1:16" x14ac:dyDescent="0.25">
      <c r="A830" s="70">
        <f t="shared" si="19"/>
        <v>49</v>
      </c>
      <c r="K830" s="71"/>
      <c r="M830" s="71"/>
      <c r="N830" s="94"/>
      <c r="P830" s="89"/>
    </row>
    <row r="831" spans="1:16" x14ac:dyDescent="0.25">
      <c r="A831" s="70">
        <f t="shared" si="19"/>
        <v>49</v>
      </c>
      <c r="K831" s="71"/>
      <c r="M831" s="71"/>
      <c r="N831" s="94"/>
      <c r="P831" s="89"/>
    </row>
    <row r="832" spans="1:16" x14ac:dyDescent="0.25">
      <c r="A832" s="70">
        <f t="shared" si="19"/>
        <v>49</v>
      </c>
      <c r="K832" s="71"/>
      <c r="M832" s="71"/>
      <c r="N832" s="94"/>
      <c r="P832" s="89"/>
    </row>
    <row r="833" spans="1:16" x14ac:dyDescent="0.25">
      <c r="A833" s="70">
        <f t="shared" si="19"/>
        <v>49</v>
      </c>
      <c r="K833" s="71"/>
      <c r="M833" s="71"/>
      <c r="N833" s="94"/>
      <c r="P833" s="89"/>
    </row>
    <row r="834" spans="1:16" x14ac:dyDescent="0.25">
      <c r="A834" s="70">
        <f t="shared" si="19"/>
        <v>49</v>
      </c>
      <c r="K834" s="71"/>
      <c r="M834" s="71"/>
      <c r="N834" s="94"/>
      <c r="P834" s="89"/>
    </row>
    <row r="835" spans="1:16" x14ac:dyDescent="0.25">
      <c r="A835" s="70">
        <f t="shared" si="19"/>
        <v>49</v>
      </c>
      <c r="K835" s="71"/>
      <c r="M835" s="71"/>
      <c r="N835" s="94"/>
      <c r="P835" s="89"/>
    </row>
    <row r="836" spans="1:16" x14ac:dyDescent="0.25">
      <c r="A836" s="70">
        <f t="shared" si="19"/>
        <v>49</v>
      </c>
      <c r="K836" s="71"/>
      <c r="M836" s="71"/>
      <c r="N836" s="94"/>
      <c r="P836" s="89"/>
    </row>
    <row r="837" spans="1:16" x14ac:dyDescent="0.25">
      <c r="A837" s="70">
        <f t="shared" si="19"/>
        <v>49</v>
      </c>
      <c r="K837" s="71"/>
      <c r="M837" s="71"/>
      <c r="N837" s="94"/>
      <c r="P837" s="89"/>
    </row>
    <row r="838" spans="1:16" x14ac:dyDescent="0.25">
      <c r="A838" s="70">
        <f t="shared" ref="A838:A901" si="20">IF(B838=B837,A837,A837+1)</f>
        <v>49</v>
      </c>
      <c r="K838" s="71"/>
      <c r="M838" s="71"/>
      <c r="N838" s="94"/>
      <c r="P838" s="89"/>
    </row>
    <row r="839" spans="1:16" x14ac:dyDescent="0.25">
      <c r="A839" s="70">
        <f t="shared" si="20"/>
        <v>49</v>
      </c>
      <c r="K839" s="71"/>
      <c r="M839" s="71"/>
      <c r="N839" s="94"/>
      <c r="P839" s="89"/>
    </row>
    <row r="840" spans="1:16" x14ac:dyDescent="0.25">
      <c r="A840" s="70">
        <f t="shared" si="20"/>
        <v>49</v>
      </c>
      <c r="K840" s="71"/>
      <c r="M840" s="71"/>
      <c r="N840" s="94"/>
      <c r="P840" s="89"/>
    </row>
    <row r="841" spans="1:16" x14ac:dyDescent="0.25">
      <c r="A841" s="70">
        <f t="shared" si="20"/>
        <v>49</v>
      </c>
      <c r="K841" s="71"/>
      <c r="M841" s="71"/>
      <c r="N841" s="94"/>
      <c r="P841" s="89"/>
    </row>
    <row r="842" spans="1:16" x14ac:dyDescent="0.25">
      <c r="A842" s="70">
        <f t="shared" si="20"/>
        <v>49</v>
      </c>
      <c r="K842" s="71"/>
      <c r="M842" s="71"/>
      <c r="N842" s="94"/>
      <c r="P842" s="89"/>
    </row>
    <row r="843" spans="1:16" x14ac:dyDescent="0.25">
      <c r="A843" s="70">
        <f t="shared" si="20"/>
        <v>49</v>
      </c>
      <c r="K843" s="71"/>
      <c r="M843" s="71"/>
      <c r="N843" s="94"/>
      <c r="P843" s="89"/>
    </row>
    <row r="844" spans="1:16" x14ac:dyDescent="0.25">
      <c r="A844" s="70">
        <f t="shared" si="20"/>
        <v>49</v>
      </c>
      <c r="K844" s="71"/>
      <c r="M844" s="71"/>
      <c r="N844" s="94"/>
      <c r="P844" s="89"/>
    </row>
    <row r="845" spans="1:16" x14ac:dyDescent="0.25">
      <c r="A845" s="70">
        <f t="shared" si="20"/>
        <v>49</v>
      </c>
      <c r="K845" s="71"/>
      <c r="M845" s="71"/>
      <c r="N845" s="94"/>
      <c r="P845" s="89"/>
    </row>
    <row r="846" spans="1:16" x14ac:dyDescent="0.25">
      <c r="A846" s="70">
        <f t="shared" si="20"/>
        <v>49</v>
      </c>
      <c r="K846" s="71"/>
      <c r="M846" s="71"/>
      <c r="N846" s="94"/>
      <c r="P846" s="89"/>
    </row>
    <row r="847" spans="1:16" x14ac:dyDescent="0.25">
      <c r="A847" s="70">
        <f t="shared" si="20"/>
        <v>49</v>
      </c>
      <c r="K847" s="71"/>
      <c r="M847" s="71"/>
      <c r="N847" s="94"/>
      <c r="P847" s="89"/>
    </row>
    <row r="848" spans="1:16" x14ac:dyDescent="0.25">
      <c r="A848" s="70">
        <f t="shared" si="20"/>
        <v>49</v>
      </c>
      <c r="K848" s="71"/>
      <c r="M848" s="71"/>
      <c r="N848" s="94"/>
      <c r="P848" s="89"/>
    </row>
    <row r="849" spans="1:16" x14ac:dyDescent="0.25">
      <c r="A849" s="70">
        <f t="shared" si="20"/>
        <v>49</v>
      </c>
      <c r="K849" s="71"/>
      <c r="M849" s="71"/>
      <c r="N849" s="94"/>
      <c r="P849" s="89"/>
    </row>
    <row r="850" spans="1:16" x14ac:dyDescent="0.25">
      <c r="A850" s="70">
        <f t="shared" si="20"/>
        <v>49</v>
      </c>
      <c r="K850" s="71"/>
      <c r="M850" s="71"/>
      <c r="N850" s="94"/>
      <c r="P850" s="89"/>
    </row>
    <row r="851" spans="1:16" x14ac:dyDescent="0.25">
      <c r="A851" s="70">
        <f t="shared" si="20"/>
        <v>49</v>
      </c>
      <c r="K851" s="71"/>
      <c r="M851" s="71"/>
      <c r="N851" s="94"/>
      <c r="P851" s="89"/>
    </row>
    <row r="852" spans="1:16" x14ac:dyDescent="0.25">
      <c r="A852" s="70">
        <f t="shared" si="20"/>
        <v>49</v>
      </c>
      <c r="K852" s="71"/>
      <c r="M852" s="71"/>
      <c r="N852" s="94"/>
      <c r="P852" s="89"/>
    </row>
    <row r="853" spans="1:16" x14ac:dyDescent="0.25">
      <c r="A853" s="70">
        <f t="shared" si="20"/>
        <v>49</v>
      </c>
      <c r="K853" s="71"/>
      <c r="M853" s="71"/>
      <c r="N853" s="94"/>
      <c r="P853" s="89"/>
    </row>
    <row r="854" spans="1:16" x14ac:dyDescent="0.25">
      <c r="A854" s="70">
        <f t="shared" si="20"/>
        <v>49</v>
      </c>
      <c r="K854" s="71"/>
      <c r="M854" s="71"/>
      <c r="N854" s="94"/>
      <c r="P854" s="89"/>
    </row>
    <row r="855" spans="1:16" x14ac:dyDescent="0.25">
      <c r="A855" s="70">
        <f t="shared" si="20"/>
        <v>49</v>
      </c>
      <c r="K855" s="71"/>
      <c r="M855" s="71"/>
      <c r="N855" s="94"/>
      <c r="P855" s="89"/>
    </row>
    <row r="856" spans="1:16" x14ac:dyDescent="0.25">
      <c r="A856" s="70">
        <f t="shared" si="20"/>
        <v>49</v>
      </c>
      <c r="K856" s="71"/>
      <c r="M856" s="71"/>
      <c r="N856" s="94"/>
      <c r="P856" s="89"/>
    </row>
    <row r="857" spans="1:16" x14ac:dyDescent="0.25">
      <c r="A857" s="70">
        <f t="shared" si="20"/>
        <v>49</v>
      </c>
      <c r="K857" s="71"/>
      <c r="M857" s="71"/>
      <c r="N857" s="94"/>
      <c r="P857" s="89"/>
    </row>
    <row r="858" spans="1:16" x14ac:dyDescent="0.25">
      <c r="A858" s="70">
        <f t="shared" si="20"/>
        <v>49</v>
      </c>
      <c r="K858" s="71"/>
      <c r="M858" s="71"/>
      <c r="N858" s="94"/>
      <c r="P858" s="89"/>
    </row>
    <row r="859" spans="1:16" x14ac:dyDescent="0.25">
      <c r="A859" s="70">
        <f t="shared" si="20"/>
        <v>49</v>
      </c>
      <c r="K859" s="71"/>
      <c r="M859" s="71"/>
      <c r="N859" s="94"/>
      <c r="P859" s="89"/>
    </row>
    <row r="860" spans="1:16" x14ac:dyDescent="0.25">
      <c r="A860" s="70">
        <f t="shared" si="20"/>
        <v>49</v>
      </c>
      <c r="K860" s="71"/>
      <c r="M860" s="71"/>
      <c r="N860" s="94"/>
      <c r="P860" s="89"/>
    </row>
    <row r="861" spans="1:16" x14ac:dyDescent="0.25">
      <c r="A861" s="70">
        <f t="shared" si="20"/>
        <v>49</v>
      </c>
      <c r="K861" s="71"/>
      <c r="M861" s="71"/>
      <c r="N861" s="94"/>
      <c r="P861" s="89"/>
    </row>
    <row r="862" spans="1:16" x14ac:dyDescent="0.25">
      <c r="A862" s="70">
        <f t="shared" si="20"/>
        <v>49</v>
      </c>
      <c r="K862" s="71"/>
      <c r="M862" s="71"/>
      <c r="N862" s="94"/>
      <c r="P862" s="89"/>
    </row>
    <row r="863" spans="1:16" x14ac:dyDescent="0.25">
      <c r="A863" s="70">
        <f t="shared" si="20"/>
        <v>49</v>
      </c>
      <c r="K863" s="71"/>
      <c r="M863" s="71"/>
      <c r="N863" s="94"/>
      <c r="P863" s="89"/>
    </row>
    <row r="864" spans="1:16" x14ac:dyDescent="0.25">
      <c r="A864" s="70">
        <f t="shared" si="20"/>
        <v>49</v>
      </c>
      <c r="K864" s="71"/>
      <c r="M864" s="71"/>
      <c r="N864" s="94"/>
      <c r="P864" s="89"/>
    </row>
    <row r="865" spans="1:16" x14ac:dyDescent="0.25">
      <c r="A865" s="70">
        <f t="shared" si="20"/>
        <v>49</v>
      </c>
      <c r="K865" s="71"/>
      <c r="M865" s="71"/>
      <c r="N865" s="94"/>
      <c r="P865" s="89"/>
    </row>
    <row r="866" spans="1:16" x14ac:dyDescent="0.25">
      <c r="A866" s="70">
        <f t="shared" si="20"/>
        <v>49</v>
      </c>
      <c r="K866" s="71"/>
      <c r="M866" s="71"/>
      <c r="N866" s="94"/>
      <c r="P866" s="89"/>
    </row>
    <row r="867" spans="1:16" x14ac:dyDescent="0.25">
      <c r="A867" s="70">
        <f t="shared" si="20"/>
        <v>49</v>
      </c>
      <c r="K867" s="71"/>
      <c r="M867" s="71"/>
      <c r="N867" s="94"/>
      <c r="P867" s="89"/>
    </row>
    <row r="868" spans="1:16" x14ac:dyDescent="0.25">
      <c r="A868" s="70">
        <f t="shared" si="20"/>
        <v>49</v>
      </c>
      <c r="K868" s="71"/>
      <c r="M868" s="71"/>
      <c r="N868" s="94"/>
      <c r="P868" s="89"/>
    </row>
    <row r="869" spans="1:16" x14ac:dyDescent="0.25">
      <c r="A869" s="70">
        <f t="shared" si="20"/>
        <v>49</v>
      </c>
      <c r="K869" s="71"/>
      <c r="M869" s="71"/>
      <c r="N869" s="94"/>
      <c r="P869" s="89"/>
    </row>
    <row r="870" spans="1:16" x14ac:dyDescent="0.25">
      <c r="A870" s="70">
        <f t="shared" si="20"/>
        <v>49</v>
      </c>
      <c r="K870" s="71"/>
      <c r="M870" s="71"/>
      <c r="N870" s="94"/>
      <c r="P870" s="89"/>
    </row>
    <row r="871" spans="1:16" x14ac:dyDescent="0.25">
      <c r="A871" s="70">
        <f t="shared" si="20"/>
        <v>49</v>
      </c>
      <c r="K871" s="71"/>
      <c r="M871" s="71"/>
      <c r="N871" s="94"/>
      <c r="P871" s="89"/>
    </row>
    <row r="872" spans="1:16" x14ac:dyDescent="0.25">
      <c r="A872" s="70">
        <f t="shared" si="20"/>
        <v>49</v>
      </c>
      <c r="K872" s="71"/>
      <c r="M872" s="71"/>
      <c r="N872" s="94"/>
      <c r="P872" s="89"/>
    </row>
    <row r="873" spans="1:16" x14ac:dyDescent="0.25">
      <c r="A873" s="70">
        <f t="shared" si="20"/>
        <v>49</v>
      </c>
      <c r="K873" s="71"/>
      <c r="M873" s="71"/>
      <c r="N873" s="94"/>
      <c r="P873" s="89"/>
    </row>
    <row r="874" spans="1:16" x14ac:dyDescent="0.25">
      <c r="A874" s="70">
        <f t="shared" si="20"/>
        <v>49</v>
      </c>
      <c r="K874" s="71"/>
      <c r="M874" s="71"/>
      <c r="N874" s="94"/>
      <c r="P874" s="89"/>
    </row>
    <row r="875" spans="1:16" x14ac:dyDescent="0.25">
      <c r="A875" s="70">
        <f t="shared" si="20"/>
        <v>49</v>
      </c>
      <c r="K875" s="71"/>
      <c r="M875" s="71"/>
      <c r="N875" s="94"/>
      <c r="P875" s="89"/>
    </row>
    <row r="876" spans="1:16" x14ac:dyDescent="0.25">
      <c r="A876" s="70">
        <f t="shared" si="20"/>
        <v>49</v>
      </c>
      <c r="K876" s="71"/>
      <c r="M876" s="71"/>
      <c r="N876" s="94"/>
      <c r="P876" s="89"/>
    </row>
    <row r="877" spans="1:16" x14ac:dyDescent="0.25">
      <c r="A877" s="70">
        <f t="shared" si="20"/>
        <v>49</v>
      </c>
      <c r="K877" s="71"/>
      <c r="M877" s="71"/>
      <c r="N877" s="94"/>
      <c r="P877" s="89"/>
    </row>
    <row r="878" spans="1:16" x14ac:dyDescent="0.25">
      <c r="A878" s="70">
        <f t="shared" si="20"/>
        <v>49</v>
      </c>
      <c r="K878" s="71"/>
      <c r="M878" s="71"/>
      <c r="N878" s="94"/>
      <c r="P878" s="89"/>
    </row>
    <row r="879" spans="1:16" x14ac:dyDescent="0.25">
      <c r="A879" s="70">
        <f t="shared" si="20"/>
        <v>49</v>
      </c>
      <c r="K879" s="71"/>
      <c r="M879" s="71"/>
      <c r="N879" s="94"/>
      <c r="P879" s="89"/>
    </row>
    <row r="880" spans="1:16" x14ac:dyDescent="0.25">
      <c r="A880" s="70">
        <f t="shared" si="20"/>
        <v>49</v>
      </c>
      <c r="K880" s="71"/>
      <c r="M880" s="71"/>
      <c r="N880" s="94"/>
      <c r="P880" s="89"/>
    </row>
    <row r="881" spans="1:16" x14ac:dyDescent="0.25">
      <c r="A881" s="70">
        <f t="shared" si="20"/>
        <v>49</v>
      </c>
      <c r="K881" s="71"/>
      <c r="M881" s="71"/>
      <c r="N881" s="94"/>
      <c r="P881" s="89"/>
    </row>
    <row r="882" spans="1:16" x14ac:dyDescent="0.25">
      <c r="A882" s="70">
        <f t="shared" si="20"/>
        <v>49</v>
      </c>
      <c r="K882" s="71"/>
      <c r="M882" s="71"/>
      <c r="N882" s="94"/>
      <c r="P882" s="89"/>
    </row>
    <row r="883" spans="1:16" x14ac:dyDescent="0.25">
      <c r="A883" s="70">
        <f t="shared" si="20"/>
        <v>49</v>
      </c>
      <c r="K883" s="71"/>
      <c r="M883" s="71"/>
      <c r="N883" s="94"/>
      <c r="P883" s="89"/>
    </row>
    <row r="884" spans="1:16" x14ac:dyDescent="0.25">
      <c r="A884" s="70">
        <f t="shared" si="20"/>
        <v>49</v>
      </c>
      <c r="K884" s="71"/>
      <c r="M884" s="71"/>
      <c r="N884" s="94"/>
      <c r="P884" s="89"/>
    </row>
    <row r="885" spans="1:16" x14ac:dyDescent="0.25">
      <c r="A885" s="70">
        <f t="shared" si="20"/>
        <v>49</v>
      </c>
      <c r="K885" s="71"/>
      <c r="M885" s="71"/>
      <c r="N885" s="94"/>
      <c r="P885" s="89"/>
    </row>
    <row r="886" spans="1:16" x14ac:dyDescent="0.25">
      <c r="A886" s="70">
        <f t="shared" si="20"/>
        <v>49</v>
      </c>
      <c r="K886" s="71"/>
      <c r="M886" s="71"/>
      <c r="N886" s="94"/>
      <c r="P886" s="89"/>
    </row>
    <row r="887" spans="1:16" x14ac:dyDescent="0.25">
      <c r="A887" s="70">
        <f t="shared" si="20"/>
        <v>49</v>
      </c>
      <c r="K887" s="71"/>
      <c r="M887" s="71"/>
      <c r="N887" s="94"/>
      <c r="P887" s="89"/>
    </row>
    <row r="888" spans="1:16" x14ac:dyDescent="0.25">
      <c r="A888" s="70">
        <f t="shared" si="20"/>
        <v>49</v>
      </c>
      <c r="K888" s="71"/>
      <c r="M888" s="71"/>
      <c r="N888" s="94"/>
      <c r="P888" s="89"/>
    </row>
    <row r="889" spans="1:16" x14ac:dyDescent="0.25">
      <c r="A889" s="70">
        <f t="shared" si="20"/>
        <v>49</v>
      </c>
      <c r="K889" s="71"/>
      <c r="M889" s="71"/>
      <c r="N889" s="94"/>
      <c r="P889" s="89"/>
    </row>
    <row r="890" spans="1:16" x14ac:dyDescent="0.25">
      <c r="A890" s="70">
        <f t="shared" si="20"/>
        <v>49</v>
      </c>
      <c r="K890" s="71"/>
      <c r="M890" s="71"/>
      <c r="N890" s="94"/>
      <c r="P890" s="89"/>
    </row>
    <row r="891" spans="1:16" x14ac:dyDescent="0.25">
      <c r="A891" s="70">
        <f t="shared" si="20"/>
        <v>49</v>
      </c>
      <c r="K891" s="71"/>
      <c r="M891" s="71"/>
      <c r="N891" s="94"/>
      <c r="P891" s="89"/>
    </row>
    <row r="892" spans="1:16" x14ac:dyDescent="0.25">
      <c r="A892" s="70">
        <f t="shared" si="20"/>
        <v>49</v>
      </c>
      <c r="K892" s="71"/>
      <c r="M892" s="71"/>
      <c r="N892" s="94"/>
      <c r="P892" s="89"/>
    </row>
    <row r="893" spans="1:16" x14ac:dyDescent="0.25">
      <c r="A893" s="70">
        <f t="shared" si="20"/>
        <v>49</v>
      </c>
      <c r="K893" s="71"/>
      <c r="M893" s="71"/>
      <c r="N893" s="94"/>
      <c r="P893" s="89"/>
    </row>
    <row r="894" spans="1:16" x14ac:dyDescent="0.25">
      <c r="A894" s="70">
        <f t="shared" si="20"/>
        <v>49</v>
      </c>
      <c r="K894" s="71"/>
      <c r="M894" s="71"/>
      <c r="N894" s="94"/>
      <c r="P894" s="89"/>
    </row>
    <row r="895" spans="1:16" x14ac:dyDescent="0.25">
      <c r="A895" s="70">
        <f t="shared" si="20"/>
        <v>49</v>
      </c>
      <c r="K895" s="71"/>
      <c r="M895" s="71"/>
      <c r="N895" s="94"/>
      <c r="P895" s="89"/>
    </row>
    <row r="896" spans="1:16" x14ac:dyDescent="0.25">
      <c r="A896" s="70">
        <f t="shared" si="20"/>
        <v>49</v>
      </c>
      <c r="K896" s="71"/>
      <c r="M896" s="71"/>
      <c r="N896" s="94"/>
      <c r="P896" s="89"/>
    </row>
    <row r="897" spans="1:16" x14ac:dyDescent="0.25">
      <c r="A897" s="70">
        <f t="shared" si="20"/>
        <v>49</v>
      </c>
      <c r="K897" s="71"/>
      <c r="M897" s="71"/>
      <c r="N897" s="94"/>
      <c r="P897" s="89"/>
    </row>
    <row r="898" spans="1:16" x14ac:dyDescent="0.25">
      <c r="A898" s="70">
        <f t="shared" si="20"/>
        <v>49</v>
      </c>
      <c r="K898" s="71"/>
      <c r="M898" s="71"/>
      <c r="N898" s="94"/>
      <c r="P898" s="89"/>
    </row>
    <row r="899" spans="1:16" x14ac:dyDescent="0.25">
      <c r="A899" s="70">
        <f t="shared" si="20"/>
        <v>49</v>
      </c>
      <c r="K899" s="71"/>
      <c r="M899" s="71"/>
      <c r="N899" s="94"/>
      <c r="P899" s="89"/>
    </row>
    <row r="900" spans="1:16" x14ac:dyDescent="0.25">
      <c r="A900" s="70">
        <f t="shared" si="20"/>
        <v>49</v>
      </c>
      <c r="K900" s="71"/>
      <c r="M900" s="71"/>
      <c r="N900" s="94"/>
      <c r="P900" s="89"/>
    </row>
    <row r="901" spans="1:16" x14ac:dyDescent="0.25">
      <c r="A901" s="70">
        <f t="shared" si="20"/>
        <v>49</v>
      </c>
      <c r="K901" s="71"/>
      <c r="M901" s="71"/>
      <c r="N901" s="94"/>
      <c r="P901" s="89"/>
    </row>
    <row r="902" spans="1:16" x14ac:dyDescent="0.25">
      <c r="A902" s="70">
        <f t="shared" ref="A902:A965" si="21">IF(B902=B901,A901,A901+1)</f>
        <v>49</v>
      </c>
      <c r="K902" s="71"/>
      <c r="M902" s="71"/>
      <c r="N902" s="94"/>
      <c r="P902" s="89"/>
    </row>
    <row r="903" spans="1:16" x14ac:dyDescent="0.25">
      <c r="A903" s="70">
        <f t="shared" si="21"/>
        <v>49</v>
      </c>
      <c r="K903" s="71"/>
      <c r="M903" s="71"/>
      <c r="N903" s="94"/>
      <c r="P903" s="89"/>
    </row>
    <row r="904" spans="1:16" x14ac:dyDescent="0.25">
      <c r="A904" s="70">
        <f t="shared" si="21"/>
        <v>49</v>
      </c>
      <c r="K904" s="71"/>
      <c r="M904" s="71"/>
      <c r="N904" s="94"/>
      <c r="P904" s="89"/>
    </row>
    <row r="905" spans="1:16" x14ac:dyDescent="0.25">
      <c r="A905" s="70">
        <f t="shared" si="21"/>
        <v>49</v>
      </c>
      <c r="K905" s="71"/>
      <c r="M905" s="71"/>
      <c r="N905" s="94"/>
      <c r="P905" s="89"/>
    </row>
    <row r="906" spans="1:16" x14ac:dyDescent="0.25">
      <c r="A906" s="70">
        <f t="shared" si="21"/>
        <v>49</v>
      </c>
      <c r="K906" s="71"/>
      <c r="M906" s="71"/>
      <c r="N906" s="94"/>
      <c r="P906" s="89"/>
    </row>
    <row r="907" spans="1:16" x14ac:dyDescent="0.25">
      <c r="A907" s="70">
        <f t="shared" si="21"/>
        <v>49</v>
      </c>
      <c r="K907" s="71"/>
      <c r="M907" s="71"/>
      <c r="N907" s="94"/>
      <c r="P907" s="89"/>
    </row>
    <row r="908" spans="1:16" x14ac:dyDescent="0.25">
      <c r="A908" s="70">
        <f t="shared" si="21"/>
        <v>49</v>
      </c>
      <c r="K908" s="71"/>
      <c r="M908" s="71"/>
      <c r="N908" s="94"/>
      <c r="P908" s="89"/>
    </row>
    <row r="909" spans="1:16" x14ac:dyDescent="0.25">
      <c r="A909" s="70">
        <f t="shared" si="21"/>
        <v>49</v>
      </c>
      <c r="K909" s="71"/>
      <c r="M909" s="71"/>
      <c r="N909" s="94"/>
      <c r="P909" s="89"/>
    </row>
    <row r="910" spans="1:16" x14ac:dyDescent="0.25">
      <c r="A910" s="70">
        <f t="shared" si="21"/>
        <v>49</v>
      </c>
      <c r="K910" s="71"/>
      <c r="M910" s="71"/>
      <c r="N910" s="94"/>
      <c r="P910" s="89"/>
    </row>
    <row r="911" spans="1:16" x14ac:dyDescent="0.25">
      <c r="A911" s="70">
        <f t="shared" si="21"/>
        <v>49</v>
      </c>
      <c r="K911" s="71"/>
      <c r="M911" s="71"/>
      <c r="N911" s="94"/>
      <c r="P911" s="89"/>
    </row>
    <row r="912" spans="1:16" x14ac:dyDescent="0.25">
      <c r="A912" s="70">
        <f t="shared" si="21"/>
        <v>49</v>
      </c>
      <c r="K912" s="71"/>
      <c r="M912" s="71"/>
      <c r="N912" s="94"/>
      <c r="P912" s="89"/>
    </row>
    <row r="913" spans="1:16" x14ac:dyDescent="0.25">
      <c r="A913" s="70">
        <f t="shared" si="21"/>
        <v>49</v>
      </c>
      <c r="K913" s="71"/>
      <c r="M913" s="71"/>
      <c r="N913" s="94"/>
      <c r="P913" s="89"/>
    </row>
    <row r="914" spans="1:16" x14ac:dyDescent="0.25">
      <c r="A914" s="70">
        <f t="shared" si="21"/>
        <v>49</v>
      </c>
      <c r="K914" s="71"/>
      <c r="M914" s="71"/>
      <c r="N914" s="94"/>
      <c r="P914" s="89"/>
    </row>
    <row r="915" spans="1:16" x14ac:dyDescent="0.25">
      <c r="A915" s="70">
        <f t="shared" si="21"/>
        <v>49</v>
      </c>
      <c r="K915" s="71"/>
      <c r="M915" s="71"/>
      <c r="N915" s="94"/>
      <c r="P915" s="89"/>
    </row>
    <row r="916" spans="1:16" x14ac:dyDescent="0.25">
      <c r="A916" s="70">
        <f t="shared" si="21"/>
        <v>49</v>
      </c>
      <c r="K916" s="71"/>
      <c r="M916" s="71"/>
      <c r="N916" s="94"/>
      <c r="P916" s="89"/>
    </row>
    <row r="917" spans="1:16" x14ac:dyDescent="0.25">
      <c r="A917" s="70">
        <f t="shared" si="21"/>
        <v>49</v>
      </c>
      <c r="K917" s="71"/>
      <c r="M917" s="71"/>
      <c r="N917" s="94"/>
      <c r="P917" s="89"/>
    </row>
    <row r="918" spans="1:16" x14ac:dyDescent="0.25">
      <c r="A918" s="70">
        <f t="shared" si="21"/>
        <v>49</v>
      </c>
      <c r="K918" s="71"/>
      <c r="M918" s="71"/>
      <c r="N918" s="94"/>
      <c r="P918" s="89"/>
    </row>
    <row r="919" spans="1:16" x14ac:dyDescent="0.25">
      <c r="A919" s="70">
        <f t="shared" si="21"/>
        <v>49</v>
      </c>
      <c r="K919" s="71"/>
      <c r="M919" s="71"/>
      <c r="N919" s="94"/>
      <c r="P919" s="89"/>
    </row>
    <row r="920" spans="1:16" x14ac:dyDescent="0.25">
      <c r="A920" s="70">
        <f t="shared" si="21"/>
        <v>49</v>
      </c>
      <c r="K920" s="71"/>
      <c r="M920" s="71"/>
      <c r="N920" s="94"/>
      <c r="P920" s="89"/>
    </row>
    <row r="921" spans="1:16" x14ac:dyDescent="0.25">
      <c r="A921" s="70">
        <f t="shared" si="21"/>
        <v>49</v>
      </c>
      <c r="K921" s="71"/>
      <c r="M921" s="71"/>
      <c r="N921" s="94"/>
      <c r="P921" s="89"/>
    </row>
    <row r="922" spans="1:16" x14ac:dyDescent="0.25">
      <c r="A922" s="70">
        <f t="shared" si="21"/>
        <v>49</v>
      </c>
      <c r="K922" s="71"/>
      <c r="M922" s="71"/>
      <c r="N922" s="94"/>
      <c r="P922" s="89"/>
    </row>
    <row r="923" spans="1:16" x14ac:dyDescent="0.25">
      <c r="A923" s="70">
        <f t="shared" si="21"/>
        <v>49</v>
      </c>
      <c r="K923" s="71"/>
      <c r="M923" s="71"/>
      <c r="N923" s="94"/>
      <c r="P923" s="89"/>
    </row>
    <row r="924" spans="1:16" x14ac:dyDescent="0.25">
      <c r="A924" s="70">
        <f t="shared" si="21"/>
        <v>49</v>
      </c>
      <c r="K924" s="71"/>
      <c r="M924" s="71"/>
      <c r="N924" s="94"/>
      <c r="P924" s="89"/>
    </row>
    <row r="925" spans="1:16" x14ac:dyDescent="0.25">
      <c r="A925" s="70">
        <f t="shared" si="21"/>
        <v>49</v>
      </c>
      <c r="K925" s="71"/>
      <c r="M925" s="71"/>
      <c r="N925" s="94"/>
      <c r="P925" s="89"/>
    </row>
    <row r="926" spans="1:16" x14ac:dyDescent="0.25">
      <c r="A926" s="70">
        <f t="shared" si="21"/>
        <v>49</v>
      </c>
      <c r="K926" s="71"/>
      <c r="M926" s="71"/>
      <c r="N926" s="94"/>
      <c r="P926" s="89"/>
    </row>
    <row r="927" spans="1:16" x14ac:dyDescent="0.25">
      <c r="A927" s="70">
        <f t="shared" si="21"/>
        <v>49</v>
      </c>
      <c r="K927" s="71"/>
      <c r="M927" s="71"/>
      <c r="N927" s="94"/>
      <c r="P927" s="89"/>
    </row>
    <row r="928" spans="1:16" x14ac:dyDescent="0.25">
      <c r="A928" s="70">
        <f t="shared" si="21"/>
        <v>49</v>
      </c>
      <c r="K928" s="71"/>
      <c r="M928" s="71"/>
      <c r="N928" s="94"/>
      <c r="P928" s="89"/>
    </row>
    <row r="929" spans="1:16" x14ac:dyDescent="0.25">
      <c r="A929" s="70">
        <f t="shared" si="21"/>
        <v>49</v>
      </c>
      <c r="K929" s="71"/>
      <c r="M929" s="71"/>
      <c r="N929" s="94"/>
      <c r="P929" s="89"/>
    </row>
    <row r="930" spans="1:16" x14ac:dyDescent="0.25">
      <c r="A930" s="70">
        <f t="shared" si="21"/>
        <v>49</v>
      </c>
      <c r="K930" s="71"/>
      <c r="M930" s="71"/>
      <c r="N930" s="94"/>
      <c r="P930" s="89"/>
    </row>
    <row r="931" spans="1:16" x14ac:dyDescent="0.25">
      <c r="A931" s="70">
        <f t="shared" si="21"/>
        <v>49</v>
      </c>
      <c r="K931" s="71"/>
      <c r="M931" s="71"/>
      <c r="N931" s="94"/>
      <c r="P931" s="89"/>
    </row>
    <row r="932" spans="1:16" x14ac:dyDescent="0.25">
      <c r="A932" s="70">
        <f t="shared" si="21"/>
        <v>49</v>
      </c>
      <c r="K932" s="71"/>
      <c r="M932" s="71"/>
      <c r="N932" s="94"/>
      <c r="P932" s="89"/>
    </row>
    <row r="933" spans="1:16" x14ac:dyDescent="0.25">
      <c r="A933" s="70">
        <f t="shared" si="21"/>
        <v>49</v>
      </c>
      <c r="K933" s="71"/>
      <c r="M933" s="71"/>
      <c r="N933" s="94"/>
      <c r="P933" s="89"/>
    </row>
    <row r="934" spans="1:16" x14ac:dyDescent="0.25">
      <c r="A934" s="70">
        <f t="shared" si="21"/>
        <v>49</v>
      </c>
      <c r="K934" s="71"/>
      <c r="M934" s="71"/>
      <c r="N934" s="94"/>
      <c r="P934" s="89"/>
    </row>
    <row r="935" spans="1:16" x14ac:dyDescent="0.25">
      <c r="A935" s="70">
        <f t="shared" si="21"/>
        <v>49</v>
      </c>
      <c r="K935" s="71"/>
      <c r="M935" s="71"/>
      <c r="N935" s="94"/>
      <c r="P935" s="89"/>
    </row>
    <row r="936" spans="1:16" x14ac:dyDescent="0.25">
      <c r="A936" s="70">
        <f t="shared" si="21"/>
        <v>49</v>
      </c>
      <c r="K936" s="71"/>
      <c r="M936" s="71"/>
      <c r="N936" s="94"/>
      <c r="P936" s="89"/>
    </row>
    <row r="937" spans="1:16" x14ac:dyDescent="0.25">
      <c r="A937" s="70">
        <f t="shared" si="21"/>
        <v>49</v>
      </c>
      <c r="K937" s="71"/>
      <c r="M937" s="71"/>
      <c r="N937" s="94"/>
      <c r="P937" s="89"/>
    </row>
    <row r="938" spans="1:16" x14ac:dyDescent="0.25">
      <c r="A938" s="70">
        <f t="shared" si="21"/>
        <v>49</v>
      </c>
      <c r="K938" s="71"/>
      <c r="M938" s="71"/>
      <c r="N938" s="94"/>
      <c r="P938" s="89"/>
    </row>
    <row r="939" spans="1:16" x14ac:dyDescent="0.25">
      <c r="A939" s="70">
        <f t="shared" si="21"/>
        <v>49</v>
      </c>
      <c r="K939" s="71"/>
      <c r="M939" s="71"/>
      <c r="N939" s="94"/>
      <c r="P939" s="89"/>
    </row>
    <row r="940" spans="1:16" x14ac:dyDescent="0.25">
      <c r="A940" s="70">
        <f t="shared" si="21"/>
        <v>49</v>
      </c>
      <c r="K940" s="71"/>
      <c r="M940" s="71"/>
      <c r="N940" s="94"/>
      <c r="P940" s="89"/>
    </row>
    <row r="941" spans="1:16" x14ac:dyDescent="0.25">
      <c r="A941" s="70">
        <f t="shared" si="21"/>
        <v>49</v>
      </c>
      <c r="K941" s="71"/>
      <c r="M941" s="71"/>
      <c r="N941" s="94"/>
      <c r="P941" s="89"/>
    </row>
    <row r="942" spans="1:16" x14ac:dyDescent="0.25">
      <c r="A942" s="70">
        <f t="shared" si="21"/>
        <v>49</v>
      </c>
      <c r="K942" s="71"/>
      <c r="M942" s="71"/>
      <c r="N942" s="94"/>
      <c r="P942" s="89"/>
    </row>
    <row r="943" spans="1:16" x14ac:dyDescent="0.25">
      <c r="A943" s="70">
        <f t="shared" si="21"/>
        <v>49</v>
      </c>
      <c r="K943" s="71"/>
      <c r="M943" s="71"/>
      <c r="N943" s="94"/>
      <c r="P943" s="89"/>
    </row>
    <row r="944" spans="1:16" x14ac:dyDescent="0.25">
      <c r="A944" s="70">
        <f t="shared" si="21"/>
        <v>49</v>
      </c>
      <c r="K944" s="71"/>
      <c r="M944" s="71"/>
      <c r="N944" s="94"/>
      <c r="P944" s="89"/>
    </row>
    <row r="945" spans="1:16" x14ac:dyDescent="0.25">
      <c r="A945" s="70">
        <f t="shared" si="21"/>
        <v>49</v>
      </c>
      <c r="K945" s="71"/>
      <c r="M945" s="71"/>
      <c r="N945" s="94"/>
      <c r="P945" s="89"/>
    </row>
    <row r="946" spans="1:16" x14ac:dyDescent="0.25">
      <c r="A946" s="70">
        <f t="shared" si="21"/>
        <v>49</v>
      </c>
      <c r="K946" s="71"/>
      <c r="M946" s="71"/>
      <c r="N946" s="94"/>
      <c r="P946" s="89"/>
    </row>
    <row r="947" spans="1:16" x14ac:dyDescent="0.25">
      <c r="A947" s="70">
        <f t="shared" si="21"/>
        <v>49</v>
      </c>
      <c r="K947" s="71"/>
      <c r="M947" s="71"/>
      <c r="N947" s="94"/>
      <c r="P947" s="89"/>
    </row>
    <row r="948" spans="1:16" x14ac:dyDescent="0.25">
      <c r="A948" s="70">
        <f t="shared" si="21"/>
        <v>49</v>
      </c>
      <c r="K948" s="71"/>
      <c r="M948" s="71"/>
      <c r="N948" s="94"/>
      <c r="P948" s="89"/>
    </row>
    <row r="949" spans="1:16" x14ac:dyDescent="0.25">
      <c r="A949" s="70">
        <f t="shared" si="21"/>
        <v>49</v>
      </c>
      <c r="K949" s="71"/>
      <c r="M949" s="71"/>
      <c r="N949" s="94"/>
      <c r="P949" s="89"/>
    </row>
    <row r="950" spans="1:16" x14ac:dyDescent="0.25">
      <c r="A950" s="70">
        <f t="shared" si="21"/>
        <v>49</v>
      </c>
      <c r="K950" s="71"/>
      <c r="M950" s="71"/>
      <c r="N950" s="94"/>
      <c r="P950" s="89"/>
    </row>
    <row r="951" spans="1:16" x14ac:dyDescent="0.25">
      <c r="A951" s="70">
        <f t="shared" si="21"/>
        <v>49</v>
      </c>
      <c r="K951" s="71"/>
      <c r="M951" s="71"/>
      <c r="N951" s="94"/>
      <c r="P951" s="89"/>
    </row>
    <row r="952" spans="1:16" x14ac:dyDescent="0.25">
      <c r="A952" s="70">
        <f t="shared" si="21"/>
        <v>49</v>
      </c>
      <c r="K952" s="71"/>
      <c r="M952" s="71"/>
      <c r="N952" s="94"/>
      <c r="P952" s="89"/>
    </row>
    <row r="953" spans="1:16" x14ac:dyDescent="0.25">
      <c r="A953" s="70">
        <f t="shared" si="21"/>
        <v>49</v>
      </c>
      <c r="K953" s="71"/>
      <c r="M953" s="71"/>
      <c r="N953" s="94"/>
      <c r="P953" s="89"/>
    </row>
    <row r="954" spans="1:16" x14ac:dyDescent="0.25">
      <c r="A954" s="70">
        <f t="shared" si="21"/>
        <v>49</v>
      </c>
      <c r="K954" s="71"/>
      <c r="M954" s="71"/>
      <c r="N954" s="94"/>
      <c r="P954" s="89"/>
    </row>
    <row r="955" spans="1:16" x14ac:dyDescent="0.25">
      <c r="A955" s="70">
        <f t="shared" si="21"/>
        <v>49</v>
      </c>
      <c r="K955" s="71"/>
      <c r="M955" s="71"/>
      <c r="N955" s="94"/>
      <c r="P955" s="89"/>
    </row>
    <row r="956" spans="1:16" x14ac:dyDescent="0.25">
      <c r="A956" s="70">
        <f t="shared" si="21"/>
        <v>49</v>
      </c>
      <c r="K956" s="71"/>
      <c r="M956" s="71"/>
      <c r="N956" s="94"/>
      <c r="P956" s="89"/>
    </row>
    <row r="957" spans="1:16" x14ac:dyDescent="0.25">
      <c r="A957" s="70">
        <f t="shared" si="21"/>
        <v>49</v>
      </c>
      <c r="K957" s="71"/>
      <c r="M957" s="71"/>
      <c r="N957" s="94"/>
      <c r="P957" s="89"/>
    </row>
    <row r="958" spans="1:16" x14ac:dyDescent="0.25">
      <c r="A958" s="70">
        <f t="shared" si="21"/>
        <v>49</v>
      </c>
      <c r="K958" s="71"/>
      <c r="M958" s="71"/>
      <c r="N958" s="94"/>
      <c r="P958" s="89"/>
    </row>
    <row r="959" spans="1:16" x14ac:dyDescent="0.25">
      <c r="A959" s="70">
        <f t="shared" si="21"/>
        <v>49</v>
      </c>
      <c r="K959" s="71"/>
      <c r="M959" s="71"/>
      <c r="N959" s="94"/>
      <c r="P959" s="89"/>
    </row>
    <row r="960" spans="1:16" x14ac:dyDescent="0.25">
      <c r="A960" s="70">
        <f t="shared" si="21"/>
        <v>49</v>
      </c>
      <c r="K960" s="71"/>
      <c r="M960" s="71"/>
      <c r="N960" s="94"/>
      <c r="P960" s="89"/>
    </row>
    <row r="961" spans="1:16" x14ac:dyDescent="0.25">
      <c r="A961" s="70">
        <f t="shared" si="21"/>
        <v>49</v>
      </c>
      <c r="K961" s="71"/>
      <c r="M961" s="71"/>
      <c r="N961" s="94"/>
      <c r="P961" s="89"/>
    </row>
    <row r="962" spans="1:16" x14ac:dyDescent="0.25">
      <c r="A962" s="70">
        <f t="shared" si="21"/>
        <v>49</v>
      </c>
      <c r="K962" s="71"/>
      <c r="M962" s="71"/>
      <c r="N962" s="94"/>
      <c r="P962" s="89"/>
    </row>
    <row r="963" spans="1:16" x14ac:dyDescent="0.25">
      <c r="A963" s="70">
        <f t="shared" si="21"/>
        <v>49</v>
      </c>
      <c r="K963" s="71"/>
      <c r="M963" s="71"/>
      <c r="N963" s="94"/>
      <c r="P963" s="89"/>
    </row>
    <row r="964" spans="1:16" x14ac:dyDescent="0.25">
      <c r="A964" s="70">
        <f t="shared" si="21"/>
        <v>49</v>
      </c>
      <c r="K964" s="71"/>
      <c r="M964" s="71"/>
      <c r="N964" s="94"/>
      <c r="P964" s="89"/>
    </row>
    <row r="965" spans="1:16" x14ac:dyDescent="0.25">
      <c r="A965" s="70">
        <f t="shared" si="21"/>
        <v>49</v>
      </c>
      <c r="K965" s="71"/>
      <c r="M965" s="71"/>
      <c r="N965" s="94"/>
      <c r="P965" s="89"/>
    </row>
    <row r="966" spans="1:16" x14ac:dyDescent="0.25">
      <c r="A966" s="70">
        <f t="shared" ref="A966:A1029" si="22">IF(B966=B965,A965,A965+1)</f>
        <v>49</v>
      </c>
      <c r="K966" s="71"/>
      <c r="M966" s="71"/>
      <c r="N966" s="94"/>
      <c r="P966" s="89"/>
    </row>
    <row r="967" spans="1:16" x14ac:dyDescent="0.25">
      <c r="A967" s="70">
        <f t="shared" si="22"/>
        <v>49</v>
      </c>
      <c r="K967" s="71"/>
      <c r="M967" s="71"/>
      <c r="N967" s="94"/>
      <c r="P967" s="89"/>
    </row>
    <row r="968" spans="1:16" x14ac:dyDescent="0.25">
      <c r="A968" s="70">
        <f t="shared" si="22"/>
        <v>49</v>
      </c>
      <c r="K968" s="71"/>
      <c r="M968" s="71"/>
      <c r="N968" s="94"/>
      <c r="P968" s="89"/>
    </row>
    <row r="969" spans="1:16" x14ac:dyDescent="0.25">
      <c r="A969" s="70">
        <f t="shared" si="22"/>
        <v>49</v>
      </c>
      <c r="K969" s="71"/>
      <c r="M969" s="71"/>
      <c r="N969" s="94"/>
      <c r="P969" s="89"/>
    </row>
    <row r="970" spans="1:16" x14ac:dyDescent="0.25">
      <c r="A970" s="70">
        <f t="shared" si="22"/>
        <v>49</v>
      </c>
      <c r="K970" s="71"/>
      <c r="M970" s="71"/>
      <c r="N970" s="94"/>
      <c r="P970" s="89"/>
    </row>
    <row r="971" spans="1:16" x14ac:dyDescent="0.25">
      <c r="A971" s="70">
        <f t="shared" si="22"/>
        <v>49</v>
      </c>
      <c r="K971" s="71"/>
      <c r="M971" s="71"/>
      <c r="N971" s="94"/>
      <c r="P971" s="89"/>
    </row>
    <row r="972" spans="1:16" x14ac:dyDescent="0.25">
      <c r="A972" s="70">
        <f t="shared" si="22"/>
        <v>49</v>
      </c>
      <c r="K972" s="71"/>
      <c r="M972" s="71"/>
      <c r="N972" s="94"/>
      <c r="P972" s="89"/>
    </row>
    <row r="973" spans="1:16" x14ac:dyDescent="0.25">
      <c r="A973" s="70">
        <f t="shared" si="22"/>
        <v>49</v>
      </c>
      <c r="K973" s="71"/>
      <c r="M973" s="71"/>
      <c r="N973" s="94"/>
      <c r="P973" s="89"/>
    </row>
    <row r="974" spans="1:16" x14ac:dyDescent="0.25">
      <c r="A974" s="70">
        <f t="shared" si="22"/>
        <v>49</v>
      </c>
      <c r="K974" s="71"/>
      <c r="M974" s="71"/>
      <c r="N974" s="94"/>
      <c r="P974" s="89"/>
    </row>
    <row r="975" spans="1:16" x14ac:dyDescent="0.25">
      <c r="A975" s="70">
        <f t="shared" si="22"/>
        <v>49</v>
      </c>
      <c r="K975" s="71"/>
      <c r="M975" s="71"/>
      <c r="N975" s="94"/>
      <c r="P975" s="89"/>
    </row>
    <row r="976" spans="1:16" x14ac:dyDescent="0.25">
      <c r="A976" s="70">
        <f t="shared" si="22"/>
        <v>49</v>
      </c>
      <c r="K976" s="71"/>
      <c r="M976" s="71"/>
      <c r="N976" s="94"/>
      <c r="P976" s="89"/>
    </row>
    <row r="977" spans="1:16" x14ac:dyDescent="0.25">
      <c r="A977" s="70">
        <f t="shared" si="22"/>
        <v>49</v>
      </c>
      <c r="K977" s="71"/>
      <c r="M977" s="71"/>
      <c r="N977" s="94"/>
      <c r="P977" s="89"/>
    </row>
    <row r="978" spans="1:16" x14ac:dyDescent="0.25">
      <c r="A978" s="70">
        <f t="shared" si="22"/>
        <v>49</v>
      </c>
      <c r="K978" s="71"/>
      <c r="M978" s="71"/>
      <c r="N978" s="94"/>
      <c r="P978" s="89"/>
    </row>
    <row r="979" spans="1:16" x14ac:dyDescent="0.25">
      <c r="A979" s="70">
        <f t="shared" si="22"/>
        <v>49</v>
      </c>
      <c r="K979" s="71"/>
      <c r="M979" s="71"/>
      <c r="N979" s="94"/>
      <c r="P979" s="89"/>
    </row>
    <row r="980" spans="1:16" x14ac:dyDescent="0.25">
      <c r="A980" s="70">
        <f t="shared" si="22"/>
        <v>49</v>
      </c>
      <c r="K980" s="71"/>
      <c r="M980" s="71"/>
      <c r="N980" s="94"/>
      <c r="P980" s="89"/>
    </row>
    <row r="981" spans="1:16" x14ac:dyDescent="0.25">
      <c r="A981" s="70">
        <f t="shared" si="22"/>
        <v>49</v>
      </c>
      <c r="K981" s="71"/>
      <c r="M981" s="71"/>
      <c r="N981" s="94"/>
      <c r="P981" s="89"/>
    </row>
    <row r="982" spans="1:16" x14ac:dyDescent="0.25">
      <c r="A982" s="70">
        <f t="shared" si="22"/>
        <v>49</v>
      </c>
      <c r="K982" s="71"/>
      <c r="M982" s="71"/>
      <c r="N982" s="94"/>
      <c r="P982" s="89"/>
    </row>
    <row r="983" spans="1:16" x14ac:dyDescent="0.25">
      <c r="A983" s="70">
        <f t="shared" si="22"/>
        <v>49</v>
      </c>
      <c r="K983" s="71"/>
      <c r="M983" s="71"/>
      <c r="N983" s="94"/>
      <c r="P983" s="89"/>
    </row>
    <row r="984" spans="1:16" x14ac:dyDescent="0.25">
      <c r="A984" s="70">
        <f t="shared" si="22"/>
        <v>49</v>
      </c>
      <c r="K984" s="71"/>
      <c r="M984" s="71"/>
      <c r="N984" s="94"/>
      <c r="P984" s="89"/>
    </row>
    <row r="985" spans="1:16" x14ac:dyDescent="0.25">
      <c r="A985" s="70">
        <f t="shared" si="22"/>
        <v>49</v>
      </c>
      <c r="K985" s="71"/>
      <c r="M985" s="71"/>
      <c r="N985" s="94"/>
      <c r="P985" s="89"/>
    </row>
    <row r="986" spans="1:16" x14ac:dyDescent="0.25">
      <c r="A986" s="70">
        <f t="shared" si="22"/>
        <v>49</v>
      </c>
      <c r="K986" s="71"/>
      <c r="M986" s="71"/>
      <c r="N986" s="94"/>
      <c r="P986" s="89"/>
    </row>
    <row r="987" spans="1:16" x14ac:dyDescent="0.25">
      <c r="A987" s="70">
        <f t="shared" si="22"/>
        <v>49</v>
      </c>
      <c r="K987" s="71"/>
      <c r="M987" s="71"/>
      <c r="N987" s="94"/>
      <c r="P987" s="89"/>
    </row>
    <row r="988" spans="1:16" x14ac:dyDescent="0.25">
      <c r="A988" s="70">
        <f t="shared" si="22"/>
        <v>49</v>
      </c>
      <c r="K988" s="71"/>
      <c r="M988" s="71"/>
      <c r="N988" s="94"/>
      <c r="P988" s="89"/>
    </row>
    <row r="989" spans="1:16" x14ac:dyDescent="0.25">
      <c r="A989" s="70">
        <f t="shared" si="22"/>
        <v>49</v>
      </c>
      <c r="K989" s="71"/>
      <c r="M989" s="71"/>
      <c r="N989" s="94"/>
      <c r="P989" s="89"/>
    </row>
    <row r="990" spans="1:16" x14ac:dyDescent="0.25">
      <c r="A990" s="70">
        <f t="shared" si="22"/>
        <v>49</v>
      </c>
      <c r="K990" s="71"/>
      <c r="M990" s="71"/>
      <c r="N990" s="94"/>
      <c r="P990" s="89"/>
    </row>
    <row r="991" spans="1:16" x14ac:dyDescent="0.25">
      <c r="A991" s="70">
        <f t="shared" si="22"/>
        <v>49</v>
      </c>
      <c r="K991" s="71"/>
      <c r="M991" s="71"/>
      <c r="N991" s="94"/>
      <c r="P991" s="89"/>
    </row>
    <row r="992" spans="1:16" x14ac:dyDescent="0.25">
      <c r="A992" s="70">
        <f t="shared" si="22"/>
        <v>49</v>
      </c>
      <c r="K992" s="71"/>
      <c r="M992" s="71"/>
      <c r="N992" s="94"/>
      <c r="P992" s="89"/>
    </row>
    <row r="993" spans="1:16" x14ac:dyDescent="0.25">
      <c r="A993" s="70">
        <f t="shared" si="22"/>
        <v>49</v>
      </c>
      <c r="K993" s="71"/>
      <c r="M993" s="71"/>
      <c r="N993" s="94"/>
      <c r="P993" s="89"/>
    </row>
    <row r="994" spans="1:16" x14ac:dyDescent="0.25">
      <c r="A994" s="70">
        <f t="shared" si="22"/>
        <v>49</v>
      </c>
      <c r="K994" s="71"/>
      <c r="M994" s="71"/>
      <c r="N994" s="94"/>
      <c r="P994" s="89"/>
    </row>
    <row r="995" spans="1:16" x14ac:dyDescent="0.25">
      <c r="A995" s="70">
        <f t="shared" si="22"/>
        <v>49</v>
      </c>
      <c r="K995" s="71"/>
      <c r="M995" s="71"/>
      <c r="N995" s="94"/>
      <c r="P995" s="89"/>
    </row>
    <row r="996" spans="1:16" x14ac:dyDescent="0.25">
      <c r="A996" s="70">
        <f t="shared" si="22"/>
        <v>49</v>
      </c>
      <c r="K996" s="71"/>
      <c r="M996" s="71"/>
      <c r="N996" s="94"/>
      <c r="P996" s="89"/>
    </row>
    <row r="997" spans="1:16" x14ac:dyDescent="0.25">
      <c r="A997" s="70">
        <f t="shared" si="22"/>
        <v>49</v>
      </c>
      <c r="K997" s="71"/>
      <c r="M997" s="71"/>
      <c r="N997" s="94"/>
      <c r="P997" s="89"/>
    </row>
    <row r="998" spans="1:16" x14ac:dyDescent="0.25">
      <c r="A998" s="70">
        <f t="shared" si="22"/>
        <v>49</v>
      </c>
      <c r="K998" s="71"/>
      <c r="M998" s="71"/>
      <c r="N998" s="94"/>
      <c r="P998" s="89"/>
    </row>
    <row r="999" spans="1:16" x14ac:dyDescent="0.25">
      <c r="A999" s="70">
        <f t="shared" si="22"/>
        <v>49</v>
      </c>
      <c r="K999" s="71"/>
      <c r="M999" s="71"/>
      <c r="N999" s="94"/>
      <c r="P999" s="89"/>
    </row>
    <row r="1000" spans="1:16" x14ac:dyDescent="0.25">
      <c r="A1000" s="70">
        <f t="shared" si="22"/>
        <v>49</v>
      </c>
      <c r="K1000" s="71"/>
      <c r="M1000" s="71"/>
      <c r="N1000" s="94"/>
      <c r="P1000" s="89"/>
    </row>
    <row r="1001" spans="1:16" x14ac:dyDescent="0.25">
      <c r="A1001" s="70">
        <f t="shared" si="22"/>
        <v>49</v>
      </c>
      <c r="K1001" s="71"/>
      <c r="M1001" s="71"/>
      <c r="N1001" s="94"/>
      <c r="P1001" s="89"/>
    </row>
    <row r="1002" spans="1:16" x14ac:dyDescent="0.25">
      <c r="A1002" s="70">
        <f t="shared" si="22"/>
        <v>49</v>
      </c>
      <c r="K1002" s="71"/>
      <c r="M1002" s="71"/>
      <c r="N1002" s="94"/>
      <c r="P1002" s="89"/>
    </row>
    <row r="1003" spans="1:16" x14ac:dyDescent="0.25">
      <c r="A1003" s="70">
        <f t="shared" si="22"/>
        <v>49</v>
      </c>
      <c r="K1003" s="71"/>
      <c r="M1003" s="71"/>
      <c r="N1003" s="94"/>
      <c r="P1003" s="89"/>
    </row>
    <row r="1004" spans="1:16" x14ac:dyDescent="0.25">
      <c r="A1004" s="70">
        <f t="shared" si="22"/>
        <v>49</v>
      </c>
      <c r="K1004" s="71"/>
      <c r="M1004" s="71"/>
      <c r="N1004" s="94"/>
      <c r="P1004" s="89"/>
    </row>
    <row r="1005" spans="1:16" x14ac:dyDescent="0.25">
      <c r="A1005" s="70">
        <f t="shared" si="22"/>
        <v>49</v>
      </c>
      <c r="K1005" s="71"/>
      <c r="M1005" s="71"/>
      <c r="N1005" s="94"/>
      <c r="P1005" s="89"/>
    </row>
    <row r="1006" spans="1:16" x14ac:dyDescent="0.25">
      <c r="A1006" s="70">
        <f t="shared" si="22"/>
        <v>49</v>
      </c>
      <c r="K1006" s="71"/>
      <c r="M1006" s="71"/>
      <c r="N1006" s="94"/>
      <c r="P1006" s="89"/>
    </row>
    <row r="1007" spans="1:16" x14ac:dyDescent="0.25">
      <c r="A1007" s="70">
        <f t="shared" si="22"/>
        <v>49</v>
      </c>
      <c r="K1007" s="71"/>
      <c r="M1007" s="71"/>
      <c r="N1007" s="94"/>
      <c r="P1007" s="89"/>
    </row>
    <row r="1008" spans="1:16" x14ac:dyDescent="0.25">
      <c r="A1008" s="70">
        <f t="shared" si="22"/>
        <v>49</v>
      </c>
      <c r="K1008" s="71"/>
      <c r="M1008" s="71"/>
      <c r="N1008" s="94"/>
      <c r="P1008" s="89"/>
    </row>
    <row r="1009" spans="1:16" x14ac:dyDescent="0.25">
      <c r="A1009" s="70">
        <f t="shared" si="22"/>
        <v>49</v>
      </c>
      <c r="K1009" s="71"/>
      <c r="M1009" s="71"/>
      <c r="N1009" s="94"/>
      <c r="P1009" s="89"/>
    </row>
    <row r="1010" spans="1:16" x14ac:dyDescent="0.25">
      <c r="A1010" s="70">
        <f t="shared" si="22"/>
        <v>49</v>
      </c>
      <c r="K1010" s="71"/>
      <c r="M1010" s="71"/>
      <c r="N1010" s="94"/>
      <c r="P1010" s="89"/>
    </row>
    <row r="1011" spans="1:16" x14ac:dyDescent="0.25">
      <c r="A1011" s="70">
        <f t="shared" si="22"/>
        <v>49</v>
      </c>
      <c r="K1011" s="71"/>
      <c r="M1011" s="71"/>
      <c r="N1011" s="94"/>
      <c r="P1011" s="89"/>
    </row>
    <row r="1012" spans="1:16" x14ac:dyDescent="0.25">
      <c r="A1012" s="70">
        <f t="shared" si="22"/>
        <v>49</v>
      </c>
      <c r="K1012" s="71"/>
      <c r="M1012" s="71"/>
      <c r="N1012" s="94"/>
      <c r="P1012" s="89"/>
    </row>
    <row r="1013" spans="1:16" x14ac:dyDescent="0.25">
      <c r="A1013" s="70">
        <f t="shared" si="22"/>
        <v>49</v>
      </c>
      <c r="K1013" s="71"/>
      <c r="M1013" s="71"/>
      <c r="N1013" s="94"/>
      <c r="P1013" s="89"/>
    </row>
    <row r="1014" spans="1:16" x14ac:dyDescent="0.25">
      <c r="A1014" s="70">
        <f t="shared" si="22"/>
        <v>49</v>
      </c>
      <c r="K1014" s="71"/>
      <c r="M1014" s="71"/>
      <c r="N1014" s="94"/>
      <c r="P1014" s="89"/>
    </row>
    <row r="1015" spans="1:16" x14ac:dyDescent="0.25">
      <c r="A1015" s="70">
        <f t="shared" si="22"/>
        <v>49</v>
      </c>
      <c r="K1015" s="71"/>
      <c r="M1015" s="71"/>
      <c r="N1015" s="94"/>
      <c r="P1015" s="89"/>
    </row>
    <row r="1016" spans="1:16" x14ac:dyDescent="0.25">
      <c r="A1016" s="70">
        <f t="shared" si="22"/>
        <v>49</v>
      </c>
      <c r="K1016" s="71"/>
      <c r="M1016" s="71"/>
      <c r="N1016" s="94"/>
      <c r="P1016" s="89"/>
    </row>
    <row r="1017" spans="1:16" x14ac:dyDescent="0.25">
      <c r="A1017" s="70">
        <f t="shared" si="22"/>
        <v>49</v>
      </c>
      <c r="K1017" s="71"/>
      <c r="M1017" s="71"/>
      <c r="N1017" s="94"/>
      <c r="P1017" s="89"/>
    </row>
    <row r="1018" spans="1:16" x14ac:dyDescent="0.25">
      <c r="A1018" s="70">
        <f t="shared" si="22"/>
        <v>49</v>
      </c>
      <c r="K1018" s="71"/>
      <c r="M1018" s="71"/>
      <c r="N1018" s="94"/>
      <c r="P1018" s="89"/>
    </row>
    <row r="1019" spans="1:16" x14ac:dyDescent="0.25">
      <c r="A1019" s="70">
        <f t="shared" si="22"/>
        <v>49</v>
      </c>
      <c r="K1019" s="71"/>
      <c r="M1019" s="71"/>
      <c r="N1019" s="94"/>
      <c r="P1019" s="89"/>
    </row>
    <row r="1020" spans="1:16" x14ac:dyDescent="0.25">
      <c r="A1020" s="70">
        <f t="shared" si="22"/>
        <v>49</v>
      </c>
      <c r="K1020" s="71"/>
      <c r="M1020" s="71"/>
      <c r="N1020" s="94"/>
      <c r="P1020" s="89"/>
    </row>
    <row r="1021" spans="1:16" x14ac:dyDescent="0.25">
      <c r="A1021" s="70">
        <f t="shared" si="22"/>
        <v>49</v>
      </c>
      <c r="K1021" s="71"/>
      <c r="M1021" s="71"/>
      <c r="N1021" s="94"/>
      <c r="P1021" s="89"/>
    </row>
    <row r="1022" spans="1:16" x14ac:dyDescent="0.25">
      <c r="A1022" s="70">
        <f t="shared" si="22"/>
        <v>49</v>
      </c>
      <c r="K1022" s="71"/>
      <c r="M1022" s="71"/>
      <c r="N1022" s="94"/>
      <c r="P1022" s="89"/>
    </row>
    <row r="1023" spans="1:16" x14ac:dyDescent="0.25">
      <c r="A1023" s="70">
        <f t="shared" si="22"/>
        <v>49</v>
      </c>
      <c r="K1023" s="71"/>
      <c r="M1023" s="71"/>
      <c r="N1023" s="94"/>
      <c r="P1023" s="89"/>
    </row>
    <row r="1024" spans="1:16" x14ac:dyDescent="0.25">
      <c r="A1024" s="70">
        <f t="shared" si="22"/>
        <v>49</v>
      </c>
      <c r="K1024" s="71"/>
      <c r="M1024" s="71"/>
      <c r="N1024" s="94"/>
      <c r="P1024" s="89"/>
    </row>
    <row r="1025" spans="1:16" x14ac:dyDescent="0.25">
      <c r="A1025" s="70">
        <f t="shared" si="22"/>
        <v>49</v>
      </c>
      <c r="K1025" s="71"/>
      <c r="M1025" s="71"/>
      <c r="N1025" s="94"/>
      <c r="P1025" s="89"/>
    </row>
    <row r="1026" spans="1:16" x14ac:dyDescent="0.25">
      <c r="A1026" s="70">
        <f t="shared" si="22"/>
        <v>49</v>
      </c>
      <c r="K1026" s="71"/>
      <c r="M1026" s="71"/>
      <c r="N1026" s="94"/>
      <c r="P1026" s="89"/>
    </row>
    <row r="1027" spans="1:16" x14ac:dyDescent="0.25">
      <c r="A1027" s="70">
        <f t="shared" si="22"/>
        <v>49</v>
      </c>
      <c r="K1027" s="71"/>
      <c r="M1027" s="71"/>
      <c r="N1027" s="94"/>
      <c r="P1027" s="89"/>
    </row>
    <row r="1028" spans="1:16" x14ac:dyDescent="0.25">
      <c r="A1028" s="70">
        <f t="shared" si="22"/>
        <v>49</v>
      </c>
      <c r="K1028" s="71"/>
      <c r="M1028" s="71"/>
      <c r="N1028" s="94"/>
      <c r="P1028" s="89"/>
    </row>
    <row r="1029" spans="1:16" x14ac:dyDescent="0.25">
      <c r="A1029" s="70">
        <f t="shared" si="22"/>
        <v>49</v>
      </c>
      <c r="K1029" s="71"/>
      <c r="M1029" s="71"/>
      <c r="N1029" s="94"/>
      <c r="P1029" s="89"/>
    </row>
    <row r="1030" spans="1:16" x14ac:dyDescent="0.25">
      <c r="A1030" s="70">
        <f t="shared" ref="A1030:A1093" si="23">IF(B1030=B1029,A1029,A1029+1)</f>
        <v>49</v>
      </c>
      <c r="K1030" s="71"/>
      <c r="M1030" s="71"/>
      <c r="N1030" s="94"/>
      <c r="P1030" s="89"/>
    </row>
    <row r="1031" spans="1:16" x14ac:dyDescent="0.25">
      <c r="A1031" s="70">
        <f t="shared" si="23"/>
        <v>49</v>
      </c>
      <c r="K1031" s="71"/>
      <c r="M1031" s="71"/>
      <c r="N1031" s="94"/>
      <c r="P1031" s="89"/>
    </row>
    <row r="1032" spans="1:16" x14ac:dyDescent="0.25">
      <c r="A1032" s="70">
        <f t="shared" si="23"/>
        <v>49</v>
      </c>
      <c r="K1032" s="71"/>
      <c r="M1032" s="71"/>
      <c r="N1032" s="94"/>
      <c r="P1032" s="89"/>
    </row>
    <row r="1033" spans="1:16" x14ac:dyDescent="0.25">
      <c r="A1033" s="70">
        <f t="shared" si="23"/>
        <v>49</v>
      </c>
      <c r="K1033" s="71"/>
      <c r="M1033" s="71"/>
      <c r="N1033" s="94"/>
      <c r="P1033" s="89"/>
    </row>
    <row r="1034" spans="1:16" x14ac:dyDescent="0.25">
      <c r="A1034" s="70">
        <f t="shared" si="23"/>
        <v>49</v>
      </c>
      <c r="K1034" s="71"/>
      <c r="M1034" s="71"/>
      <c r="N1034" s="94"/>
      <c r="P1034" s="89"/>
    </row>
    <row r="1035" spans="1:16" x14ac:dyDescent="0.25">
      <c r="A1035" s="70">
        <f t="shared" si="23"/>
        <v>49</v>
      </c>
      <c r="K1035" s="71"/>
      <c r="M1035" s="71"/>
      <c r="N1035" s="94"/>
      <c r="P1035" s="89"/>
    </row>
    <row r="1036" spans="1:16" x14ac:dyDescent="0.25">
      <c r="A1036" s="70">
        <f t="shared" si="23"/>
        <v>49</v>
      </c>
      <c r="K1036" s="71"/>
      <c r="M1036" s="71"/>
      <c r="N1036" s="94"/>
      <c r="P1036" s="89"/>
    </row>
    <row r="1037" spans="1:16" x14ac:dyDescent="0.25">
      <c r="A1037" s="70">
        <f t="shared" si="23"/>
        <v>49</v>
      </c>
      <c r="K1037" s="71"/>
      <c r="M1037" s="71"/>
      <c r="N1037" s="94"/>
      <c r="P1037" s="89"/>
    </row>
    <row r="1038" spans="1:16" x14ac:dyDescent="0.25">
      <c r="A1038" s="70">
        <f t="shared" si="23"/>
        <v>49</v>
      </c>
      <c r="K1038" s="71"/>
      <c r="M1038" s="71"/>
      <c r="N1038" s="94"/>
      <c r="P1038" s="89"/>
    </row>
    <row r="1039" spans="1:16" x14ac:dyDescent="0.25">
      <c r="A1039" s="70">
        <f t="shared" si="23"/>
        <v>49</v>
      </c>
      <c r="K1039" s="71"/>
      <c r="M1039" s="71"/>
      <c r="N1039" s="94"/>
      <c r="P1039" s="89"/>
    </row>
    <row r="1040" spans="1:16" x14ac:dyDescent="0.25">
      <c r="A1040" s="70">
        <f t="shared" si="23"/>
        <v>49</v>
      </c>
      <c r="K1040" s="71"/>
      <c r="M1040" s="71"/>
      <c r="N1040" s="94"/>
      <c r="P1040" s="89"/>
    </row>
    <row r="1041" spans="1:16" x14ac:dyDescent="0.25">
      <c r="A1041" s="70">
        <f t="shared" si="23"/>
        <v>49</v>
      </c>
      <c r="K1041" s="71"/>
      <c r="M1041" s="71"/>
      <c r="N1041" s="94"/>
      <c r="P1041" s="89"/>
    </row>
    <row r="1042" spans="1:16" x14ac:dyDescent="0.25">
      <c r="A1042" s="70">
        <f t="shared" si="23"/>
        <v>49</v>
      </c>
      <c r="K1042" s="71"/>
      <c r="M1042" s="71"/>
      <c r="N1042" s="94"/>
      <c r="P1042" s="89"/>
    </row>
    <row r="1043" spans="1:16" x14ac:dyDescent="0.25">
      <c r="A1043" s="70">
        <f t="shared" si="23"/>
        <v>49</v>
      </c>
      <c r="K1043" s="71"/>
      <c r="M1043" s="71"/>
      <c r="N1043" s="94"/>
      <c r="P1043" s="89"/>
    </row>
    <row r="1044" spans="1:16" x14ac:dyDescent="0.25">
      <c r="A1044" s="70">
        <f t="shared" si="23"/>
        <v>49</v>
      </c>
      <c r="K1044" s="71"/>
      <c r="M1044" s="71"/>
      <c r="N1044" s="94"/>
      <c r="P1044" s="89"/>
    </row>
    <row r="1045" spans="1:16" x14ac:dyDescent="0.25">
      <c r="A1045" s="70">
        <f t="shared" si="23"/>
        <v>49</v>
      </c>
      <c r="K1045" s="71"/>
      <c r="M1045" s="71"/>
      <c r="N1045" s="94"/>
      <c r="P1045" s="89"/>
    </row>
    <row r="1046" spans="1:16" x14ac:dyDescent="0.25">
      <c r="A1046" s="70">
        <f t="shared" si="23"/>
        <v>49</v>
      </c>
      <c r="K1046" s="71"/>
      <c r="M1046" s="71"/>
      <c r="N1046" s="94"/>
      <c r="P1046" s="89"/>
    </row>
    <row r="1047" spans="1:16" x14ac:dyDescent="0.25">
      <c r="A1047" s="70">
        <f t="shared" si="23"/>
        <v>49</v>
      </c>
      <c r="K1047" s="71"/>
      <c r="M1047" s="71"/>
      <c r="N1047" s="94"/>
      <c r="P1047" s="89"/>
    </row>
    <row r="1048" spans="1:16" x14ac:dyDescent="0.25">
      <c r="A1048" s="70">
        <f t="shared" si="23"/>
        <v>49</v>
      </c>
      <c r="K1048" s="71"/>
      <c r="M1048" s="71"/>
      <c r="N1048" s="94"/>
      <c r="P1048" s="89"/>
    </row>
    <row r="1049" spans="1:16" x14ac:dyDescent="0.25">
      <c r="A1049" s="70">
        <f t="shared" si="23"/>
        <v>49</v>
      </c>
      <c r="K1049" s="71"/>
      <c r="M1049" s="71"/>
      <c r="N1049" s="94"/>
      <c r="P1049" s="89"/>
    </row>
    <row r="1050" spans="1:16" x14ac:dyDescent="0.25">
      <c r="A1050" s="70">
        <f t="shared" si="23"/>
        <v>49</v>
      </c>
      <c r="K1050" s="71"/>
      <c r="M1050" s="71"/>
      <c r="N1050" s="94"/>
      <c r="P1050" s="89"/>
    </row>
    <row r="1051" spans="1:16" x14ac:dyDescent="0.25">
      <c r="A1051" s="70">
        <f t="shared" si="23"/>
        <v>49</v>
      </c>
      <c r="K1051" s="71"/>
      <c r="M1051" s="71"/>
      <c r="N1051" s="94"/>
      <c r="P1051" s="89"/>
    </row>
    <row r="1052" spans="1:16" x14ac:dyDescent="0.25">
      <c r="A1052" s="70">
        <f t="shared" si="23"/>
        <v>49</v>
      </c>
      <c r="K1052" s="71"/>
      <c r="M1052" s="71"/>
      <c r="N1052" s="94"/>
      <c r="P1052" s="89"/>
    </row>
    <row r="1053" spans="1:16" x14ac:dyDescent="0.25">
      <c r="A1053" s="70">
        <f t="shared" si="23"/>
        <v>49</v>
      </c>
      <c r="K1053" s="71"/>
      <c r="M1053" s="71"/>
      <c r="N1053" s="94"/>
      <c r="P1053" s="89"/>
    </row>
    <row r="1054" spans="1:16" x14ac:dyDescent="0.25">
      <c r="A1054" s="70">
        <f t="shared" si="23"/>
        <v>49</v>
      </c>
      <c r="K1054" s="71"/>
      <c r="M1054" s="71"/>
      <c r="N1054" s="94"/>
      <c r="P1054" s="89"/>
    </row>
    <row r="1055" spans="1:16" x14ac:dyDescent="0.25">
      <c r="A1055" s="70">
        <f t="shared" si="23"/>
        <v>49</v>
      </c>
      <c r="K1055" s="71"/>
      <c r="M1055" s="71"/>
      <c r="N1055" s="94"/>
      <c r="P1055" s="89"/>
    </row>
    <row r="1056" spans="1:16" x14ac:dyDescent="0.25">
      <c r="A1056" s="70">
        <f t="shared" si="23"/>
        <v>49</v>
      </c>
      <c r="K1056" s="71"/>
      <c r="M1056" s="71"/>
      <c r="N1056" s="94"/>
      <c r="P1056" s="89"/>
    </row>
    <row r="1057" spans="1:16" x14ac:dyDescent="0.25">
      <c r="A1057" s="70">
        <f t="shared" si="23"/>
        <v>49</v>
      </c>
      <c r="K1057" s="71"/>
      <c r="M1057" s="71"/>
      <c r="N1057" s="94"/>
      <c r="P1057" s="89"/>
    </row>
    <row r="1058" spans="1:16" x14ac:dyDescent="0.25">
      <c r="A1058" s="70">
        <f t="shared" si="23"/>
        <v>49</v>
      </c>
      <c r="K1058" s="71"/>
      <c r="M1058" s="71"/>
      <c r="N1058" s="94"/>
      <c r="P1058" s="89"/>
    </row>
    <row r="1059" spans="1:16" x14ac:dyDescent="0.25">
      <c r="A1059" s="70">
        <f t="shared" si="23"/>
        <v>49</v>
      </c>
      <c r="K1059" s="71"/>
      <c r="M1059" s="71"/>
      <c r="N1059" s="94"/>
      <c r="P1059" s="89"/>
    </row>
    <row r="1060" spans="1:16" x14ac:dyDescent="0.25">
      <c r="A1060" s="70">
        <f t="shared" si="23"/>
        <v>49</v>
      </c>
      <c r="K1060" s="71"/>
      <c r="M1060" s="71"/>
      <c r="N1060" s="94"/>
      <c r="P1060" s="89"/>
    </row>
    <row r="1061" spans="1:16" x14ac:dyDescent="0.25">
      <c r="A1061" s="70">
        <f t="shared" si="23"/>
        <v>49</v>
      </c>
      <c r="K1061" s="71"/>
      <c r="M1061" s="71"/>
      <c r="N1061" s="94"/>
      <c r="P1061" s="89"/>
    </row>
    <row r="1062" spans="1:16" x14ac:dyDescent="0.25">
      <c r="A1062" s="70">
        <f t="shared" si="23"/>
        <v>49</v>
      </c>
      <c r="K1062" s="71"/>
      <c r="M1062" s="71"/>
      <c r="N1062" s="94"/>
      <c r="P1062" s="89"/>
    </row>
    <row r="1063" spans="1:16" x14ac:dyDescent="0.25">
      <c r="A1063" s="70">
        <f t="shared" si="23"/>
        <v>49</v>
      </c>
      <c r="K1063" s="71"/>
      <c r="M1063" s="71"/>
      <c r="N1063" s="94"/>
      <c r="P1063" s="89"/>
    </row>
    <row r="1064" spans="1:16" x14ac:dyDescent="0.25">
      <c r="A1064" s="70">
        <f t="shared" si="23"/>
        <v>49</v>
      </c>
      <c r="K1064" s="71"/>
      <c r="M1064" s="71"/>
      <c r="N1064" s="94"/>
      <c r="P1064" s="89"/>
    </row>
    <row r="1065" spans="1:16" x14ac:dyDescent="0.25">
      <c r="A1065" s="70">
        <f t="shared" si="23"/>
        <v>49</v>
      </c>
      <c r="K1065" s="71"/>
      <c r="M1065" s="71"/>
      <c r="N1065" s="94"/>
      <c r="P1065" s="89"/>
    </row>
    <row r="1066" spans="1:16" x14ac:dyDescent="0.25">
      <c r="A1066" s="70">
        <f t="shared" si="23"/>
        <v>49</v>
      </c>
      <c r="K1066" s="71"/>
      <c r="M1066" s="71"/>
      <c r="N1066" s="94"/>
      <c r="P1066" s="89"/>
    </row>
    <row r="1067" spans="1:16" x14ac:dyDescent="0.25">
      <c r="A1067" s="70">
        <f t="shared" si="23"/>
        <v>49</v>
      </c>
      <c r="K1067" s="71"/>
      <c r="M1067" s="71"/>
      <c r="N1067" s="94"/>
      <c r="P1067" s="89"/>
    </row>
    <row r="1068" spans="1:16" x14ac:dyDescent="0.25">
      <c r="A1068" s="70">
        <f t="shared" si="23"/>
        <v>49</v>
      </c>
      <c r="K1068" s="71"/>
      <c r="M1068" s="71"/>
      <c r="N1068" s="94"/>
      <c r="P1068" s="89"/>
    </row>
    <row r="1069" spans="1:16" x14ac:dyDescent="0.25">
      <c r="A1069" s="70">
        <f t="shared" si="23"/>
        <v>49</v>
      </c>
      <c r="K1069" s="71"/>
      <c r="M1069" s="71"/>
      <c r="N1069" s="94"/>
      <c r="P1069" s="89"/>
    </row>
    <row r="1070" spans="1:16" x14ac:dyDescent="0.25">
      <c r="A1070" s="70">
        <f t="shared" si="23"/>
        <v>49</v>
      </c>
      <c r="K1070" s="71"/>
      <c r="M1070" s="71"/>
      <c r="N1070" s="94"/>
      <c r="P1070" s="89"/>
    </row>
    <row r="1071" spans="1:16" x14ac:dyDescent="0.25">
      <c r="A1071" s="70">
        <f t="shared" si="23"/>
        <v>49</v>
      </c>
      <c r="K1071" s="71"/>
      <c r="M1071" s="71"/>
      <c r="N1071" s="94"/>
      <c r="P1071" s="89"/>
    </row>
    <row r="1072" spans="1:16" x14ac:dyDescent="0.25">
      <c r="A1072" s="70">
        <f t="shared" si="23"/>
        <v>49</v>
      </c>
      <c r="K1072" s="71"/>
      <c r="M1072" s="71"/>
      <c r="N1072" s="94"/>
      <c r="P1072" s="89"/>
    </row>
    <row r="1073" spans="1:16" x14ac:dyDescent="0.25">
      <c r="A1073" s="70">
        <f t="shared" si="23"/>
        <v>49</v>
      </c>
      <c r="K1073" s="71"/>
      <c r="M1073" s="71"/>
      <c r="N1073" s="94"/>
      <c r="P1073" s="89"/>
    </row>
    <row r="1074" spans="1:16" x14ac:dyDescent="0.25">
      <c r="A1074" s="70">
        <f t="shared" si="23"/>
        <v>49</v>
      </c>
      <c r="K1074" s="71"/>
      <c r="M1074" s="71"/>
      <c r="N1074" s="94"/>
      <c r="P1074" s="89"/>
    </row>
    <row r="1075" spans="1:16" x14ac:dyDescent="0.25">
      <c r="A1075" s="70">
        <f t="shared" si="23"/>
        <v>49</v>
      </c>
      <c r="K1075" s="71"/>
      <c r="M1075" s="71"/>
      <c r="N1075" s="94"/>
      <c r="P1075" s="89"/>
    </row>
    <row r="1076" spans="1:16" x14ac:dyDescent="0.25">
      <c r="A1076" s="70">
        <f t="shared" si="23"/>
        <v>49</v>
      </c>
      <c r="K1076" s="71"/>
      <c r="M1076" s="71"/>
      <c r="N1076" s="94"/>
      <c r="P1076" s="89"/>
    </row>
    <row r="1077" spans="1:16" x14ac:dyDescent="0.25">
      <c r="A1077" s="70">
        <f t="shared" si="23"/>
        <v>49</v>
      </c>
      <c r="K1077" s="71"/>
      <c r="M1077" s="71"/>
      <c r="N1077" s="94"/>
      <c r="P1077" s="89"/>
    </row>
    <row r="1078" spans="1:16" x14ac:dyDescent="0.25">
      <c r="A1078" s="70">
        <f t="shared" si="23"/>
        <v>49</v>
      </c>
      <c r="K1078" s="71"/>
      <c r="M1078" s="71"/>
      <c r="N1078" s="94"/>
      <c r="P1078" s="89"/>
    </row>
    <row r="1079" spans="1:16" x14ac:dyDescent="0.25">
      <c r="A1079" s="70">
        <f t="shared" si="23"/>
        <v>49</v>
      </c>
      <c r="K1079" s="71"/>
      <c r="M1079" s="71"/>
      <c r="N1079" s="94"/>
      <c r="P1079" s="89"/>
    </row>
    <row r="1080" spans="1:16" x14ac:dyDescent="0.25">
      <c r="A1080" s="70">
        <f t="shared" si="23"/>
        <v>49</v>
      </c>
      <c r="K1080" s="71"/>
      <c r="M1080" s="71"/>
      <c r="N1080" s="94"/>
      <c r="P1080" s="89"/>
    </row>
    <row r="1081" spans="1:16" x14ac:dyDescent="0.25">
      <c r="A1081" s="70">
        <f t="shared" si="23"/>
        <v>49</v>
      </c>
      <c r="K1081" s="71"/>
      <c r="M1081" s="71"/>
      <c r="N1081" s="94"/>
      <c r="P1081" s="89"/>
    </row>
    <row r="1082" spans="1:16" x14ac:dyDescent="0.25">
      <c r="A1082" s="70">
        <f t="shared" si="23"/>
        <v>49</v>
      </c>
      <c r="K1082" s="71"/>
      <c r="M1082" s="71"/>
      <c r="N1082" s="94"/>
      <c r="P1082" s="89"/>
    </row>
    <row r="1083" spans="1:16" x14ac:dyDescent="0.25">
      <c r="A1083" s="70">
        <f t="shared" si="23"/>
        <v>49</v>
      </c>
      <c r="K1083" s="71"/>
      <c r="M1083" s="71"/>
      <c r="N1083" s="94"/>
      <c r="P1083" s="89"/>
    </row>
    <row r="1084" spans="1:16" x14ac:dyDescent="0.25">
      <c r="A1084" s="70">
        <f t="shared" si="23"/>
        <v>49</v>
      </c>
      <c r="K1084" s="71"/>
      <c r="M1084" s="71"/>
      <c r="N1084" s="94"/>
      <c r="P1084" s="89"/>
    </row>
    <row r="1085" spans="1:16" x14ac:dyDescent="0.25">
      <c r="A1085" s="70">
        <f t="shared" si="23"/>
        <v>49</v>
      </c>
      <c r="K1085" s="71"/>
      <c r="M1085" s="71"/>
      <c r="N1085" s="94"/>
      <c r="P1085" s="89"/>
    </row>
    <row r="1086" spans="1:16" x14ac:dyDescent="0.25">
      <c r="A1086" s="70">
        <f t="shared" si="23"/>
        <v>49</v>
      </c>
      <c r="K1086" s="71"/>
      <c r="M1086" s="71"/>
      <c r="N1086" s="94"/>
      <c r="P1086" s="89"/>
    </row>
    <row r="1087" spans="1:16" x14ac:dyDescent="0.25">
      <c r="A1087" s="70">
        <f t="shared" si="23"/>
        <v>49</v>
      </c>
      <c r="K1087" s="71"/>
      <c r="M1087" s="71"/>
      <c r="N1087" s="94"/>
      <c r="P1087" s="89"/>
    </row>
    <row r="1088" spans="1:16" x14ac:dyDescent="0.25">
      <c r="A1088" s="70">
        <f t="shared" si="23"/>
        <v>49</v>
      </c>
      <c r="K1088" s="71"/>
      <c r="M1088" s="71"/>
      <c r="N1088" s="94"/>
      <c r="P1088" s="89"/>
    </row>
    <row r="1089" spans="1:16" x14ac:dyDescent="0.25">
      <c r="A1089" s="70">
        <f t="shared" si="23"/>
        <v>49</v>
      </c>
      <c r="K1089" s="71"/>
      <c r="M1089" s="71"/>
      <c r="N1089" s="94"/>
      <c r="P1089" s="89"/>
    </row>
    <row r="1090" spans="1:16" x14ac:dyDescent="0.25">
      <c r="A1090" s="70">
        <f t="shared" si="23"/>
        <v>49</v>
      </c>
      <c r="K1090" s="71"/>
      <c r="M1090" s="71"/>
      <c r="N1090" s="94"/>
      <c r="P1090" s="89"/>
    </row>
    <row r="1091" spans="1:16" x14ac:dyDescent="0.25">
      <c r="A1091" s="70">
        <f t="shared" si="23"/>
        <v>49</v>
      </c>
      <c r="K1091" s="71"/>
      <c r="M1091" s="71"/>
      <c r="N1091" s="94"/>
      <c r="P1091" s="89"/>
    </row>
    <row r="1092" spans="1:16" x14ac:dyDescent="0.25">
      <c r="A1092" s="70">
        <f t="shared" si="23"/>
        <v>49</v>
      </c>
      <c r="K1092" s="71"/>
      <c r="M1092" s="71"/>
      <c r="N1092" s="94"/>
      <c r="P1092" s="89"/>
    </row>
    <row r="1093" spans="1:16" x14ac:dyDescent="0.25">
      <c r="A1093" s="70">
        <f t="shared" si="23"/>
        <v>49</v>
      </c>
      <c r="K1093" s="71"/>
      <c r="M1093" s="71"/>
      <c r="N1093" s="94"/>
      <c r="P1093" s="89"/>
    </row>
    <row r="1094" spans="1:16" x14ac:dyDescent="0.25">
      <c r="A1094" s="70">
        <f t="shared" ref="A1094:A1157" si="24">IF(B1094=B1093,A1093,A1093+1)</f>
        <v>49</v>
      </c>
      <c r="K1094" s="71"/>
      <c r="M1094" s="71"/>
      <c r="N1094" s="94"/>
      <c r="P1094" s="89"/>
    </row>
    <row r="1095" spans="1:16" x14ac:dyDescent="0.25">
      <c r="A1095" s="70">
        <f t="shared" si="24"/>
        <v>49</v>
      </c>
      <c r="K1095" s="71"/>
      <c r="M1095" s="71"/>
      <c r="N1095" s="94"/>
      <c r="P1095" s="89"/>
    </row>
    <row r="1096" spans="1:16" x14ac:dyDescent="0.25">
      <c r="A1096" s="70">
        <f t="shared" si="24"/>
        <v>49</v>
      </c>
      <c r="K1096" s="71"/>
      <c r="M1096" s="71"/>
      <c r="N1096" s="94"/>
      <c r="P1096" s="89"/>
    </row>
    <row r="1097" spans="1:16" x14ac:dyDescent="0.25">
      <c r="A1097" s="70">
        <f t="shared" si="24"/>
        <v>49</v>
      </c>
      <c r="K1097" s="71"/>
      <c r="M1097" s="71"/>
      <c r="N1097" s="94"/>
      <c r="P1097" s="89"/>
    </row>
    <row r="1098" spans="1:16" x14ac:dyDescent="0.25">
      <c r="A1098" s="70">
        <f t="shared" si="24"/>
        <v>49</v>
      </c>
      <c r="K1098" s="71"/>
      <c r="M1098" s="71"/>
      <c r="N1098" s="94"/>
      <c r="P1098" s="89"/>
    </row>
    <row r="1099" spans="1:16" x14ac:dyDescent="0.25">
      <c r="A1099" s="70">
        <f t="shared" si="24"/>
        <v>49</v>
      </c>
      <c r="K1099" s="71"/>
      <c r="M1099" s="71"/>
      <c r="N1099" s="94"/>
      <c r="P1099" s="89"/>
    </row>
    <row r="1100" spans="1:16" x14ac:dyDescent="0.25">
      <c r="A1100" s="70">
        <f t="shared" si="24"/>
        <v>49</v>
      </c>
      <c r="K1100" s="71"/>
      <c r="M1100" s="71"/>
      <c r="N1100" s="94"/>
      <c r="P1100" s="89"/>
    </row>
    <row r="1101" spans="1:16" x14ac:dyDescent="0.25">
      <c r="A1101" s="70">
        <f t="shared" si="24"/>
        <v>49</v>
      </c>
      <c r="K1101" s="71"/>
      <c r="M1101" s="71"/>
      <c r="N1101" s="94"/>
      <c r="P1101" s="89"/>
    </row>
    <row r="1102" spans="1:16" x14ac:dyDescent="0.25">
      <c r="A1102" s="70">
        <f t="shared" si="24"/>
        <v>49</v>
      </c>
      <c r="K1102" s="71"/>
      <c r="M1102" s="71"/>
      <c r="N1102" s="94"/>
      <c r="P1102" s="89"/>
    </row>
    <row r="1103" spans="1:16" x14ac:dyDescent="0.25">
      <c r="A1103" s="70">
        <f t="shared" si="24"/>
        <v>49</v>
      </c>
      <c r="K1103" s="71"/>
      <c r="M1103" s="71"/>
      <c r="N1103" s="94"/>
      <c r="P1103" s="89"/>
    </row>
    <row r="1104" spans="1:16" x14ac:dyDescent="0.25">
      <c r="A1104" s="70">
        <f t="shared" si="24"/>
        <v>49</v>
      </c>
      <c r="K1104" s="71"/>
      <c r="M1104" s="71"/>
      <c r="N1104" s="94"/>
      <c r="P1104" s="89"/>
    </row>
    <row r="1105" spans="1:16" x14ac:dyDescent="0.25">
      <c r="A1105" s="70">
        <f t="shared" si="24"/>
        <v>49</v>
      </c>
      <c r="K1105" s="71"/>
      <c r="M1105" s="71"/>
      <c r="N1105" s="94"/>
      <c r="P1105" s="89"/>
    </row>
    <row r="1106" spans="1:16" x14ac:dyDescent="0.25">
      <c r="A1106" s="70">
        <f t="shared" si="24"/>
        <v>49</v>
      </c>
      <c r="K1106" s="71"/>
      <c r="M1106" s="71"/>
      <c r="N1106" s="94"/>
      <c r="P1106" s="89"/>
    </row>
    <row r="1107" spans="1:16" x14ac:dyDescent="0.25">
      <c r="A1107" s="70">
        <f t="shared" si="24"/>
        <v>49</v>
      </c>
      <c r="K1107" s="71"/>
      <c r="M1107" s="71"/>
      <c r="N1107" s="94"/>
      <c r="P1107" s="89"/>
    </row>
    <row r="1108" spans="1:16" x14ac:dyDescent="0.25">
      <c r="A1108" s="70">
        <f t="shared" si="24"/>
        <v>49</v>
      </c>
      <c r="K1108" s="71"/>
      <c r="M1108" s="71"/>
      <c r="N1108" s="94"/>
      <c r="P1108" s="89"/>
    </row>
    <row r="1109" spans="1:16" x14ac:dyDescent="0.25">
      <c r="A1109" s="70">
        <f t="shared" si="24"/>
        <v>49</v>
      </c>
      <c r="K1109" s="71"/>
      <c r="M1109" s="71"/>
      <c r="N1109" s="94"/>
      <c r="P1109" s="89"/>
    </row>
    <row r="1110" spans="1:16" x14ac:dyDescent="0.25">
      <c r="A1110" s="70">
        <f t="shared" si="24"/>
        <v>49</v>
      </c>
      <c r="K1110" s="71"/>
      <c r="M1110" s="71"/>
      <c r="N1110" s="94"/>
      <c r="P1110" s="89"/>
    </row>
    <row r="1111" spans="1:16" x14ac:dyDescent="0.25">
      <c r="A1111" s="70">
        <f t="shared" si="24"/>
        <v>49</v>
      </c>
      <c r="K1111" s="71"/>
      <c r="M1111" s="71"/>
      <c r="N1111" s="94"/>
      <c r="P1111" s="89"/>
    </row>
    <row r="1112" spans="1:16" x14ac:dyDescent="0.25">
      <c r="A1112" s="70">
        <f t="shared" si="24"/>
        <v>49</v>
      </c>
      <c r="K1112" s="71"/>
      <c r="M1112" s="71"/>
      <c r="N1112" s="94"/>
      <c r="P1112" s="89"/>
    </row>
    <row r="1113" spans="1:16" x14ac:dyDescent="0.25">
      <c r="A1113" s="70">
        <f t="shared" si="24"/>
        <v>49</v>
      </c>
      <c r="K1113" s="71"/>
      <c r="M1113" s="71"/>
      <c r="N1113" s="94"/>
      <c r="P1113" s="89"/>
    </row>
    <row r="1114" spans="1:16" x14ac:dyDescent="0.25">
      <c r="A1114" s="70">
        <f t="shared" si="24"/>
        <v>49</v>
      </c>
      <c r="K1114" s="71"/>
      <c r="M1114" s="71"/>
      <c r="N1114" s="94"/>
      <c r="P1114" s="89"/>
    </row>
    <row r="1115" spans="1:16" x14ac:dyDescent="0.25">
      <c r="A1115" s="70">
        <f t="shared" si="24"/>
        <v>49</v>
      </c>
      <c r="K1115" s="71"/>
      <c r="M1115" s="71"/>
      <c r="N1115" s="94"/>
      <c r="P1115" s="89"/>
    </row>
    <row r="1116" spans="1:16" x14ac:dyDescent="0.25">
      <c r="A1116" s="70">
        <f t="shared" si="24"/>
        <v>49</v>
      </c>
      <c r="K1116" s="71"/>
      <c r="M1116" s="71"/>
      <c r="N1116" s="94"/>
      <c r="P1116" s="89"/>
    </row>
    <row r="1117" spans="1:16" x14ac:dyDescent="0.25">
      <c r="A1117" s="70">
        <f t="shared" si="24"/>
        <v>49</v>
      </c>
      <c r="K1117" s="71"/>
      <c r="M1117" s="71"/>
      <c r="N1117" s="94"/>
      <c r="P1117" s="89"/>
    </row>
    <row r="1118" spans="1:16" x14ac:dyDescent="0.25">
      <c r="A1118" s="70">
        <f t="shared" si="24"/>
        <v>49</v>
      </c>
      <c r="K1118" s="71"/>
      <c r="M1118" s="71"/>
      <c r="N1118" s="94"/>
      <c r="P1118" s="89"/>
    </row>
    <row r="1119" spans="1:16" x14ac:dyDescent="0.25">
      <c r="A1119" s="70">
        <f t="shared" si="24"/>
        <v>49</v>
      </c>
      <c r="K1119" s="71"/>
      <c r="M1119" s="71"/>
      <c r="N1119" s="94"/>
      <c r="P1119" s="89"/>
    </row>
    <row r="1120" spans="1:16" x14ac:dyDescent="0.25">
      <c r="A1120" s="70">
        <f t="shared" si="24"/>
        <v>49</v>
      </c>
      <c r="K1120" s="71"/>
      <c r="M1120" s="71"/>
      <c r="N1120" s="94"/>
      <c r="P1120" s="89"/>
    </row>
    <row r="1121" spans="1:16" x14ac:dyDescent="0.25">
      <c r="A1121" s="70">
        <f t="shared" si="24"/>
        <v>49</v>
      </c>
      <c r="K1121" s="71"/>
      <c r="M1121" s="71"/>
      <c r="N1121" s="94"/>
      <c r="P1121" s="89"/>
    </row>
    <row r="1122" spans="1:16" x14ac:dyDescent="0.25">
      <c r="A1122" s="70">
        <f t="shared" si="24"/>
        <v>49</v>
      </c>
      <c r="K1122" s="71"/>
      <c r="M1122" s="71"/>
      <c r="N1122" s="94"/>
      <c r="P1122" s="89"/>
    </row>
    <row r="1123" spans="1:16" x14ac:dyDescent="0.25">
      <c r="A1123" s="70">
        <f t="shared" si="24"/>
        <v>49</v>
      </c>
      <c r="K1123" s="71"/>
      <c r="M1123" s="71"/>
      <c r="N1123" s="94"/>
      <c r="P1123" s="89"/>
    </row>
    <row r="1124" spans="1:16" x14ac:dyDescent="0.25">
      <c r="A1124" s="70">
        <f t="shared" si="24"/>
        <v>49</v>
      </c>
      <c r="K1124" s="71"/>
      <c r="M1124" s="71"/>
      <c r="N1124" s="94"/>
      <c r="P1124" s="89"/>
    </row>
    <row r="1125" spans="1:16" x14ac:dyDescent="0.25">
      <c r="A1125" s="70">
        <f t="shared" si="24"/>
        <v>49</v>
      </c>
      <c r="K1125" s="71"/>
      <c r="M1125" s="71"/>
      <c r="N1125" s="94"/>
      <c r="P1125" s="89"/>
    </row>
    <row r="1126" spans="1:16" x14ac:dyDescent="0.25">
      <c r="A1126" s="70">
        <f t="shared" si="24"/>
        <v>49</v>
      </c>
      <c r="K1126" s="71"/>
      <c r="M1126" s="71"/>
      <c r="N1126" s="94"/>
      <c r="P1126" s="89"/>
    </row>
    <row r="1127" spans="1:16" x14ac:dyDescent="0.25">
      <c r="A1127" s="70">
        <f t="shared" si="24"/>
        <v>49</v>
      </c>
      <c r="K1127" s="71"/>
      <c r="M1127" s="71"/>
      <c r="N1127" s="94"/>
      <c r="P1127" s="89"/>
    </row>
    <row r="1128" spans="1:16" x14ac:dyDescent="0.25">
      <c r="A1128" s="70">
        <f t="shared" si="24"/>
        <v>49</v>
      </c>
      <c r="K1128" s="71"/>
      <c r="M1128" s="71"/>
      <c r="N1128" s="94"/>
      <c r="P1128" s="89"/>
    </row>
    <row r="1129" spans="1:16" x14ac:dyDescent="0.25">
      <c r="A1129" s="70">
        <f t="shared" si="24"/>
        <v>49</v>
      </c>
      <c r="K1129" s="71"/>
      <c r="M1129" s="71"/>
      <c r="N1129" s="94"/>
      <c r="P1129" s="89"/>
    </row>
    <row r="1130" spans="1:16" x14ac:dyDescent="0.25">
      <c r="A1130" s="70">
        <f t="shared" si="24"/>
        <v>49</v>
      </c>
      <c r="K1130" s="71"/>
      <c r="M1130" s="71"/>
      <c r="N1130" s="94"/>
      <c r="P1130" s="89"/>
    </row>
    <row r="1131" spans="1:16" x14ac:dyDescent="0.25">
      <c r="A1131" s="70">
        <f t="shared" si="24"/>
        <v>49</v>
      </c>
      <c r="K1131" s="71"/>
      <c r="M1131" s="71"/>
      <c r="N1131" s="94"/>
      <c r="P1131" s="89"/>
    </row>
    <row r="1132" spans="1:16" x14ac:dyDescent="0.25">
      <c r="A1132" s="70">
        <f t="shared" si="24"/>
        <v>49</v>
      </c>
      <c r="K1132" s="71"/>
      <c r="M1132" s="71"/>
      <c r="N1132" s="94"/>
      <c r="P1132" s="89"/>
    </row>
    <row r="1133" spans="1:16" x14ac:dyDescent="0.25">
      <c r="A1133" s="70">
        <f t="shared" si="24"/>
        <v>49</v>
      </c>
      <c r="K1133" s="71"/>
      <c r="M1133" s="71"/>
      <c r="N1133" s="94"/>
      <c r="P1133" s="89"/>
    </row>
    <row r="1134" spans="1:16" x14ac:dyDescent="0.25">
      <c r="A1134" s="70">
        <f t="shared" si="24"/>
        <v>49</v>
      </c>
      <c r="K1134" s="71"/>
      <c r="M1134" s="71"/>
      <c r="N1134" s="94"/>
      <c r="P1134" s="89"/>
    </row>
    <row r="1135" spans="1:16" x14ac:dyDescent="0.25">
      <c r="A1135" s="70">
        <f t="shared" si="24"/>
        <v>49</v>
      </c>
      <c r="K1135" s="71"/>
      <c r="M1135" s="71"/>
      <c r="N1135" s="94"/>
      <c r="P1135" s="89"/>
    </row>
    <row r="1136" spans="1:16" x14ac:dyDescent="0.25">
      <c r="A1136" s="70">
        <f t="shared" si="24"/>
        <v>49</v>
      </c>
      <c r="K1136" s="71"/>
      <c r="M1136" s="71"/>
      <c r="N1136" s="94"/>
      <c r="P1136" s="89"/>
    </row>
    <row r="1137" spans="1:16" x14ac:dyDescent="0.25">
      <c r="A1137" s="70">
        <f t="shared" si="24"/>
        <v>49</v>
      </c>
      <c r="K1137" s="71"/>
      <c r="M1137" s="71"/>
      <c r="N1137" s="94"/>
      <c r="P1137" s="89"/>
    </row>
    <row r="1138" spans="1:16" x14ac:dyDescent="0.25">
      <c r="A1138" s="70">
        <f t="shared" si="24"/>
        <v>49</v>
      </c>
      <c r="K1138" s="71"/>
      <c r="M1138" s="71"/>
      <c r="N1138" s="94"/>
      <c r="P1138" s="89"/>
    </row>
    <row r="1139" spans="1:16" x14ac:dyDescent="0.25">
      <c r="A1139" s="70">
        <f t="shared" si="24"/>
        <v>49</v>
      </c>
      <c r="K1139" s="71"/>
      <c r="M1139" s="71"/>
      <c r="N1139" s="94"/>
      <c r="P1139" s="89"/>
    </row>
    <row r="1140" spans="1:16" x14ac:dyDescent="0.25">
      <c r="A1140" s="70">
        <f t="shared" si="24"/>
        <v>49</v>
      </c>
      <c r="K1140" s="71"/>
      <c r="M1140" s="71"/>
      <c r="N1140" s="94"/>
      <c r="P1140" s="89"/>
    </row>
    <row r="1141" spans="1:16" x14ac:dyDescent="0.25">
      <c r="A1141" s="70">
        <f t="shared" si="24"/>
        <v>49</v>
      </c>
      <c r="K1141" s="71"/>
      <c r="M1141" s="71"/>
      <c r="N1141" s="94"/>
      <c r="P1141" s="89"/>
    </row>
    <row r="1142" spans="1:16" x14ac:dyDescent="0.25">
      <c r="A1142" s="70">
        <f t="shared" si="24"/>
        <v>49</v>
      </c>
      <c r="K1142" s="71"/>
      <c r="M1142" s="71"/>
      <c r="N1142" s="94"/>
      <c r="P1142" s="89"/>
    </row>
    <row r="1143" spans="1:16" x14ac:dyDescent="0.25">
      <c r="A1143" s="70">
        <f t="shared" si="24"/>
        <v>49</v>
      </c>
      <c r="K1143" s="71"/>
      <c r="M1143" s="71"/>
      <c r="N1143" s="94"/>
      <c r="P1143" s="89"/>
    </row>
    <row r="1144" spans="1:16" x14ac:dyDescent="0.25">
      <c r="A1144" s="70">
        <f t="shared" si="24"/>
        <v>49</v>
      </c>
      <c r="K1144" s="71"/>
      <c r="M1144" s="71"/>
      <c r="N1144" s="94"/>
      <c r="P1144" s="89"/>
    </row>
    <row r="1145" spans="1:16" x14ac:dyDescent="0.25">
      <c r="A1145" s="70">
        <f t="shared" si="24"/>
        <v>49</v>
      </c>
      <c r="K1145" s="71"/>
      <c r="M1145" s="71"/>
      <c r="N1145" s="94"/>
      <c r="P1145" s="89"/>
    </row>
    <row r="1146" spans="1:16" x14ac:dyDescent="0.25">
      <c r="A1146" s="70">
        <f t="shared" si="24"/>
        <v>49</v>
      </c>
      <c r="K1146" s="71"/>
      <c r="M1146" s="71"/>
      <c r="N1146" s="94"/>
      <c r="P1146" s="89"/>
    </row>
    <row r="1147" spans="1:16" x14ac:dyDescent="0.25">
      <c r="A1147" s="70">
        <f t="shared" si="24"/>
        <v>49</v>
      </c>
      <c r="K1147" s="71"/>
      <c r="M1147" s="71"/>
      <c r="N1147" s="94"/>
      <c r="P1147" s="89"/>
    </row>
    <row r="1148" spans="1:16" x14ac:dyDescent="0.25">
      <c r="A1148" s="70">
        <f t="shared" si="24"/>
        <v>49</v>
      </c>
      <c r="K1148" s="71"/>
      <c r="M1148" s="71"/>
      <c r="N1148" s="94"/>
      <c r="P1148" s="89"/>
    </row>
    <row r="1149" spans="1:16" x14ac:dyDescent="0.25">
      <c r="A1149" s="70">
        <f t="shared" si="24"/>
        <v>49</v>
      </c>
      <c r="K1149" s="71"/>
      <c r="M1149" s="71"/>
      <c r="N1149" s="94"/>
      <c r="P1149" s="89"/>
    </row>
    <row r="1150" spans="1:16" x14ac:dyDescent="0.25">
      <c r="A1150" s="70">
        <f t="shared" si="24"/>
        <v>49</v>
      </c>
      <c r="K1150" s="71"/>
      <c r="M1150" s="71"/>
      <c r="N1150" s="94"/>
      <c r="P1150" s="89"/>
    </row>
    <row r="1151" spans="1:16" x14ac:dyDescent="0.25">
      <c r="A1151" s="70">
        <f t="shared" si="24"/>
        <v>49</v>
      </c>
      <c r="K1151" s="71"/>
      <c r="M1151" s="71"/>
      <c r="N1151" s="94"/>
      <c r="P1151" s="89"/>
    </row>
    <row r="1152" spans="1:16" x14ac:dyDescent="0.25">
      <c r="A1152" s="70">
        <f t="shared" si="24"/>
        <v>49</v>
      </c>
      <c r="K1152" s="71"/>
      <c r="M1152" s="71"/>
      <c r="N1152" s="94"/>
      <c r="P1152" s="89"/>
    </row>
    <row r="1153" spans="1:16" x14ac:dyDescent="0.25">
      <c r="A1153" s="70">
        <f t="shared" si="24"/>
        <v>49</v>
      </c>
      <c r="K1153" s="71"/>
      <c r="M1153" s="71"/>
      <c r="N1153" s="94"/>
      <c r="P1153" s="89"/>
    </row>
    <row r="1154" spans="1:16" x14ac:dyDescent="0.25">
      <c r="A1154" s="70">
        <f t="shared" si="24"/>
        <v>49</v>
      </c>
      <c r="K1154" s="71"/>
      <c r="M1154" s="71"/>
      <c r="N1154" s="94"/>
      <c r="P1154" s="89"/>
    </row>
    <row r="1155" spans="1:16" x14ac:dyDescent="0.25">
      <c r="A1155" s="70">
        <f t="shared" si="24"/>
        <v>49</v>
      </c>
      <c r="K1155" s="71"/>
      <c r="M1155" s="71"/>
      <c r="N1155" s="94"/>
      <c r="P1155" s="89"/>
    </row>
    <row r="1156" spans="1:16" x14ac:dyDescent="0.25">
      <c r="A1156" s="70">
        <f t="shared" si="24"/>
        <v>49</v>
      </c>
      <c r="K1156" s="71"/>
      <c r="M1156" s="71"/>
      <c r="N1156" s="94"/>
      <c r="P1156" s="89"/>
    </row>
    <row r="1157" spans="1:16" x14ac:dyDescent="0.25">
      <c r="A1157" s="70">
        <f t="shared" si="24"/>
        <v>49</v>
      </c>
      <c r="K1157" s="71"/>
      <c r="M1157" s="71"/>
      <c r="N1157" s="94"/>
      <c r="P1157" s="89"/>
    </row>
    <row r="1158" spans="1:16" x14ac:dyDescent="0.25">
      <c r="A1158" s="70">
        <f t="shared" ref="A1158:A1221" si="25">IF(B1158=B1157,A1157,A1157+1)</f>
        <v>49</v>
      </c>
      <c r="K1158" s="71"/>
      <c r="M1158" s="71"/>
      <c r="N1158" s="94"/>
      <c r="P1158" s="89"/>
    </row>
    <row r="1159" spans="1:16" x14ac:dyDescent="0.25">
      <c r="A1159" s="70">
        <f t="shared" si="25"/>
        <v>49</v>
      </c>
      <c r="K1159" s="71"/>
      <c r="M1159" s="71"/>
      <c r="N1159" s="94"/>
      <c r="P1159" s="89"/>
    </row>
    <row r="1160" spans="1:16" x14ac:dyDescent="0.25">
      <c r="A1160" s="70">
        <f t="shared" si="25"/>
        <v>49</v>
      </c>
      <c r="K1160" s="71"/>
      <c r="M1160" s="71"/>
      <c r="N1160" s="94"/>
      <c r="P1160" s="89"/>
    </row>
    <row r="1161" spans="1:16" x14ac:dyDescent="0.25">
      <c r="A1161" s="70">
        <f t="shared" si="25"/>
        <v>49</v>
      </c>
      <c r="K1161" s="71"/>
      <c r="M1161" s="71"/>
      <c r="N1161" s="94"/>
      <c r="P1161" s="89"/>
    </row>
    <row r="1162" spans="1:16" x14ac:dyDescent="0.25">
      <c r="A1162" s="70">
        <f t="shared" si="25"/>
        <v>49</v>
      </c>
      <c r="K1162" s="71"/>
      <c r="M1162" s="71"/>
      <c r="N1162" s="94"/>
      <c r="P1162" s="89"/>
    </row>
    <row r="1163" spans="1:16" x14ac:dyDescent="0.25">
      <c r="A1163" s="70">
        <f t="shared" si="25"/>
        <v>49</v>
      </c>
      <c r="K1163" s="71"/>
      <c r="M1163" s="71"/>
      <c r="N1163" s="94"/>
      <c r="P1163" s="89"/>
    </row>
    <row r="1164" spans="1:16" x14ac:dyDescent="0.25">
      <c r="A1164" s="70">
        <f t="shared" si="25"/>
        <v>49</v>
      </c>
      <c r="K1164" s="71"/>
      <c r="M1164" s="71"/>
      <c r="N1164" s="94"/>
      <c r="P1164" s="89"/>
    </row>
    <row r="1165" spans="1:16" x14ac:dyDescent="0.25">
      <c r="A1165" s="70">
        <f t="shared" si="25"/>
        <v>49</v>
      </c>
      <c r="K1165" s="71"/>
      <c r="M1165" s="71"/>
      <c r="N1165" s="94"/>
      <c r="P1165" s="89"/>
    </row>
    <row r="1166" spans="1:16" x14ac:dyDescent="0.25">
      <c r="A1166" s="70">
        <f t="shared" si="25"/>
        <v>49</v>
      </c>
      <c r="K1166" s="71"/>
      <c r="M1166" s="71"/>
      <c r="N1166" s="94"/>
      <c r="P1166" s="89"/>
    </row>
    <row r="1167" spans="1:16" x14ac:dyDescent="0.25">
      <c r="A1167" s="70">
        <f t="shared" si="25"/>
        <v>49</v>
      </c>
      <c r="K1167" s="71"/>
      <c r="M1167" s="71"/>
      <c r="N1167" s="94"/>
      <c r="P1167" s="89"/>
    </row>
    <row r="1168" spans="1:16" x14ac:dyDescent="0.25">
      <c r="A1168" s="70">
        <f t="shared" si="25"/>
        <v>49</v>
      </c>
      <c r="K1168" s="71"/>
      <c r="M1168" s="71"/>
      <c r="N1168" s="94"/>
      <c r="P1168" s="89"/>
    </row>
    <row r="1169" spans="1:16" x14ac:dyDescent="0.25">
      <c r="A1169" s="70">
        <f t="shared" si="25"/>
        <v>49</v>
      </c>
      <c r="K1169" s="71"/>
      <c r="M1169" s="71"/>
      <c r="N1169" s="94"/>
      <c r="P1169" s="89"/>
    </row>
    <row r="1170" spans="1:16" x14ac:dyDescent="0.25">
      <c r="A1170" s="70">
        <f t="shared" si="25"/>
        <v>49</v>
      </c>
      <c r="K1170" s="71"/>
      <c r="M1170" s="71"/>
      <c r="N1170" s="94"/>
      <c r="P1170" s="89"/>
    </row>
    <row r="1171" spans="1:16" x14ac:dyDescent="0.25">
      <c r="A1171" s="70">
        <f t="shared" si="25"/>
        <v>49</v>
      </c>
      <c r="K1171" s="71"/>
      <c r="M1171" s="71"/>
      <c r="N1171" s="94"/>
      <c r="P1171" s="89"/>
    </row>
    <row r="1172" spans="1:16" x14ac:dyDescent="0.25">
      <c r="A1172" s="70">
        <f t="shared" si="25"/>
        <v>49</v>
      </c>
      <c r="K1172" s="71"/>
      <c r="M1172" s="71"/>
      <c r="N1172" s="94"/>
      <c r="P1172" s="89"/>
    </row>
    <row r="1173" spans="1:16" x14ac:dyDescent="0.25">
      <c r="A1173" s="70">
        <f t="shared" si="25"/>
        <v>49</v>
      </c>
      <c r="K1173" s="71"/>
      <c r="M1173" s="71"/>
      <c r="N1173" s="94"/>
      <c r="P1173" s="89"/>
    </row>
    <row r="1174" spans="1:16" x14ac:dyDescent="0.25">
      <c r="A1174" s="70">
        <f t="shared" si="25"/>
        <v>49</v>
      </c>
      <c r="K1174" s="71"/>
      <c r="M1174" s="71"/>
      <c r="N1174" s="94"/>
      <c r="P1174" s="89"/>
    </row>
    <row r="1175" spans="1:16" x14ac:dyDescent="0.25">
      <c r="A1175" s="70">
        <f t="shared" si="25"/>
        <v>49</v>
      </c>
      <c r="K1175" s="71"/>
      <c r="M1175" s="71"/>
      <c r="N1175" s="94"/>
      <c r="P1175" s="89"/>
    </row>
    <row r="1176" spans="1:16" x14ac:dyDescent="0.25">
      <c r="A1176" s="70">
        <f t="shared" si="25"/>
        <v>49</v>
      </c>
      <c r="K1176" s="71"/>
      <c r="M1176" s="71"/>
      <c r="N1176" s="94"/>
      <c r="P1176" s="89"/>
    </row>
    <row r="1177" spans="1:16" x14ac:dyDescent="0.25">
      <c r="A1177" s="70">
        <f t="shared" si="25"/>
        <v>49</v>
      </c>
      <c r="K1177" s="71"/>
      <c r="M1177" s="71"/>
      <c r="N1177" s="94"/>
      <c r="P1177" s="89"/>
    </row>
    <row r="1178" spans="1:16" x14ac:dyDescent="0.25">
      <c r="A1178" s="70">
        <f t="shared" si="25"/>
        <v>49</v>
      </c>
      <c r="K1178" s="71"/>
      <c r="M1178" s="71"/>
      <c r="N1178" s="94"/>
      <c r="P1178" s="89"/>
    </row>
    <row r="1179" spans="1:16" x14ac:dyDescent="0.25">
      <c r="A1179" s="70">
        <f t="shared" si="25"/>
        <v>49</v>
      </c>
      <c r="K1179" s="71"/>
      <c r="M1179" s="71"/>
      <c r="N1179" s="94"/>
      <c r="P1179" s="89"/>
    </row>
    <row r="1180" spans="1:16" x14ac:dyDescent="0.25">
      <c r="A1180" s="70">
        <f t="shared" si="25"/>
        <v>49</v>
      </c>
      <c r="K1180" s="71"/>
      <c r="M1180" s="71"/>
      <c r="N1180" s="94"/>
      <c r="P1180" s="89"/>
    </row>
    <row r="1181" spans="1:16" x14ac:dyDescent="0.25">
      <c r="A1181" s="70">
        <f t="shared" si="25"/>
        <v>49</v>
      </c>
      <c r="K1181" s="71"/>
      <c r="M1181" s="71"/>
      <c r="N1181" s="94"/>
      <c r="P1181" s="89"/>
    </row>
    <row r="1182" spans="1:16" x14ac:dyDescent="0.25">
      <c r="A1182" s="70">
        <f t="shared" si="25"/>
        <v>49</v>
      </c>
      <c r="K1182" s="71"/>
      <c r="M1182" s="71"/>
      <c r="N1182" s="94"/>
      <c r="P1182" s="89"/>
    </row>
    <row r="1183" spans="1:16" x14ac:dyDescent="0.25">
      <c r="A1183" s="70">
        <f t="shared" si="25"/>
        <v>49</v>
      </c>
      <c r="K1183" s="71"/>
      <c r="M1183" s="71"/>
      <c r="N1183" s="94"/>
      <c r="P1183" s="89"/>
    </row>
    <row r="1184" spans="1:16" x14ac:dyDescent="0.25">
      <c r="A1184" s="70">
        <f t="shared" si="25"/>
        <v>49</v>
      </c>
      <c r="K1184" s="71"/>
      <c r="M1184" s="71"/>
      <c r="N1184" s="94"/>
      <c r="P1184" s="89"/>
    </row>
    <row r="1185" spans="1:16" x14ac:dyDescent="0.25">
      <c r="A1185" s="70">
        <f t="shared" si="25"/>
        <v>49</v>
      </c>
      <c r="K1185" s="71"/>
      <c r="M1185" s="71"/>
      <c r="N1185" s="94"/>
      <c r="P1185" s="89"/>
    </row>
    <row r="1186" spans="1:16" x14ac:dyDescent="0.25">
      <c r="A1186" s="70">
        <f t="shared" si="25"/>
        <v>49</v>
      </c>
      <c r="K1186" s="71"/>
      <c r="M1186" s="71"/>
      <c r="N1186" s="94"/>
      <c r="P1186" s="89"/>
    </row>
    <row r="1187" spans="1:16" x14ac:dyDescent="0.25">
      <c r="A1187" s="70">
        <f t="shared" si="25"/>
        <v>49</v>
      </c>
      <c r="K1187" s="71"/>
      <c r="M1187" s="71"/>
      <c r="N1187" s="94"/>
      <c r="P1187" s="89"/>
    </row>
    <row r="1188" spans="1:16" x14ac:dyDescent="0.25">
      <c r="A1188" s="70">
        <f t="shared" si="25"/>
        <v>49</v>
      </c>
      <c r="K1188" s="71"/>
      <c r="M1188" s="71"/>
      <c r="N1188" s="94"/>
      <c r="P1188" s="89"/>
    </row>
    <row r="1189" spans="1:16" x14ac:dyDescent="0.25">
      <c r="A1189" s="70">
        <f t="shared" si="25"/>
        <v>49</v>
      </c>
      <c r="K1189" s="71"/>
      <c r="M1189" s="71"/>
      <c r="N1189" s="94"/>
      <c r="P1189" s="89"/>
    </row>
    <row r="1190" spans="1:16" x14ac:dyDescent="0.25">
      <c r="A1190" s="70">
        <f t="shared" si="25"/>
        <v>49</v>
      </c>
      <c r="K1190" s="71"/>
      <c r="M1190" s="71"/>
      <c r="N1190" s="94"/>
      <c r="P1190" s="89"/>
    </row>
    <row r="1191" spans="1:16" x14ac:dyDescent="0.25">
      <c r="A1191" s="70">
        <f t="shared" si="25"/>
        <v>49</v>
      </c>
      <c r="K1191" s="71"/>
      <c r="M1191" s="71"/>
      <c r="N1191" s="94"/>
      <c r="P1191" s="89"/>
    </row>
    <row r="1192" spans="1:16" x14ac:dyDescent="0.25">
      <c r="A1192" s="70">
        <f t="shared" si="25"/>
        <v>49</v>
      </c>
      <c r="K1192" s="71"/>
      <c r="M1192" s="71"/>
      <c r="N1192" s="94"/>
      <c r="P1192" s="89"/>
    </row>
    <row r="1193" spans="1:16" x14ac:dyDescent="0.25">
      <c r="A1193" s="70">
        <f t="shared" si="25"/>
        <v>49</v>
      </c>
      <c r="K1193" s="71"/>
      <c r="M1193" s="71"/>
      <c r="N1193" s="94"/>
      <c r="P1193" s="89"/>
    </row>
    <row r="1194" spans="1:16" x14ac:dyDescent="0.25">
      <c r="A1194" s="70">
        <f t="shared" si="25"/>
        <v>49</v>
      </c>
      <c r="K1194" s="71"/>
      <c r="M1194" s="71"/>
      <c r="N1194" s="94"/>
      <c r="P1194" s="89"/>
    </row>
    <row r="1195" spans="1:16" x14ac:dyDescent="0.25">
      <c r="A1195" s="70">
        <f t="shared" si="25"/>
        <v>49</v>
      </c>
      <c r="K1195" s="71"/>
      <c r="M1195" s="71"/>
      <c r="N1195" s="94"/>
      <c r="P1195" s="89"/>
    </row>
    <row r="1196" spans="1:16" x14ac:dyDescent="0.25">
      <c r="A1196" s="70">
        <f t="shared" si="25"/>
        <v>49</v>
      </c>
      <c r="K1196" s="71"/>
      <c r="M1196" s="71"/>
      <c r="N1196" s="94"/>
      <c r="P1196" s="89"/>
    </row>
    <row r="1197" spans="1:16" x14ac:dyDescent="0.25">
      <c r="A1197" s="70">
        <f t="shared" si="25"/>
        <v>49</v>
      </c>
      <c r="K1197" s="71"/>
      <c r="M1197" s="71"/>
      <c r="N1197" s="94"/>
      <c r="P1197" s="89"/>
    </row>
    <row r="1198" spans="1:16" x14ac:dyDescent="0.25">
      <c r="A1198" s="70">
        <f t="shared" si="25"/>
        <v>49</v>
      </c>
      <c r="K1198" s="71"/>
      <c r="M1198" s="71"/>
      <c r="N1198" s="94"/>
      <c r="P1198" s="89"/>
    </row>
    <row r="1199" spans="1:16" x14ac:dyDescent="0.25">
      <c r="A1199" s="70">
        <f t="shared" si="25"/>
        <v>49</v>
      </c>
      <c r="K1199" s="71"/>
      <c r="M1199" s="71"/>
      <c r="N1199" s="94"/>
      <c r="P1199" s="89"/>
    </row>
    <row r="1200" spans="1:16" x14ac:dyDescent="0.25">
      <c r="A1200" s="70">
        <f t="shared" si="25"/>
        <v>49</v>
      </c>
      <c r="K1200" s="71"/>
      <c r="M1200" s="71"/>
      <c r="N1200" s="94"/>
      <c r="P1200" s="89"/>
    </row>
    <row r="1201" spans="1:16" x14ac:dyDescent="0.25">
      <c r="A1201" s="70">
        <f t="shared" si="25"/>
        <v>49</v>
      </c>
      <c r="K1201" s="71"/>
      <c r="M1201" s="71"/>
      <c r="N1201" s="94"/>
      <c r="P1201" s="89"/>
    </row>
    <row r="1202" spans="1:16" x14ac:dyDescent="0.25">
      <c r="A1202" s="70">
        <f t="shared" si="25"/>
        <v>49</v>
      </c>
      <c r="K1202" s="71"/>
      <c r="M1202" s="71"/>
      <c r="N1202" s="94"/>
      <c r="P1202" s="89"/>
    </row>
    <row r="1203" spans="1:16" x14ac:dyDescent="0.25">
      <c r="A1203" s="70">
        <f t="shared" si="25"/>
        <v>49</v>
      </c>
      <c r="K1203" s="71"/>
      <c r="M1203" s="71"/>
      <c r="N1203" s="94"/>
      <c r="P1203" s="89"/>
    </row>
    <row r="1204" spans="1:16" x14ac:dyDescent="0.25">
      <c r="A1204" s="70">
        <f t="shared" si="25"/>
        <v>49</v>
      </c>
      <c r="K1204" s="71"/>
      <c r="M1204" s="71"/>
      <c r="N1204" s="94"/>
      <c r="P1204" s="89"/>
    </row>
    <row r="1205" spans="1:16" x14ac:dyDescent="0.25">
      <c r="A1205" s="70">
        <f t="shared" si="25"/>
        <v>49</v>
      </c>
      <c r="K1205" s="71"/>
      <c r="M1205" s="71"/>
      <c r="N1205" s="94"/>
      <c r="P1205" s="89"/>
    </row>
    <row r="1206" spans="1:16" x14ac:dyDescent="0.25">
      <c r="A1206" s="70">
        <f t="shared" si="25"/>
        <v>49</v>
      </c>
      <c r="K1206" s="71"/>
      <c r="M1206" s="71"/>
      <c r="N1206" s="94"/>
      <c r="P1206" s="89"/>
    </row>
    <row r="1207" spans="1:16" x14ac:dyDescent="0.25">
      <c r="A1207" s="70">
        <f t="shared" si="25"/>
        <v>49</v>
      </c>
      <c r="K1207" s="71"/>
      <c r="M1207" s="71"/>
      <c r="N1207" s="94"/>
      <c r="P1207" s="89"/>
    </row>
    <row r="1208" spans="1:16" x14ac:dyDescent="0.25">
      <c r="A1208" s="70">
        <f t="shared" si="25"/>
        <v>49</v>
      </c>
      <c r="K1208" s="71"/>
      <c r="M1208" s="71"/>
      <c r="N1208" s="94"/>
      <c r="P1208" s="89"/>
    </row>
    <row r="1209" spans="1:16" x14ac:dyDescent="0.25">
      <c r="A1209" s="70">
        <f t="shared" si="25"/>
        <v>49</v>
      </c>
      <c r="K1209" s="71"/>
      <c r="M1209" s="71"/>
      <c r="N1209" s="94"/>
      <c r="P1209" s="89"/>
    </row>
    <row r="1210" spans="1:16" x14ac:dyDescent="0.25">
      <c r="A1210" s="70">
        <f t="shared" si="25"/>
        <v>49</v>
      </c>
      <c r="K1210" s="71"/>
      <c r="M1210" s="71"/>
      <c r="N1210" s="94"/>
      <c r="P1210" s="89"/>
    </row>
    <row r="1211" spans="1:16" x14ac:dyDescent="0.25">
      <c r="A1211" s="70">
        <f t="shared" si="25"/>
        <v>49</v>
      </c>
      <c r="K1211" s="71"/>
      <c r="M1211" s="71"/>
      <c r="N1211" s="94"/>
      <c r="P1211" s="89"/>
    </row>
    <row r="1212" spans="1:16" x14ac:dyDescent="0.25">
      <c r="A1212" s="70">
        <f t="shared" si="25"/>
        <v>49</v>
      </c>
      <c r="K1212" s="71"/>
      <c r="M1212" s="71"/>
      <c r="N1212" s="94"/>
      <c r="P1212" s="89"/>
    </row>
    <row r="1213" spans="1:16" x14ac:dyDescent="0.25">
      <c r="A1213" s="70">
        <f t="shared" si="25"/>
        <v>49</v>
      </c>
      <c r="K1213" s="71"/>
      <c r="M1213" s="71"/>
      <c r="N1213" s="94"/>
      <c r="P1213" s="89"/>
    </row>
    <row r="1214" spans="1:16" x14ac:dyDescent="0.25">
      <c r="A1214" s="70">
        <f t="shared" si="25"/>
        <v>49</v>
      </c>
      <c r="K1214" s="71"/>
      <c r="M1214" s="71"/>
      <c r="N1214" s="94"/>
      <c r="P1214" s="89"/>
    </row>
    <row r="1215" spans="1:16" x14ac:dyDescent="0.25">
      <c r="A1215" s="70">
        <f t="shared" si="25"/>
        <v>49</v>
      </c>
      <c r="K1215" s="71"/>
      <c r="M1215" s="71"/>
      <c r="N1215" s="94"/>
      <c r="P1215" s="89"/>
    </row>
    <row r="1216" spans="1:16" x14ac:dyDescent="0.25">
      <c r="A1216" s="70">
        <f t="shared" si="25"/>
        <v>49</v>
      </c>
      <c r="K1216" s="71"/>
      <c r="M1216" s="71"/>
      <c r="N1216" s="94"/>
      <c r="P1216" s="89"/>
    </row>
    <row r="1217" spans="1:16" x14ac:dyDescent="0.25">
      <c r="A1217" s="70">
        <f t="shared" si="25"/>
        <v>49</v>
      </c>
      <c r="K1217" s="71"/>
      <c r="M1217" s="71"/>
      <c r="N1217" s="94"/>
      <c r="P1217" s="89"/>
    </row>
    <row r="1218" spans="1:16" x14ac:dyDescent="0.25">
      <c r="A1218" s="70">
        <f t="shared" si="25"/>
        <v>49</v>
      </c>
      <c r="K1218" s="71"/>
      <c r="M1218" s="71"/>
      <c r="N1218" s="94"/>
      <c r="P1218" s="89"/>
    </row>
    <row r="1219" spans="1:16" x14ac:dyDescent="0.25">
      <c r="A1219" s="70">
        <f t="shared" si="25"/>
        <v>49</v>
      </c>
      <c r="K1219" s="71"/>
      <c r="M1219" s="71"/>
      <c r="N1219" s="94"/>
      <c r="P1219" s="89"/>
    </row>
    <row r="1220" spans="1:16" x14ac:dyDescent="0.25">
      <c r="A1220" s="70">
        <f t="shared" si="25"/>
        <v>49</v>
      </c>
      <c r="K1220" s="71"/>
      <c r="M1220" s="71"/>
      <c r="N1220" s="94"/>
      <c r="P1220" s="89"/>
    </row>
    <row r="1221" spans="1:16" x14ac:dyDescent="0.25">
      <c r="A1221" s="70">
        <f t="shared" si="25"/>
        <v>49</v>
      </c>
      <c r="K1221" s="71"/>
      <c r="M1221" s="71"/>
      <c r="N1221" s="94"/>
      <c r="P1221" s="89"/>
    </row>
    <row r="1222" spans="1:16" x14ac:dyDescent="0.25">
      <c r="A1222" s="70">
        <f t="shared" ref="A1222:A1285" si="26">IF(B1222=B1221,A1221,A1221+1)</f>
        <v>49</v>
      </c>
      <c r="K1222" s="71"/>
      <c r="M1222" s="71"/>
      <c r="N1222" s="94"/>
      <c r="P1222" s="89"/>
    </row>
    <row r="1223" spans="1:16" x14ac:dyDescent="0.25">
      <c r="A1223" s="70">
        <f t="shared" si="26"/>
        <v>49</v>
      </c>
      <c r="K1223" s="71"/>
      <c r="M1223" s="71"/>
      <c r="N1223" s="94"/>
      <c r="P1223" s="89"/>
    </row>
    <row r="1224" spans="1:16" x14ac:dyDescent="0.25">
      <c r="A1224" s="70">
        <f t="shared" si="26"/>
        <v>49</v>
      </c>
      <c r="K1224" s="71"/>
      <c r="M1224" s="71"/>
      <c r="N1224" s="94"/>
      <c r="P1224" s="89"/>
    </row>
    <row r="1225" spans="1:16" x14ac:dyDescent="0.25">
      <c r="A1225" s="70">
        <f t="shared" si="26"/>
        <v>49</v>
      </c>
      <c r="K1225" s="71"/>
      <c r="M1225" s="71"/>
      <c r="N1225" s="94"/>
      <c r="P1225" s="89"/>
    </row>
    <row r="1226" spans="1:16" x14ac:dyDescent="0.25">
      <c r="A1226" s="70">
        <f t="shared" si="26"/>
        <v>49</v>
      </c>
      <c r="K1226" s="71"/>
      <c r="M1226" s="71"/>
      <c r="N1226" s="94"/>
      <c r="P1226" s="89"/>
    </row>
    <row r="1227" spans="1:16" x14ac:dyDescent="0.25">
      <c r="A1227" s="70">
        <f t="shared" si="26"/>
        <v>49</v>
      </c>
      <c r="K1227" s="71"/>
      <c r="M1227" s="71"/>
      <c r="N1227" s="94"/>
      <c r="P1227" s="89"/>
    </row>
    <row r="1228" spans="1:16" x14ac:dyDescent="0.25">
      <c r="A1228" s="70">
        <f t="shared" si="26"/>
        <v>49</v>
      </c>
      <c r="K1228" s="71"/>
      <c r="M1228" s="71"/>
      <c r="N1228" s="94"/>
      <c r="P1228" s="89"/>
    </row>
    <row r="1229" spans="1:16" x14ac:dyDescent="0.25">
      <c r="A1229" s="70">
        <f t="shared" si="26"/>
        <v>49</v>
      </c>
      <c r="K1229" s="71"/>
      <c r="M1229" s="71"/>
      <c r="N1229" s="94"/>
      <c r="P1229" s="89"/>
    </row>
    <row r="1230" spans="1:16" x14ac:dyDescent="0.25">
      <c r="A1230" s="70">
        <f t="shared" si="26"/>
        <v>49</v>
      </c>
      <c r="K1230" s="71"/>
      <c r="M1230" s="71"/>
      <c r="N1230" s="94"/>
      <c r="P1230" s="89"/>
    </row>
    <row r="1231" spans="1:16" x14ac:dyDescent="0.25">
      <c r="A1231" s="70">
        <f t="shared" si="26"/>
        <v>49</v>
      </c>
      <c r="K1231" s="71"/>
      <c r="M1231" s="71"/>
      <c r="N1231" s="94"/>
      <c r="P1231" s="89"/>
    </row>
    <row r="1232" spans="1:16" x14ac:dyDescent="0.25">
      <c r="A1232" s="70">
        <f t="shared" si="26"/>
        <v>49</v>
      </c>
      <c r="K1232" s="71"/>
      <c r="M1232" s="71"/>
      <c r="N1232" s="94"/>
      <c r="P1232" s="89"/>
    </row>
    <row r="1233" spans="1:16" x14ac:dyDescent="0.25">
      <c r="A1233" s="70">
        <f t="shared" si="26"/>
        <v>49</v>
      </c>
      <c r="K1233" s="71"/>
      <c r="M1233" s="71"/>
      <c r="N1233" s="94"/>
      <c r="P1233" s="89"/>
    </row>
    <row r="1234" spans="1:16" x14ac:dyDescent="0.25">
      <c r="A1234" s="70">
        <f t="shared" si="26"/>
        <v>49</v>
      </c>
      <c r="K1234" s="71"/>
      <c r="M1234" s="71"/>
      <c r="N1234" s="94"/>
      <c r="P1234" s="89"/>
    </row>
    <row r="1235" spans="1:16" x14ac:dyDescent="0.25">
      <c r="A1235" s="70">
        <f t="shared" si="26"/>
        <v>49</v>
      </c>
      <c r="K1235" s="71"/>
      <c r="M1235" s="71"/>
      <c r="N1235" s="94"/>
      <c r="P1235" s="89"/>
    </row>
    <row r="1236" spans="1:16" x14ac:dyDescent="0.25">
      <c r="A1236" s="70">
        <f t="shared" si="26"/>
        <v>49</v>
      </c>
      <c r="K1236" s="71"/>
      <c r="M1236" s="71"/>
      <c r="N1236" s="94"/>
      <c r="P1236" s="89"/>
    </row>
    <row r="1237" spans="1:16" x14ac:dyDescent="0.25">
      <c r="A1237" s="70">
        <f t="shared" si="26"/>
        <v>49</v>
      </c>
      <c r="K1237" s="71"/>
      <c r="M1237" s="71"/>
      <c r="N1237" s="94"/>
      <c r="P1237" s="89"/>
    </row>
    <row r="1238" spans="1:16" x14ac:dyDescent="0.25">
      <c r="A1238" s="70">
        <f t="shared" si="26"/>
        <v>49</v>
      </c>
      <c r="K1238" s="71"/>
      <c r="M1238" s="71"/>
      <c r="N1238" s="94"/>
      <c r="P1238" s="89"/>
    </row>
    <row r="1239" spans="1:16" x14ac:dyDescent="0.25">
      <c r="A1239" s="70">
        <f t="shared" si="26"/>
        <v>49</v>
      </c>
      <c r="K1239" s="71"/>
      <c r="M1239" s="71"/>
      <c r="N1239" s="94"/>
      <c r="P1239" s="89"/>
    </row>
    <row r="1240" spans="1:16" x14ac:dyDescent="0.25">
      <c r="A1240" s="70">
        <f t="shared" si="26"/>
        <v>49</v>
      </c>
      <c r="K1240" s="71"/>
      <c r="M1240" s="71"/>
      <c r="N1240" s="94"/>
      <c r="P1240" s="89"/>
    </row>
    <row r="1241" spans="1:16" x14ac:dyDescent="0.25">
      <c r="A1241" s="70">
        <f t="shared" si="26"/>
        <v>49</v>
      </c>
      <c r="K1241" s="71"/>
      <c r="M1241" s="71"/>
      <c r="N1241" s="94"/>
      <c r="P1241" s="89"/>
    </row>
    <row r="1242" spans="1:16" x14ac:dyDescent="0.25">
      <c r="A1242" s="70">
        <f t="shared" si="26"/>
        <v>49</v>
      </c>
      <c r="K1242" s="71"/>
      <c r="M1242" s="71"/>
      <c r="N1242" s="94"/>
      <c r="P1242" s="89"/>
    </row>
    <row r="1243" spans="1:16" x14ac:dyDescent="0.25">
      <c r="A1243" s="70">
        <f t="shared" si="26"/>
        <v>49</v>
      </c>
      <c r="K1243" s="71"/>
      <c r="M1243" s="71"/>
      <c r="N1243" s="94"/>
      <c r="P1243" s="89"/>
    </row>
    <row r="1244" spans="1:16" x14ac:dyDescent="0.25">
      <c r="A1244" s="70">
        <f t="shared" si="26"/>
        <v>49</v>
      </c>
      <c r="K1244" s="71"/>
      <c r="M1244" s="71"/>
      <c r="N1244" s="94"/>
      <c r="P1244" s="89"/>
    </row>
    <row r="1245" spans="1:16" x14ac:dyDescent="0.25">
      <c r="A1245" s="70">
        <f t="shared" si="26"/>
        <v>49</v>
      </c>
      <c r="K1245" s="71"/>
      <c r="M1245" s="71"/>
      <c r="N1245" s="94"/>
      <c r="P1245" s="89"/>
    </row>
    <row r="1246" spans="1:16" x14ac:dyDescent="0.25">
      <c r="A1246" s="70">
        <f t="shared" si="26"/>
        <v>49</v>
      </c>
      <c r="K1246" s="71"/>
      <c r="M1246" s="71"/>
      <c r="N1246" s="94"/>
      <c r="P1246" s="89"/>
    </row>
    <row r="1247" spans="1:16" x14ac:dyDescent="0.25">
      <c r="A1247" s="70">
        <f t="shared" si="26"/>
        <v>49</v>
      </c>
      <c r="K1247" s="71"/>
      <c r="M1247" s="71"/>
      <c r="N1247" s="94"/>
      <c r="P1247" s="89"/>
    </row>
    <row r="1248" spans="1:16" x14ac:dyDescent="0.25">
      <c r="A1248" s="70">
        <f t="shared" si="26"/>
        <v>49</v>
      </c>
      <c r="K1248" s="71"/>
      <c r="M1248" s="71"/>
      <c r="N1248" s="94"/>
      <c r="P1248" s="89"/>
    </row>
    <row r="1249" spans="1:16" x14ac:dyDescent="0.25">
      <c r="A1249" s="70">
        <f t="shared" si="26"/>
        <v>49</v>
      </c>
      <c r="K1249" s="71"/>
      <c r="M1249" s="71"/>
      <c r="N1249" s="94"/>
      <c r="P1249" s="89"/>
    </row>
    <row r="1250" spans="1:16" x14ac:dyDescent="0.25">
      <c r="A1250" s="70">
        <f t="shared" si="26"/>
        <v>49</v>
      </c>
      <c r="K1250" s="71"/>
      <c r="M1250" s="71"/>
      <c r="N1250" s="94"/>
      <c r="P1250" s="89"/>
    </row>
    <row r="1251" spans="1:16" x14ac:dyDescent="0.25">
      <c r="A1251" s="70">
        <f t="shared" si="26"/>
        <v>49</v>
      </c>
      <c r="K1251" s="71"/>
      <c r="M1251" s="71"/>
      <c r="N1251" s="94"/>
      <c r="P1251" s="89"/>
    </row>
    <row r="1252" spans="1:16" x14ac:dyDescent="0.25">
      <c r="A1252" s="70">
        <f t="shared" si="26"/>
        <v>49</v>
      </c>
      <c r="K1252" s="71"/>
      <c r="M1252" s="71"/>
      <c r="N1252" s="94"/>
      <c r="P1252" s="89"/>
    </row>
    <row r="1253" spans="1:16" x14ac:dyDescent="0.25">
      <c r="A1253" s="70">
        <f t="shared" si="26"/>
        <v>49</v>
      </c>
      <c r="K1253" s="71"/>
      <c r="M1253" s="71"/>
      <c r="N1253" s="94"/>
      <c r="P1253" s="89"/>
    </row>
    <row r="1254" spans="1:16" x14ac:dyDescent="0.25">
      <c r="A1254" s="70">
        <f t="shared" si="26"/>
        <v>49</v>
      </c>
      <c r="K1254" s="71"/>
      <c r="M1254" s="71"/>
      <c r="N1254" s="94"/>
      <c r="P1254" s="89"/>
    </row>
    <row r="1255" spans="1:16" x14ac:dyDescent="0.25">
      <c r="A1255" s="70">
        <f t="shared" si="26"/>
        <v>49</v>
      </c>
      <c r="K1255" s="71"/>
      <c r="M1255" s="71"/>
      <c r="N1255" s="94"/>
      <c r="P1255" s="89"/>
    </row>
    <row r="1256" spans="1:16" x14ac:dyDescent="0.25">
      <c r="A1256" s="70">
        <f t="shared" si="26"/>
        <v>49</v>
      </c>
      <c r="K1256" s="71"/>
      <c r="M1256" s="71"/>
      <c r="N1256" s="94"/>
      <c r="P1256" s="89"/>
    </row>
    <row r="1257" spans="1:16" x14ac:dyDescent="0.25">
      <c r="A1257" s="70">
        <f t="shared" si="26"/>
        <v>49</v>
      </c>
      <c r="K1257" s="71"/>
      <c r="M1257" s="71"/>
      <c r="N1257" s="94"/>
      <c r="P1257" s="89"/>
    </row>
    <row r="1258" spans="1:16" x14ac:dyDescent="0.25">
      <c r="A1258" s="70">
        <f t="shared" si="26"/>
        <v>49</v>
      </c>
      <c r="K1258" s="71"/>
      <c r="M1258" s="71"/>
      <c r="N1258" s="94"/>
      <c r="P1258" s="89"/>
    </row>
    <row r="1259" spans="1:16" x14ac:dyDescent="0.25">
      <c r="A1259" s="70">
        <f t="shared" si="26"/>
        <v>49</v>
      </c>
      <c r="K1259" s="71"/>
      <c r="M1259" s="71"/>
      <c r="N1259" s="94"/>
      <c r="P1259" s="89"/>
    </row>
    <row r="1260" spans="1:16" x14ac:dyDescent="0.25">
      <c r="A1260" s="70">
        <f t="shared" si="26"/>
        <v>49</v>
      </c>
      <c r="K1260" s="71"/>
      <c r="M1260" s="71"/>
      <c r="N1260" s="94"/>
      <c r="P1260" s="89"/>
    </row>
    <row r="1261" spans="1:16" x14ac:dyDescent="0.25">
      <c r="A1261" s="70">
        <f t="shared" si="26"/>
        <v>49</v>
      </c>
      <c r="K1261" s="71"/>
      <c r="M1261" s="71"/>
      <c r="N1261" s="94"/>
      <c r="P1261" s="89"/>
    </row>
    <row r="1262" spans="1:16" x14ac:dyDescent="0.25">
      <c r="A1262" s="70">
        <f t="shared" si="26"/>
        <v>49</v>
      </c>
      <c r="K1262" s="71"/>
      <c r="M1262" s="71"/>
      <c r="N1262" s="94"/>
      <c r="P1262" s="89"/>
    </row>
    <row r="1263" spans="1:16" x14ac:dyDescent="0.25">
      <c r="A1263" s="70">
        <f t="shared" si="26"/>
        <v>49</v>
      </c>
      <c r="K1263" s="71"/>
      <c r="M1263" s="71"/>
      <c r="N1263" s="94"/>
      <c r="P1263" s="89"/>
    </row>
    <row r="1264" spans="1:16" x14ac:dyDescent="0.25">
      <c r="A1264" s="70">
        <f t="shared" si="26"/>
        <v>49</v>
      </c>
      <c r="K1264" s="71"/>
      <c r="M1264" s="71"/>
      <c r="N1264" s="94"/>
      <c r="P1264" s="89"/>
    </row>
    <row r="1265" spans="1:16" x14ac:dyDescent="0.25">
      <c r="A1265" s="70">
        <f t="shared" si="26"/>
        <v>49</v>
      </c>
      <c r="K1265" s="71"/>
      <c r="M1265" s="71"/>
      <c r="N1265" s="94"/>
      <c r="P1265" s="89"/>
    </row>
    <row r="1266" spans="1:16" x14ac:dyDescent="0.25">
      <c r="A1266" s="70">
        <f t="shared" si="26"/>
        <v>49</v>
      </c>
      <c r="K1266" s="71"/>
      <c r="M1266" s="71"/>
      <c r="N1266" s="94"/>
      <c r="P1266" s="89"/>
    </row>
    <row r="1267" spans="1:16" x14ac:dyDescent="0.25">
      <c r="A1267" s="70">
        <f t="shared" si="26"/>
        <v>49</v>
      </c>
      <c r="K1267" s="71"/>
      <c r="M1267" s="71"/>
      <c r="N1267" s="94"/>
      <c r="P1267" s="89"/>
    </row>
    <row r="1268" spans="1:16" x14ac:dyDescent="0.25">
      <c r="A1268" s="70">
        <f t="shared" si="26"/>
        <v>49</v>
      </c>
      <c r="K1268" s="71"/>
      <c r="M1268" s="71"/>
      <c r="N1268" s="94"/>
      <c r="P1268" s="89"/>
    </row>
    <row r="1269" spans="1:16" x14ac:dyDescent="0.25">
      <c r="A1269" s="70">
        <f t="shared" si="26"/>
        <v>49</v>
      </c>
      <c r="K1269" s="71"/>
      <c r="M1269" s="71"/>
      <c r="N1269" s="94"/>
      <c r="P1269" s="89"/>
    </row>
    <row r="1270" spans="1:16" x14ac:dyDescent="0.25">
      <c r="A1270" s="70">
        <f t="shared" si="26"/>
        <v>49</v>
      </c>
      <c r="K1270" s="71"/>
      <c r="M1270" s="71"/>
      <c r="N1270" s="94"/>
      <c r="P1270" s="89"/>
    </row>
    <row r="1271" spans="1:16" x14ac:dyDescent="0.25">
      <c r="A1271" s="70">
        <f t="shared" si="26"/>
        <v>49</v>
      </c>
      <c r="K1271" s="71"/>
      <c r="M1271" s="71"/>
      <c r="N1271" s="94"/>
      <c r="P1271" s="89"/>
    </row>
    <row r="1272" spans="1:16" x14ac:dyDescent="0.25">
      <c r="A1272" s="70">
        <f t="shared" si="26"/>
        <v>49</v>
      </c>
      <c r="K1272" s="71"/>
      <c r="M1272" s="71"/>
      <c r="N1272" s="94"/>
      <c r="P1272" s="89"/>
    </row>
    <row r="1273" spans="1:16" x14ac:dyDescent="0.25">
      <c r="A1273" s="70">
        <f t="shared" si="26"/>
        <v>49</v>
      </c>
      <c r="K1273" s="71"/>
      <c r="M1273" s="71"/>
      <c r="N1273" s="94"/>
      <c r="P1273" s="89"/>
    </row>
    <row r="1274" spans="1:16" x14ac:dyDescent="0.25">
      <c r="A1274" s="70">
        <f t="shared" si="26"/>
        <v>49</v>
      </c>
      <c r="K1274" s="71"/>
      <c r="M1274" s="71"/>
      <c r="N1274" s="94"/>
      <c r="P1274" s="89"/>
    </row>
    <row r="1275" spans="1:16" x14ac:dyDescent="0.25">
      <c r="A1275" s="70">
        <f t="shared" si="26"/>
        <v>49</v>
      </c>
      <c r="K1275" s="71"/>
      <c r="M1275" s="71"/>
      <c r="N1275" s="94"/>
      <c r="P1275" s="89"/>
    </row>
    <row r="1276" spans="1:16" x14ac:dyDescent="0.25">
      <c r="A1276" s="70">
        <f t="shared" si="26"/>
        <v>49</v>
      </c>
      <c r="K1276" s="71"/>
      <c r="M1276" s="71"/>
      <c r="N1276" s="94"/>
      <c r="P1276" s="89"/>
    </row>
    <row r="1277" spans="1:16" x14ac:dyDescent="0.25">
      <c r="A1277" s="70">
        <f t="shared" si="26"/>
        <v>49</v>
      </c>
    </row>
    <row r="1278" spans="1:16" x14ac:dyDescent="0.25">
      <c r="A1278" s="70">
        <f t="shared" si="26"/>
        <v>49</v>
      </c>
    </row>
    <row r="1279" spans="1:16" x14ac:dyDescent="0.25">
      <c r="A1279" s="70">
        <f t="shared" si="26"/>
        <v>49</v>
      </c>
    </row>
    <row r="1280" spans="1:16" x14ac:dyDescent="0.25">
      <c r="A1280" s="70">
        <f t="shared" si="26"/>
        <v>49</v>
      </c>
    </row>
    <row r="1281" spans="1:1" x14ac:dyDescent="0.25">
      <c r="A1281" s="70">
        <f t="shared" si="26"/>
        <v>49</v>
      </c>
    </row>
    <row r="1282" spans="1:1" x14ac:dyDescent="0.25">
      <c r="A1282" s="70">
        <f t="shared" si="26"/>
        <v>49</v>
      </c>
    </row>
    <row r="1283" spans="1:1" x14ac:dyDescent="0.25">
      <c r="A1283" s="70">
        <f t="shared" si="26"/>
        <v>49</v>
      </c>
    </row>
    <row r="1284" spans="1:1" x14ac:dyDescent="0.25">
      <c r="A1284" s="70">
        <f t="shared" si="26"/>
        <v>49</v>
      </c>
    </row>
    <row r="1285" spans="1:1" x14ac:dyDescent="0.25">
      <c r="A1285" s="70">
        <f t="shared" si="26"/>
        <v>49</v>
      </c>
    </row>
    <row r="1286" spans="1:1" x14ac:dyDescent="0.25">
      <c r="A1286" s="70">
        <f t="shared" ref="A1286:A1349" si="27">IF(B1286=B1285,A1285,A1285+1)</f>
        <v>49</v>
      </c>
    </row>
    <row r="1287" spans="1:1" x14ac:dyDescent="0.25">
      <c r="A1287" s="70">
        <f t="shared" si="27"/>
        <v>49</v>
      </c>
    </row>
    <row r="1288" spans="1:1" x14ac:dyDescent="0.25">
      <c r="A1288" s="70">
        <f t="shared" si="27"/>
        <v>49</v>
      </c>
    </row>
    <row r="1289" spans="1:1" x14ac:dyDescent="0.25">
      <c r="A1289" s="70">
        <f t="shared" si="27"/>
        <v>49</v>
      </c>
    </row>
    <row r="1290" spans="1:1" x14ac:dyDescent="0.25">
      <c r="A1290" s="70">
        <f t="shared" si="27"/>
        <v>49</v>
      </c>
    </row>
    <row r="1291" spans="1:1" x14ac:dyDescent="0.25">
      <c r="A1291" s="70">
        <f t="shared" si="27"/>
        <v>49</v>
      </c>
    </row>
    <row r="1292" spans="1:1" x14ac:dyDescent="0.25">
      <c r="A1292" s="70">
        <f t="shared" si="27"/>
        <v>49</v>
      </c>
    </row>
    <row r="1293" spans="1:1" x14ac:dyDescent="0.25">
      <c r="A1293" s="70">
        <f t="shared" si="27"/>
        <v>49</v>
      </c>
    </row>
    <row r="1294" spans="1:1" x14ac:dyDescent="0.25">
      <c r="A1294" s="70">
        <f t="shared" si="27"/>
        <v>49</v>
      </c>
    </row>
    <row r="1295" spans="1:1" x14ac:dyDescent="0.25">
      <c r="A1295" s="70">
        <f t="shared" si="27"/>
        <v>49</v>
      </c>
    </row>
    <row r="1296" spans="1:1" x14ac:dyDescent="0.25">
      <c r="A1296" s="70">
        <f t="shared" si="27"/>
        <v>49</v>
      </c>
    </row>
    <row r="1297" spans="1:1" x14ac:dyDescent="0.25">
      <c r="A1297" s="70">
        <f t="shared" si="27"/>
        <v>49</v>
      </c>
    </row>
    <row r="1298" spans="1:1" x14ac:dyDescent="0.25">
      <c r="A1298" s="70">
        <f t="shared" si="27"/>
        <v>49</v>
      </c>
    </row>
    <row r="1299" spans="1:1" x14ac:dyDescent="0.25">
      <c r="A1299" s="70">
        <f t="shared" si="27"/>
        <v>49</v>
      </c>
    </row>
    <row r="1300" spans="1:1" x14ac:dyDescent="0.25">
      <c r="A1300" s="70">
        <f t="shared" si="27"/>
        <v>49</v>
      </c>
    </row>
    <row r="1301" spans="1:1" x14ac:dyDescent="0.25">
      <c r="A1301" s="70">
        <f t="shared" si="27"/>
        <v>49</v>
      </c>
    </row>
    <row r="1302" spans="1:1" x14ac:dyDescent="0.25">
      <c r="A1302" s="70">
        <f t="shared" si="27"/>
        <v>49</v>
      </c>
    </row>
    <row r="1303" spans="1:1" x14ac:dyDescent="0.25">
      <c r="A1303" s="70">
        <f t="shared" si="27"/>
        <v>49</v>
      </c>
    </row>
    <row r="1304" spans="1:1" x14ac:dyDescent="0.25">
      <c r="A1304" s="70">
        <f t="shared" si="27"/>
        <v>49</v>
      </c>
    </row>
    <row r="1305" spans="1:1" x14ac:dyDescent="0.25">
      <c r="A1305" s="70">
        <f t="shared" si="27"/>
        <v>49</v>
      </c>
    </row>
    <row r="1306" spans="1:1" x14ac:dyDescent="0.25">
      <c r="A1306" s="70">
        <f t="shared" si="27"/>
        <v>49</v>
      </c>
    </row>
    <row r="1307" spans="1:1" x14ac:dyDescent="0.25">
      <c r="A1307" s="70">
        <f t="shared" si="27"/>
        <v>49</v>
      </c>
    </row>
    <row r="1308" spans="1:1" x14ac:dyDescent="0.25">
      <c r="A1308" s="70">
        <f t="shared" si="27"/>
        <v>49</v>
      </c>
    </row>
    <row r="1309" spans="1:1" x14ac:dyDescent="0.25">
      <c r="A1309" s="70">
        <f t="shared" si="27"/>
        <v>49</v>
      </c>
    </row>
    <row r="1310" spans="1:1" x14ac:dyDescent="0.25">
      <c r="A1310" s="70">
        <f t="shared" si="27"/>
        <v>49</v>
      </c>
    </row>
    <row r="1311" spans="1:1" x14ac:dyDescent="0.25">
      <c r="A1311" s="70">
        <f t="shared" si="27"/>
        <v>49</v>
      </c>
    </row>
    <row r="1312" spans="1:1" x14ac:dyDescent="0.25">
      <c r="A1312" s="70">
        <f t="shared" si="27"/>
        <v>49</v>
      </c>
    </row>
    <row r="1313" spans="1:1" x14ac:dyDescent="0.25">
      <c r="A1313" s="70">
        <f t="shared" si="27"/>
        <v>49</v>
      </c>
    </row>
    <row r="1314" spans="1:1" x14ac:dyDescent="0.25">
      <c r="A1314" s="70">
        <f t="shared" si="27"/>
        <v>49</v>
      </c>
    </row>
    <row r="1315" spans="1:1" x14ac:dyDescent="0.25">
      <c r="A1315" s="70">
        <f t="shared" si="27"/>
        <v>49</v>
      </c>
    </row>
    <row r="1316" spans="1:1" x14ac:dyDescent="0.25">
      <c r="A1316" s="70">
        <f t="shared" si="27"/>
        <v>49</v>
      </c>
    </row>
    <row r="1317" spans="1:1" x14ac:dyDescent="0.25">
      <c r="A1317" s="70">
        <f t="shared" si="27"/>
        <v>49</v>
      </c>
    </row>
    <row r="1318" spans="1:1" x14ac:dyDescent="0.25">
      <c r="A1318" s="70">
        <f t="shared" si="27"/>
        <v>49</v>
      </c>
    </row>
    <row r="1319" spans="1:1" x14ac:dyDescent="0.25">
      <c r="A1319" s="70">
        <f t="shared" si="27"/>
        <v>49</v>
      </c>
    </row>
    <row r="1320" spans="1:1" x14ac:dyDescent="0.25">
      <c r="A1320" s="70">
        <f t="shared" si="27"/>
        <v>49</v>
      </c>
    </row>
    <row r="1321" spans="1:1" x14ac:dyDescent="0.25">
      <c r="A1321" s="70">
        <f t="shared" si="27"/>
        <v>49</v>
      </c>
    </row>
    <row r="1322" spans="1:1" x14ac:dyDescent="0.25">
      <c r="A1322" s="70">
        <f t="shared" si="27"/>
        <v>49</v>
      </c>
    </row>
    <row r="1323" spans="1:1" x14ac:dyDescent="0.25">
      <c r="A1323" s="70">
        <f t="shared" si="27"/>
        <v>49</v>
      </c>
    </row>
    <row r="1324" spans="1:1" x14ac:dyDescent="0.25">
      <c r="A1324" s="70">
        <f t="shared" si="27"/>
        <v>49</v>
      </c>
    </row>
    <row r="1325" spans="1:1" x14ac:dyDescent="0.25">
      <c r="A1325" s="70">
        <f t="shared" si="27"/>
        <v>49</v>
      </c>
    </row>
    <row r="1326" spans="1:1" x14ac:dyDescent="0.25">
      <c r="A1326" s="70">
        <f t="shared" si="27"/>
        <v>49</v>
      </c>
    </row>
    <row r="1327" spans="1:1" x14ac:dyDescent="0.25">
      <c r="A1327" s="70">
        <f t="shared" si="27"/>
        <v>49</v>
      </c>
    </row>
    <row r="1328" spans="1:1" x14ac:dyDescent="0.25">
      <c r="A1328" s="70">
        <f t="shared" si="27"/>
        <v>49</v>
      </c>
    </row>
    <row r="1329" spans="1:1" x14ac:dyDescent="0.25">
      <c r="A1329" s="70">
        <f t="shared" si="27"/>
        <v>49</v>
      </c>
    </row>
    <row r="1330" spans="1:1" x14ac:dyDescent="0.25">
      <c r="A1330" s="70">
        <f t="shared" si="27"/>
        <v>49</v>
      </c>
    </row>
    <row r="1331" spans="1:1" x14ac:dyDescent="0.25">
      <c r="A1331" s="70">
        <f t="shared" si="27"/>
        <v>49</v>
      </c>
    </row>
    <row r="1332" spans="1:1" x14ac:dyDescent="0.25">
      <c r="A1332" s="70">
        <f t="shared" si="27"/>
        <v>49</v>
      </c>
    </row>
    <row r="1333" spans="1:1" x14ac:dyDescent="0.25">
      <c r="A1333" s="70">
        <f t="shared" si="27"/>
        <v>49</v>
      </c>
    </row>
    <row r="1334" spans="1:1" x14ac:dyDescent="0.25">
      <c r="A1334" s="70">
        <f t="shared" si="27"/>
        <v>49</v>
      </c>
    </row>
    <row r="1335" spans="1:1" x14ac:dyDescent="0.25">
      <c r="A1335" s="70">
        <f t="shared" si="27"/>
        <v>49</v>
      </c>
    </row>
    <row r="1336" spans="1:1" x14ac:dyDescent="0.25">
      <c r="A1336" s="70">
        <f t="shared" si="27"/>
        <v>49</v>
      </c>
    </row>
    <row r="1337" spans="1:1" x14ac:dyDescent="0.25">
      <c r="A1337" s="70">
        <f t="shared" si="27"/>
        <v>49</v>
      </c>
    </row>
    <row r="1338" spans="1:1" x14ac:dyDescent="0.25">
      <c r="A1338" s="70">
        <f t="shared" si="27"/>
        <v>49</v>
      </c>
    </row>
    <row r="1339" spans="1:1" x14ac:dyDescent="0.25">
      <c r="A1339" s="70">
        <f t="shared" si="27"/>
        <v>49</v>
      </c>
    </row>
    <row r="1340" spans="1:1" x14ac:dyDescent="0.25">
      <c r="A1340" s="70">
        <f t="shared" si="27"/>
        <v>49</v>
      </c>
    </row>
    <row r="1341" spans="1:1" x14ac:dyDescent="0.25">
      <c r="A1341" s="70">
        <f t="shared" si="27"/>
        <v>49</v>
      </c>
    </row>
    <row r="1342" spans="1:1" x14ac:dyDescent="0.25">
      <c r="A1342" s="70">
        <f t="shared" si="27"/>
        <v>49</v>
      </c>
    </row>
    <row r="1343" spans="1:1" x14ac:dyDescent="0.25">
      <c r="A1343" s="70">
        <f t="shared" si="27"/>
        <v>49</v>
      </c>
    </row>
    <row r="1344" spans="1:1" x14ac:dyDescent="0.25">
      <c r="A1344" s="70">
        <f t="shared" si="27"/>
        <v>49</v>
      </c>
    </row>
    <row r="1345" spans="1:1" x14ac:dyDescent="0.25">
      <c r="A1345" s="70">
        <f t="shared" si="27"/>
        <v>49</v>
      </c>
    </row>
    <row r="1346" spans="1:1" x14ac:dyDescent="0.25">
      <c r="A1346" s="70">
        <f t="shared" si="27"/>
        <v>49</v>
      </c>
    </row>
    <row r="1347" spans="1:1" x14ac:dyDescent="0.25">
      <c r="A1347" s="70">
        <f t="shared" si="27"/>
        <v>49</v>
      </c>
    </row>
    <row r="1348" spans="1:1" x14ac:dyDescent="0.25">
      <c r="A1348" s="70">
        <f t="shared" si="27"/>
        <v>49</v>
      </c>
    </row>
    <row r="1349" spans="1:1" x14ac:dyDescent="0.25">
      <c r="A1349" s="70">
        <f t="shared" si="27"/>
        <v>49</v>
      </c>
    </row>
    <row r="1350" spans="1:1" x14ac:dyDescent="0.25">
      <c r="A1350" s="70">
        <f t="shared" ref="A1350:A1413" si="28">IF(B1350=B1349,A1349,A1349+1)</f>
        <v>49</v>
      </c>
    </row>
    <row r="1351" spans="1:1" x14ac:dyDescent="0.25">
      <c r="A1351" s="70">
        <f t="shared" si="28"/>
        <v>49</v>
      </c>
    </row>
    <row r="1352" spans="1:1" x14ac:dyDescent="0.25">
      <c r="A1352" s="70">
        <f t="shared" si="28"/>
        <v>49</v>
      </c>
    </row>
    <row r="1353" spans="1:1" x14ac:dyDescent="0.25">
      <c r="A1353" s="70">
        <f t="shared" si="28"/>
        <v>49</v>
      </c>
    </row>
    <row r="1354" spans="1:1" x14ac:dyDescent="0.25">
      <c r="A1354" s="70">
        <f t="shared" si="28"/>
        <v>49</v>
      </c>
    </row>
    <row r="1355" spans="1:1" x14ac:dyDescent="0.25">
      <c r="A1355" s="70">
        <f t="shared" si="28"/>
        <v>49</v>
      </c>
    </row>
    <row r="1356" spans="1:1" x14ac:dyDescent="0.25">
      <c r="A1356" s="70">
        <f t="shared" si="28"/>
        <v>49</v>
      </c>
    </row>
    <row r="1357" spans="1:1" x14ac:dyDescent="0.25">
      <c r="A1357" s="70">
        <f t="shared" si="28"/>
        <v>49</v>
      </c>
    </row>
    <row r="1358" spans="1:1" x14ac:dyDescent="0.25">
      <c r="A1358" s="70">
        <f t="shared" si="28"/>
        <v>49</v>
      </c>
    </row>
    <row r="1359" spans="1:1" x14ac:dyDescent="0.25">
      <c r="A1359" s="70">
        <f t="shared" si="28"/>
        <v>49</v>
      </c>
    </row>
    <row r="1360" spans="1:1" x14ac:dyDescent="0.25">
      <c r="A1360" s="70">
        <f t="shared" si="28"/>
        <v>49</v>
      </c>
    </row>
    <row r="1361" spans="1:1" x14ac:dyDescent="0.25">
      <c r="A1361" s="70">
        <f t="shared" si="28"/>
        <v>49</v>
      </c>
    </row>
    <row r="1362" spans="1:1" x14ac:dyDescent="0.25">
      <c r="A1362" s="70">
        <f t="shared" si="28"/>
        <v>49</v>
      </c>
    </row>
    <row r="1363" spans="1:1" x14ac:dyDescent="0.25">
      <c r="A1363" s="70">
        <f t="shared" si="28"/>
        <v>49</v>
      </c>
    </row>
    <row r="1364" spans="1:1" x14ac:dyDescent="0.25">
      <c r="A1364" s="70">
        <f t="shared" si="28"/>
        <v>49</v>
      </c>
    </row>
    <row r="1365" spans="1:1" x14ac:dyDescent="0.25">
      <c r="A1365" s="70">
        <f t="shared" si="28"/>
        <v>49</v>
      </c>
    </row>
    <row r="1366" spans="1:1" x14ac:dyDescent="0.25">
      <c r="A1366" s="70">
        <f t="shared" si="28"/>
        <v>49</v>
      </c>
    </row>
    <row r="1367" spans="1:1" x14ac:dyDescent="0.25">
      <c r="A1367" s="70">
        <f t="shared" si="28"/>
        <v>49</v>
      </c>
    </row>
    <row r="1368" spans="1:1" x14ac:dyDescent="0.25">
      <c r="A1368" s="70">
        <f t="shared" si="28"/>
        <v>49</v>
      </c>
    </row>
    <row r="1369" spans="1:1" x14ac:dyDescent="0.25">
      <c r="A1369" s="70">
        <f t="shared" si="28"/>
        <v>49</v>
      </c>
    </row>
    <row r="1370" spans="1:1" x14ac:dyDescent="0.25">
      <c r="A1370" s="70">
        <f t="shared" si="28"/>
        <v>49</v>
      </c>
    </row>
    <row r="1371" spans="1:1" x14ac:dyDescent="0.25">
      <c r="A1371" s="70">
        <f t="shared" si="28"/>
        <v>49</v>
      </c>
    </row>
    <row r="1372" spans="1:1" x14ac:dyDescent="0.25">
      <c r="A1372" s="70">
        <f t="shared" si="28"/>
        <v>49</v>
      </c>
    </row>
    <row r="1373" spans="1:1" x14ac:dyDescent="0.25">
      <c r="A1373" s="70">
        <f t="shared" si="28"/>
        <v>49</v>
      </c>
    </row>
    <row r="1374" spans="1:1" x14ac:dyDescent="0.25">
      <c r="A1374" s="70">
        <f t="shared" si="28"/>
        <v>49</v>
      </c>
    </row>
    <row r="1375" spans="1:1" x14ac:dyDescent="0.25">
      <c r="A1375" s="70">
        <f t="shared" si="28"/>
        <v>49</v>
      </c>
    </row>
    <row r="1376" spans="1:1" x14ac:dyDescent="0.25">
      <c r="A1376" s="70">
        <f t="shared" si="28"/>
        <v>49</v>
      </c>
    </row>
    <row r="1377" spans="1:1" x14ac:dyDescent="0.25">
      <c r="A1377" s="70">
        <f t="shared" si="28"/>
        <v>49</v>
      </c>
    </row>
    <row r="1378" spans="1:1" x14ac:dyDescent="0.25">
      <c r="A1378" s="70">
        <f t="shared" si="28"/>
        <v>49</v>
      </c>
    </row>
    <row r="1379" spans="1:1" x14ac:dyDescent="0.25">
      <c r="A1379" s="70">
        <f t="shared" si="28"/>
        <v>49</v>
      </c>
    </row>
    <row r="1380" spans="1:1" x14ac:dyDescent="0.25">
      <c r="A1380" s="70">
        <f t="shared" si="28"/>
        <v>49</v>
      </c>
    </row>
    <row r="1381" spans="1:1" x14ac:dyDescent="0.25">
      <c r="A1381" s="70">
        <f t="shared" si="28"/>
        <v>49</v>
      </c>
    </row>
    <row r="1382" spans="1:1" x14ac:dyDescent="0.25">
      <c r="A1382" s="70">
        <f t="shared" si="28"/>
        <v>49</v>
      </c>
    </row>
    <row r="1383" spans="1:1" x14ac:dyDescent="0.25">
      <c r="A1383" s="70">
        <f t="shared" si="28"/>
        <v>49</v>
      </c>
    </row>
    <row r="1384" spans="1:1" x14ac:dyDescent="0.25">
      <c r="A1384" s="70">
        <f t="shared" si="28"/>
        <v>49</v>
      </c>
    </row>
    <row r="1385" spans="1:1" x14ac:dyDescent="0.25">
      <c r="A1385" s="70">
        <f t="shared" si="28"/>
        <v>49</v>
      </c>
    </row>
    <row r="1386" spans="1:1" x14ac:dyDescent="0.25">
      <c r="A1386" s="70">
        <f t="shared" si="28"/>
        <v>49</v>
      </c>
    </row>
    <row r="1387" spans="1:1" x14ac:dyDescent="0.25">
      <c r="A1387" s="70">
        <f t="shared" si="28"/>
        <v>49</v>
      </c>
    </row>
    <row r="1388" spans="1:1" x14ac:dyDescent="0.25">
      <c r="A1388" s="70">
        <f t="shared" si="28"/>
        <v>49</v>
      </c>
    </row>
    <row r="1389" spans="1:1" x14ac:dyDescent="0.25">
      <c r="A1389" s="70">
        <f t="shared" si="28"/>
        <v>49</v>
      </c>
    </row>
    <row r="1390" spans="1:1" x14ac:dyDescent="0.25">
      <c r="A1390" s="70">
        <f t="shared" si="28"/>
        <v>49</v>
      </c>
    </row>
    <row r="1391" spans="1:1" x14ac:dyDescent="0.25">
      <c r="A1391" s="70">
        <f t="shared" si="28"/>
        <v>49</v>
      </c>
    </row>
    <row r="1392" spans="1:1" x14ac:dyDescent="0.25">
      <c r="A1392" s="70">
        <f t="shared" si="28"/>
        <v>49</v>
      </c>
    </row>
    <row r="1393" spans="1:1" x14ac:dyDescent="0.25">
      <c r="A1393" s="70">
        <f t="shared" si="28"/>
        <v>49</v>
      </c>
    </row>
    <row r="1394" spans="1:1" x14ac:dyDescent="0.25">
      <c r="A1394" s="70">
        <f t="shared" si="28"/>
        <v>49</v>
      </c>
    </row>
    <row r="1395" spans="1:1" x14ac:dyDescent="0.25">
      <c r="A1395" s="70">
        <f t="shared" si="28"/>
        <v>49</v>
      </c>
    </row>
    <row r="1396" spans="1:1" x14ac:dyDescent="0.25">
      <c r="A1396" s="70">
        <f t="shared" si="28"/>
        <v>49</v>
      </c>
    </row>
    <row r="1397" spans="1:1" x14ac:dyDescent="0.25">
      <c r="A1397" s="70">
        <f t="shared" si="28"/>
        <v>49</v>
      </c>
    </row>
    <row r="1398" spans="1:1" x14ac:dyDescent="0.25">
      <c r="A1398" s="70">
        <f t="shared" si="28"/>
        <v>49</v>
      </c>
    </row>
    <row r="1399" spans="1:1" x14ac:dyDescent="0.25">
      <c r="A1399" s="70">
        <f t="shared" si="28"/>
        <v>49</v>
      </c>
    </row>
    <row r="1400" spans="1:1" x14ac:dyDescent="0.25">
      <c r="A1400" s="70">
        <f t="shared" si="28"/>
        <v>49</v>
      </c>
    </row>
    <row r="1401" spans="1:1" x14ac:dyDescent="0.25">
      <c r="A1401" s="70">
        <f t="shared" si="28"/>
        <v>49</v>
      </c>
    </row>
    <row r="1402" spans="1:1" x14ac:dyDescent="0.25">
      <c r="A1402" s="70">
        <f t="shared" si="28"/>
        <v>49</v>
      </c>
    </row>
    <row r="1403" spans="1:1" x14ac:dyDescent="0.25">
      <c r="A1403" s="70">
        <f t="shared" si="28"/>
        <v>49</v>
      </c>
    </row>
    <row r="1404" spans="1:1" x14ac:dyDescent="0.25">
      <c r="A1404" s="70">
        <f t="shared" si="28"/>
        <v>49</v>
      </c>
    </row>
    <row r="1405" spans="1:1" x14ac:dyDescent="0.25">
      <c r="A1405" s="70">
        <f t="shared" si="28"/>
        <v>49</v>
      </c>
    </row>
    <row r="1406" spans="1:1" x14ac:dyDescent="0.25">
      <c r="A1406" s="70">
        <f t="shared" si="28"/>
        <v>49</v>
      </c>
    </row>
    <row r="1407" spans="1:1" x14ac:dyDescent="0.25">
      <c r="A1407" s="70">
        <f t="shared" si="28"/>
        <v>49</v>
      </c>
    </row>
    <row r="1408" spans="1:1" x14ac:dyDescent="0.25">
      <c r="A1408" s="70">
        <f t="shared" si="28"/>
        <v>49</v>
      </c>
    </row>
    <row r="1409" spans="1:1" x14ac:dyDescent="0.25">
      <c r="A1409" s="70">
        <f t="shared" si="28"/>
        <v>49</v>
      </c>
    </row>
    <row r="1410" spans="1:1" x14ac:dyDescent="0.25">
      <c r="A1410" s="70">
        <f t="shared" si="28"/>
        <v>49</v>
      </c>
    </row>
    <row r="1411" spans="1:1" x14ac:dyDescent="0.25">
      <c r="A1411" s="70">
        <f t="shared" si="28"/>
        <v>49</v>
      </c>
    </row>
    <row r="1412" spans="1:1" x14ac:dyDescent="0.25">
      <c r="A1412" s="70">
        <f t="shared" si="28"/>
        <v>49</v>
      </c>
    </row>
    <row r="1413" spans="1:1" x14ac:dyDescent="0.25">
      <c r="A1413" s="70">
        <f t="shared" si="28"/>
        <v>49</v>
      </c>
    </row>
    <row r="1414" spans="1:1" x14ac:dyDescent="0.25">
      <c r="A1414" s="70">
        <f t="shared" ref="A1414:A1477" si="29">IF(B1414=B1413,A1413,A1413+1)</f>
        <v>49</v>
      </c>
    </row>
    <row r="1415" spans="1:1" x14ac:dyDescent="0.25">
      <c r="A1415" s="70">
        <f t="shared" si="29"/>
        <v>49</v>
      </c>
    </row>
    <row r="1416" spans="1:1" x14ac:dyDescent="0.25">
      <c r="A1416" s="70">
        <f t="shared" si="29"/>
        <v>49</v>
      </c>
    </row>
    <row r="1417" spans="1:1" x14ac:dyDescent="0.25">
      <c r="A1417" s="70">
        <f t="shared" si="29"/>
        <v>49</v>
      </c>
    </row>
    <row r="1418" spans="1:1" x14ac:dyDescent="0.25">
      <c r="A1418" s="70">
        <f t="shared" si="29"/>
        <v>49</v>
      </c>
    </row>
    <row r="1419" spans="1:1" x14ac:dyDescent="0.25">
      <c r="A1419" s="70">
        <f t="shared" si="29"/>
        <v>49</v>
      </c>
    </row>
    <row r="1420" spans="1:1" x14ac:dyDescent="0.25">
      <c r="A1420" s="70">
        <f t="shared" si="29"/>
        <v>49</v>
      </c>
    </row>
    <row r="1421" spans="1:1" x14ac:dyDescent="0.25">
      <c r="A1421" s="70">
        <f t="shared" si="29"/>
        <v>49</v>
      </c>
    </row>
    <row r="1422" spans="1:1" x14ac:dyDescent="0.25">
      <c r="A1422" s="70">
        <f t="shared" si="29"/>
        <v>49</v>
      </c>
    </row>
    <row r="1423" spans="1:1" x14ac:dyDescent="0.25">
      <c r="A1423" s="70">
        <f t="shared" si="29"/>
        <v>49</v>
      </c>
    </row>
    <row r="1424" spans="1:1" x14ac:dyDescent="0.25">
      <c r="A1424" s="70">
        <f t="shared" si="29"/>
        <v>49</v>
      </c>
    </row>
    <row r="1425" spans="1:1" x14ac:dyDescent="0.25">
      <c r="A1425" s="70">
        <f t="shared" si="29"/>
        <v>49</v>
      </c>
    </row>
    <row r="1426" spans="1:1" x14ac:dyDescent="0.25">
      <c r="A1426" s="70">
        <f t="shared" si="29"/>
        <v>49</v>
      </c>
    </row>
    <row r="1427" spans="1:1" x14ac:dyDescent="0.25">
      <c r="A1427" s="70">
        <f t="shared" si="29"/>
        <v>49</v>
      </c>
    </row>
    <row r="1428" spans="1:1" x14ac:dyDescent="0.25">
      <c r="A1428" s="70">
        <f t="shared" si="29"/>
        <v>49</v>
      </c>
    </row>
    <row r="1429" spans="1:1" x14ac:dyDescent="0.25">
      <c r="A1429" s="70">
        <f t="shared" si="29"/>
        <v>49</v>
      </c>
    </row>
    <row r="1430" spans="1:1" x14ac:dyDescent="0.25">
      <c r="A1430" s="70">
        <f t="shared" si="29"/>
        <v>49</v>
      </c>
    </row>
    <row r="1431" spans="1:1" x14ac:dyDescent="0.25">
      <c r="A1431" s="70">
        <f t="shared" si="29"/>
        <v>49</v>
      </c>
    </row>
    <row r="1432" spans="1:1" x14ac:dyDescent="0.25">
      <c r="A1432" s="70">
        <f t="shared" si="29"/>
        <v>49</v>
      </c>
    </row>
    <row r="1433" spans="1:1" x14ac:dyDescent="0.25">
      <c r="A1433" s="70">
        <f t="shared" si="29"/>
        <v>49</v>
      </c>
    </row>
    <row r="1434" spans="1:1" x14ac:dyDescent="0.25">
      <c r="A1434" s="70">
        <f t="shared" si="29"/>
        <v>49</v>
      </c>
    </row>
    <row r="1435" spans="1:1" x14ac:dyDescent="0.25">
      <c r="A1435" s="70">
        <f t="shared" si="29"/>
        <v>49</v>
      </c>
    </row>
    <row r="1436" spans="1:1" x14ac:dyDescent="0.25">
      <c r="A1436" s="70">
        <f t="shared" si="29"/>
        <v>49</v>
      </c>
    </row>
    <row r="1437" spans="1:1" x14ac:dyDescent="0.25">
      <c r="A1437" s="70">
        <f t="shared" si="29"/>
        <v>49</v>
      </c>
    </row>
    <row r="1438" spans="1:1" x14ac:dyDescent="0.25">
      <c r="A1438" s="70">
        <f t="shared" si="29"/>
        <v>49</v>
      </c>
    </row>
    <row r="1439" spans="1:1" x14ac:dyDescent="0.25">
      <c r="A1439" s="70">
        <f t="shared" si="29"/>
        <v>49</v>
      </c>
    </row>
    <row r="1440" spans="1:1" x14ac:dyDescent="0.25">
      <c r="A1440" s="70">
        <f t="shared" si="29"/>
        <v>49</v>
      </c>
    </row>
    <row r="1441" spans="1:1" x14ac:dyDescent="0.25">
      <c r="A1441" s="70">
        <f t="shared" si="29"/>
        <v>49</v>
      </c>
    </row>
    <row r="1442" spans="1:1" x14ac:dyDescent="0.25">
      <c r="A1442" s="70">
        <f t="shared" si="29"/>
        <v>49</v>
      </c>
    </row>
    <row r="1443" spans="1:1" x14ac:dyDescent="0.25">
      <c r="A1443" s="70">
        <f t="shared" si="29"/>
        <v>49</v>
      </c>
    </row>
    <row r="1444" spans="1:1" x14ac:dyDescent="0.25">
      <c r="A1444" s="70">
        <f t="shared" si="29"/>
        <v>49</v>
      </c>
    </row>
    <row r="1445" spans="1:1" x14ac:dyDescent="0.25">
      <c r="A1445" s="70">
        <f t="shared" si="29"/>
        <v>49</v>
      </c>
    </row>
    <row r="1446" spans="1:1" x14ac:dyDescent="0.25">
      <c r="A1446" s="70">
        <f t="shared" si="29"/>
        <v>49</v>
      </c>
    </row>
    <row r="1447" spans="1:1" x14ac:dyDescent="0.25">
      <c r="A1447" s="70">
        <f t="shared" si="29"/>
        <v>49</v>
      </c>
    </row>
    <row r="1448" spans="1:1" x14ac:dyDescent="0.25">
      <c r="A1448" s="70">
        <f t="shared" si="29"/>
        <v>49</v>
      </c>
    </row>
    <row r="1449" spans="1:1" x14ac:dyDescent="0.25">
      <c r="A1449" s="70">
        <f t="shared" si="29"/>
        <v>49</v>
      </c>
    </row>
    <row r="1450" spans="1:1" x14ac:dyDescent="0.25">
      <c r="A1450" s="70">
        <f t="shared" si="29"/>
        <v>49</v>
      </c>
    </row>
    <row r="1451" spans="1:1" x14ac:dyDescent="0.25">
      <c r="A1451" s="70">
        <f t="shared" si="29"/>
        <v>49</v>
      </c>
    </row>
    <row r="1452" spans="1:1" x14ac:dyDescent="0.25">
      <c r="A1452" s="70">
        <f t="shared" si="29"/>
        <v>49</v>
      </c>
    </row>
    <row r="1453" spans="1:1" x14ac:dyDescent="0.25">
      <c r="A1453" s="70">
        <f t="shared" si="29"/>
        <v>49</v>
      </c>
    </row>
    <row r="1454" spans="1:1" x14ac:dyDescent="0.25">
      <c r="A1454" s="70">
        <f t="shared" si="29"/>
        <v>49</v>
      </c>
    </row>
    <row r="1455" spans="1:1" x14ac:dyDescent="0.25">
      <c r="A1455" s="70">
        <f t="shared" si="29"/>
        <v>49</v>
      </c>
    </row>
    <row r="1456" spans="1:1" x14ac:dyDescent="0.25">
      <c r="A1456" s="70">
        <f t="shared" si="29"/>
        <v>49</v>
      </c>
    </row>
    <row r="1457" spans="1:1" x14ac:dyDescent="0.25">
      <c r="A1457" s="70">
        <f t="shared" si="29"/>
        <v>49</v>
      </c>
    </row>
    <row r="1458" spans="1:1" x14ac:dyDescent="0.25">
      <c r="A1458" s="70">
        <f t="shared" si="29"/>
        <v>49</v>
      </c>
    </row>
    <row r="1459" spans="1:1" x14ac:dyDescent="0.25">
      <c r="A1459" s="70">
        <f t="shared" si="29"/>
        <v>49</v>
      </c>
    </row>
    <row r="1460" spans="1:1" x14ac:dyDescent="0.25">
      <c r="A1460" s="70">
        <f t="shared" si="29"/>
        <v>49</v>
      </c>
    </row>
    <row r="1461" spans="1:1" x14ac:dyDescent="0.25">
      <c r="A1461" s="70">
        <f t="shared" si="29"/>
        <v>49</v>
      </c>
    </row>
    <row r="1462" spans="1:1" x14ac:dyDescent="0.25">
      <c r="A1462" s="70">
        <f t="shared" si="29"/>
        <v>49</v>
      </c>
    </row>
    <row r="1463" spans="1:1" x14ac:dyDescent="0.25">
      <c r="A1463" s="70">
        <f t="shared" si="29"/>
        <v>49</v>
      </c>
    </row>
    <row r="1464" spans="1:1" x14ac:dyDescent="0.25">
      <c r="A1464" s="70">
        <f t="shared" si="29"/>
        <v>49</v>
      </c>
    </row>
    <row r="1465" spans="1:1" x14ac:dyDescent="0.25">
      <c r="A1465" s="70">
        <f t="shared" si="29"/>
        <v>49</v>
      </c>
    </row>
    <row r="1466" spans="1:1" x14ac:dyDescent="0.25">
      <c r="A1466" s="70">
        <f t="shared" si="29"/>
        <v>49</v>
      </c>
    </row>
    <row r="1467" spans="1:1" x14ac:dyDescent="0.25">
      <c r="A1467" s="70">
        <f t="shared" si="29"/>
        <v>49</v>
      </c>
    </row>
    <row r="1468" spans="1:1" x14ac:dyDescent="0.25">
      <c r="A1468" s="70">
        <f t="shared" si="29"/>
        <v>49</v>
      </c>
    </row>
    <row r="1469" spans="1:1" x14ac:dyDescent="0.25">
      <c r="A1469" s="70">
        <f t="shared" si="29"/>
        <v>49</v>
      </c>
    </row>
    <row r="1470" spans="1:1" x14ac:dyDescent="0.25">
      <c r="A1470" s="70">
        <f t="shared" si="29"/>
        <v>49</v>
      </c>
    </row>
    <row r="1471" spans="1:1" x14ac:dyDescent="0.25">
      <c r="A1471" s="70">
        <f t="shared" si="29"/>
        <v>49</v>
      </c>
    </row>
    <row r="1472" spans="1:1" x14ac:dyDescent="0.25">
      <c r="A1472" s="70">
        <f t="shared" si="29"/>
        <v>49</v>
      </c>
    </row>
    <row r="1473" spans="1:1" x14ac:dyDescent="0.25">
      <c r="A1473" s="70">
        <f t="shared" si="29"/>
        <v>49</v>
      </c>
    </row>
    <row r="1474" spans="1:1" x14ac:dyDescent="0.25">
      <c r="A1474" s="70">
        <f t="shared" si="29"/>
        <v>49</v>
      </c>
    </row>
    <row r="1475" spans="1:1" x14ac:dyDescent="0.25">
      <c r="A1475" s="70">
        <f t="shared" si="29"/>
        <v>49</v>
      </c>
    </row>
    <row r="1476" spans="1:1" x14ac:dyDescent="0.25">
      <c r="A1476" s="70">
        <f t="shared" si="29"/>
        <v>49</v>
      </c>
    </row>
    <row r="1477" spans="1:1" x14ac:dyDescent="0.25">
      <c r="A1477" s="70">
        <f t="shared" si="29"/>
        <v>49</v>
      </c>
    </row>
    <row r="1478" spans="1:1" x14ac:dyDescent="0.25">
      <c r="A1478" s="70">
        <f t="shared" ref="A1478:A1541" si="30">IF(B1478=B1477,A1477,A1477+1)</f>
        <v>49</v>
      </c>
    </row>
    <row r="1479" spans="1:1" x14ac:dyDescent="0.25">
      <c r="A1479" s="70">
        <f t="shared" si="30"/>
        <v>49</v>
      </c>
    </row>
    <row r="1480" spans="1:1" x14ac:dyDescent="0.25">
      <c r="A1480" s="70">
        <f t="shared" si="30"/>
        <v>49</v>
      </c>
    </row>
    <row r="1481" spans="1:1" x14ac:dyDescent="0.25">
      <c r="A1481" s="70">
        <f t="shared" si="30"/>
        <v>49</v>
      </c>
    </row>
    <row r="1482" spans="1:1" x14ac:dyDescent="0.25">
      <c r="A1482" s="70">
        <f t="shared" si="30"/>
        <v>49</v>
      </c>
    </row>
    <row r="1483" spans="1:1" x14ac:dyDescent="0.25">
      <c r="A1483" s="70">
        <f t="shared" si="30"/>
        <v>49</v>
      </c>
    </row>
    <row r="1484" spans="1:1" x14ac:dyDescent="0.25">
      <c r="A1484" s="70">
        <f t="shared" si="30"/>
        <v>49</v>
      </c>
    </row>
    <row r="1485" spans="1:1" x14ac:dyDescent="0.25">
      <c r="A1485" s="70">
        <f t="shared" si="30"/>
        <v>49</v>
      </c>
    </row>
    <row r="1486" spans="1:1" x14ac:dyDescent="0.25">
      <c r="A1486" s="70">
        <f t="shared" si="30"/>
        <v>49</v>
      </c>
    </row>
    <row r="1487" spans="1:1" x14ac:dyDescent="0.25">
      <c r="A1487" s="70">
        <f t="shared" si="30"/>
        <v>49</v>
      </c>
    </row>
    <row r="1488" spans="1:1" x14ac:dyDescent="0.25">
      <c r="A1488" s="70">
        <f t="shared" si="30"/>
        <v>49</v>
      </c>
    </row>
    <row r="1489" spans="1:1" x14ac:dyDescent="0.25">
      <c r="A1489" s="70">
        <f t="shared" si="30"/>
        <v>49</v>
      </c>
    </row>
    <row r="1490" spans="1:1" x14ac:dyDescent="0.25">
      <c r="A1490" s="70">
        <f t="shared" si="30"/>
        <v>49</v>
      </c>
    </row>
    <row r="1491" spans="1:1" x14ac:dyDescent="0.25">
      <c r="A1491" s="70">
        <f t="shared" si="30"/>
        <v>49</v>
      </c>
    </row>
    <row r="1492" spans="1:1" x14ac:dyDescent="0.25">
      <c r="A1492" s="70">
        <f t="shared" si="30"/>
        <v>49</v>
      </c>
    </row>
    <row r="1493" spans="1:1" x14ac:dyDescent="0.25">
      <c r="A1493" s="70">
        <f t="shared" si="30"/>
        <v>49</v>
      </c>
    </row>
    <row r="1494" spans="1:1" x14ac:dyDescent="0.25">
      <c r="A1494" s="70">
        <f t="shared" si="30"/>
        <v>49</v>
      </c>
    </row>
    <row r="1495" spans="1:1" x14ac:dyDescent="0.25">
      <c r="A1495" s="70">
        <f t="shared" si="30"/>
        <v>49</v>
      </c>
    </row>
    <row r="1496" spans="1:1" x14ac:dyDescent="0.25">
      <c r="A1496" s="70">
        <f t="shared" si="30"/>
        <v>49</v>
      </c>
    </row>
    <row r="1497" spans="1:1" x14ac:dyDescent="0.25">
      <c r="A1497" s="70">
        <f t="shared" si="30"/>
        <v>49</v>
      </c>
    </row>
    <row r="1498" spans="1:1" x14ac:dyDescent="0.25">
      <c r="A1498" s="70">
        <f t="shared" si="30"/>
        <v>49</v>
      </c>
    </row>
    <row r="1499" spans="1:1" x14ac:dyDescent="0.25">
      <c r="A1499" s="70">
        <f t="shared" si="30"/>
        <v>49</v>
      </c>
    </row>
    <row r="1500" spans="1:1" x14ac:dyDescent="0.25">
      <c r="A1500" s="70">
        <f t="shared" si="30"/>
        <v>49</v>
      </c>
    </row>
    <row r="1501" spans="1:1" x14ac:dyDescent="0.25">
      <c r="A1501" s="70">
        <f t="shared" si="30"/>
        <v>49</v>
      </c>
    </row>
    <row r="1502" spans="1:1" x14ac:dyDescent="0.25">
      <c r="A1502" s="70">
        <f t="shared" si="30"/>
        <v>49</v>
      </c>
    </row>
    <row r="1503" spans="1:1" x14ac:dyDescent="0.25">
      <c r="A1503" s="70">
        <f t="shared" si="30"/>
        <v>49</v>
      </c>
    </row>
    <row r="1504" spans="1:1" x14ac:dyDescent="0.25">
      <c r="A1504" s="70">
        <f t="shared" si="30"/>
        <v>49</v>
      </c>
    </row>
    <row r="1505" spans="1:1" x14ac:dyDescent="0.25">
      <c r="A1505" s="70">
        <f t="shared" si="30"/>
        <v>49</v>
      </c>
    </row>
    <row r="1506" spans="1:1" x14ac:dyDescent="0.25">
      <c r="A1506" s="70">
        <f t="shared" si="30"/>
        <v>49</v>
      </c>
    </row>
    <row r="1507" spans="1:1" x14ac:dyDescent="0.25">
      <c r="A1507" s="70">
        <f t="shared" si="30"/>
        <v>49</v>
      </c>
    </row>
    <row r="1508" spans="1:1" x14ac:dyDescent="0.25">
      <c r="A1508" s="70">
        <f t="shared" si="30"/>
        <v>49</v>
      </c>
    </row>
    <row r="1509" spans="1:1" x14ac:dyDescent="0.25">
      <c r="A1509" s="70">
        <f t="shared" si="30"/>
        <v>49</v>
      </c>
    </row>
    <row r="1510" spans="1:1" x14ac:dyDescent="0.25">
      <c r="A1510" s="70">
        <f t="shared" si="30"/>
        <v>49</v>
      </c>
    </row>
    <row r="1511" spans="1:1" x14ac:dyDescent="0.25">
      <c r="A1511" s="70">
        <f t="shared" si="30"/>
        <v>49</v>
      </c>
    </row>
    <row r="1512" spans="1:1" x14ac:dyDescent="0.25">
      <c r="A1512" s="70">
        <f t="shared" si="30"/>
        <v>49</v>
      </c>
    </row>
    <row r="1513" spans="1:1" x14ac:dyDescent="0.25">
      <c r="A1513" s="70">
        <f t="shared" si="30"/>
        <v>49</v>
      </c>
    </row>
    <row r="1514" spans="1:1" x14ac:dyDescent="0.25">
      <c r="A1514" s="70">
        <f t="shared" si="30"/>
        <v>49</v>
      </c>
    </row>
    <row r="1515" spans="1:1" x14ac:dyDescent="0.25">
      <c r="A1515" s="70">
        <f t="shared" si="30"/>
        <v>49</v>
      </c>
    </row>
    <row r="1516" spans="1:1" x14ac:dyDescent="0.25">
      <c r="A1516" s="70">
        <f t="shared" si="30"/>
        <v>49</v>
      </c>
    </row>
    <row r="1517" spans="1:1" x14ac:dyDescent="0.25">
      <c r="A1517" s="70">
        <f t="shared" si="30"/>
        <v>49</v>
      </c>
    </row>
    <row r="1518" spans="1:1" x14ac:dyDescent="0.25">
      <c r="A1518" s="70">
        <f t="shared" si="30"/>
        <v>49</v>
      </c>
    </row>
    <row r="1519" spans="1:1" x14ac:dyDescent="0.25">
      <c r="A1519" s="70">
        <f t="shared" si="30"/>
        <v>49</v>
      </c>
    </row>
    <row r="1520" spans="1:1" x14ac:dyDescent="0.25">
      <c r="A1520" s="70">
        <f t="shared" si="30"/>
        <v>49</v>
      </c>
    </row>
    <row r="1521" spans="1:1" x14ac:dyDescent="0.25">
      <c r="A1521" s="70">
        <f t="shared" si="30"/>
        <v>49</v>
      </c>
    </row>
    <row r="1522" spans="1:1" x14ac:dyDescent="0.25">
      <c r="A1522" s="70">
        <f t="shared" si="30"/>
        <v>49</v>
      </c>
    </row>
    <row r="1523" spans="1:1" x14ac:dyDescent="0.25">
      <c r="A1523" s="70">
        <f t="shared" si="30"/>
        <v>49</v>
      </c>
    </row>
    <row r="1524" spans="1:1" x14ac:dyDescent="0.25">
      <c r="A1524" s="70">
        <f t="shared" si="30"/>
        <v>49</v>
      </c>
    </row>
    <row r="1525" spans="1:1" x14ac:dyDescent="0.25">
      <c r="A1525" s="70">
        <f t="shared" si="30"/>
        <v>49</v>
      </c>
    </row>
    <row r="1526" spans="1:1" x14ac:dyDescent="0.25">
      <c r="A1526" s="70">
        <f t="shared" si="30"/>
        <v>49</v>
      </c>
    </row>
    <row r="1527" spans="1:1" x14ac:dyDescent="0.25">
      <c r="A1527" s="70">
        <f t="shared" si="30"/>
        <v>49</v>
      </c>
    </row>
    <row r="1528" spans="1:1" x14ac:dyDescent="0.25">
      <c r="A1528" s="70">
        <f t="shared" si="30"/>
        <v>49</v>
      </c>
    </row>
    <row r="1529" spans="1:1" x14ac:dyDescent="0.25">
      <c r="A1529" s="70">
        <f t="shared" si="30"/>
        <v>49</v>
      </c>
    </row>
    <row r="1530" spans="1:1" x14ac:dyDescent="0.25">
      <c r="A1530" s="70">
        <f t="shared" si="30"/>
        <v>49</v>
      </c>
    </row>
    <row r="1531" spans="1:1" x14ac:dyDescent="0.25">
      <c r="A1531" s="70">
        <f t="shared" si="30"/>
        <v>49</v>
      </c>
    </row>
    <row r="1532" spans="1:1" x14ac:dyDescent="0.25">
      <c r="A1532" s="70">
        <f t="shared" si="30"/>
        <v>49</v>
      </c>
    </row>
    <row r="1533" spans="1:1" x14ac:dyDescent="0.25">
      <c r="A1533" s="70">
        <f t="shared" si="30"/>
        <v>49</v>
      </c>
    </row>
    <row r="1534" spans="1:1" x14ac:dyDescent="0.25">
      <c r="A1534" s="70">
        <f t="shared" si="30"/>
        <v>49</v>
      </c>
    </row>
    <row r="1535" spans="1:1" x14ac:dyDescent="0.25">
      <c r="A1535" s="70">
        <f t="shared" si="30"/>
        <v>49</v>
      </c>
    </row>
    <row r="1536" spans="1:1" x14ac:dyDescent="0.25">
      <c r="A1536" s="70">
        <f t="shared" si="30"/>
        <v>49</v>
      </c>
    </row>
    <row r="1537" spans="1:1" x14ac:dyDescent="0.25">
      <c r="A1537" s="70">
        <f t="shared" si="30"/>
        <v>49</v>
      </c>
    </row>
    <row r="1538" spans="1:1" x14ac:dyDescent="0.25">
      <c r="A1538" s="70">
        <f t="shared" si="30"/>
        <v>49</v>
      </c>
    </row>
    <row r="1539" spans="1:1" x14ac:dyDescent="0.25">
      <c r="A1539" s="70">
        <f t="shared" si="30"/>
        <v>49</v>
      </c>
    </row>
    <row r="1540" spans="1:1" x14ac:dyDescent="0.25">
      <c r="A1540" s="70">
        <f t="shared" si="30"/>
        <v>49</v>
      </c>
    </row>
    <row r="1541" spans="1:1" x14ac:dyDescent="0.25">
      <c r="A1541" s="70">
        <f t="shared" si="30"/>
        <v>49</v>
      </c>
    </row>
    <row r="1542" spans="1:1" x14ac:dyDescent="0.25">
      <c r="A1542" s="70">
        <f t="shared" ref="A1542:A1605" si="31">IF(B1542=B1541,A1541,A1541+1)</f>
        <v>49</v>
      </c>
    </row>
    <row r="1543" spans="1:1" x14ac:dyDescent="0.25">
      <c r="A1543" s="70">
        <f t="shared" si="31"/>
        <v>49</v>
      </c>
    </row>
    <row r="1544" spans="1:1" x14ac:dyDescent="0.25">
      <c r="A1544" s="70">
        <f t="shared" si="31"/>
        <v>49</v>
      </c>
    </row>
    <row r="1545" spans="1:1" x14ac:dyDescent="0.25">
      <c r="A1545" s="70">
        <f t="shared" si="31"/>
        <v>49</v>
      </c>
    </row>
    <row r="1546" spans="1:1" x14ac:dyDescent="0.25">
      <c r="A1546" s="70">
        <f t="shared" si="31"/>
        <v>49</v>
      </c>
    </row>
    <row r="1547" spans="1:1" x14ac:dyDescent="0.25">
      <c r="A1547" s="70">
        <f t="shared" si="31"/>
        <v>49</v>
      </c>
    </row>
    <row r="1548" spans="1:1" x14ac:dyDescent="0.25">
      <c r="A1548" s="70">
        <f t="shared" si="31"/>
        <v>49</v>
      </c>
    </row>
    <row r="1549" spans="1:1" x14ac:dyDescent="0.25">
      <c r="A1549" s="70">
        <f t="shared" si="31"/>
        <v>49</v>
      </c>
    </row>
    <row r="1550" spans="1:1" x14ac:dyDescent="0.25">
      <c r="A1550" s="70">
        <f t="shared" si="31"/>
        <v>49</v>
      </c>
    </row>
    <row r="1551" spans="1:1" x14ac:dyDescent="0.25">
      <c r="A1551" s="70">
        <f t="shared" si="31"/>
        <v>49</v>
      </c>
    </row>
    <row r="1552" spans="1:1" x14ac:dyDescent="0.25">
      <c r="A1552" s="70">
        <f t="shared" si="31"/>
        <v>49</v>
      </c>
    </row>
    <row r="1553" spans="1:1" x14ac:dyDescent="0.25">
      <c r="A1553" s="70">
        <f t="shared" si="31"/>
        <v>49</v>
      </c>
    </row>
    <row r="1554" spans="1:1" x14ac:dyDescent="0.25">
      <c r="A1554" s="70">
        <f t="shared" si="31"/>
        <v>49</v>
      </c>
    </row>
    <row r="1555" spans="1:1" x14ac:dyDescent="0.25">
      <c r="A1555" s="70">
        <f t="shared" si="31"/>
        <v>49</v>
      </c>
    </row>
    <row r="1556" spans="1:1" x14ac:dyDescent="0.25">
      <c r="A1556" s="70">
        <f t="shared" si="31"/>
        <v>49</v>
      </c>
    </row>
    <row r="1557" spans="1:1" x14ac:dyDescent="0.25">
      <c r="A1557" s="70">
        <f t="shared" si="31"/>
        <v>49</v>
      </c>
    </row>
    <row r="1558" spans="1:1" x14ac:dyDescent="0.25">
      <c r="A1558" s="70">
        <f t="shared" si="31"/>
        <v>49</v>
      </c>
    </row>
    <row r="1559" spans="1:1" x14ac:dyDescent="0.25">
      <c r="A1559" s="70">
        <f t="shared" si="31"/>
        <v>49</v>
      </c>
    </row>
    <row r="1560" spans="1:1" x14ac:dyDescent="0.25">
      <c r="A1560" s="70">
        <f t="shared" si="31"/>
        <v>49</v>
      </c>
    </row>
    <row r="1561" spans="1:1" x14ac:dyDescent="0.25">
      <c r="A1561" s="70">
        <f t="shared" si="31"/>
        <v>49</v>
      </c>
    </row>
    <row r="1562" spans="1:1" x14ac:dyDescent="0.25">
      <c r="A1562" s="70">
        <f t="shared" si="31"/>
        <v>49</v>
      </c>
    </row>
    <row r="1563" spans="1:1" x14ac:dyDescent="0.25">
      <c r="A1563" s="70">
        <f t="shared" si="31"/>
        <v>49</v>
      </c>
    </row>
    <row r="1564" spans="1:1" x14ac:dyDescent="0.25">
      <c r="A1564" s="70">
        <f t="shared" si="31"/>
        <v>49</v>
      </c>
    </row>
    <row r="1565" spans="1:1" x14ac:dyDescent="0.25">
      <c r="A1565" s="70">
        <f t="shared" si="31"/>
        <v>49</v>
      </c>
    </row>
    <row r="1566" spans="1:1" x14ac:dyDescent="0.25">
      <c r="A1566" s="70">
        <f t="shared" si="31"/>
        <v>49</v>
      </c>
    </row>
    <row r="1567" spans="1:1" x14ac:dyDescent="0.25">
      <c r="A1567" s="70">
        <f t="shared" si="31"/>
        <v>49</v>
      </c>
    </row>
    <row r="1568" spans="1:1" x14ac:dyDescent="0.25">
      <c r="A1568" s="70">
        <f t="shared" si="31"/>
        <v>49</v>
      </c>
    </row>
    <row r="1569" spans="1:1" x14ac:dyDescent="0.25">
      <c r="A1569" s="70">
        <f t="shared" si="31"/>
        <v>49</v>
      </c>
    </row>
    <row r="1570" spans="1:1" x14ac:dyDescent="0.25">
      <c r="A1570" s="70">
        <f t="shared" si="31"/>
        <v>49</v>
      </c>
    </row>
    <row r="1571" spans="1:1" x14ac:dyDescent="0.25">
      <c r="A1571" s="70">
        <f t="shared" si="31"/>
        <v>49</v>
      </c>
    </row>
    <row r="1572" spans="1:1" x14ac:dyDescent="0.25">
      <c r="A1572" s="70">
        <f t="shared" si="31"/>
        <v>49</v>
      </c>
    </row>
    <row r="1573" spans="1:1" x14ac:dyDescent="0.25">
      <c r="A1573" s="70">
        <f t="shared" si="31"/>
        <v>49</v>
      </c>
    </row>
    <row r="1574" spans="1:1" x14ac:dyDescent="0.25">
      <c r="A1574" s="70">
        <f t="shared" si="31"/>
        <v>49</v>
      </c>
    </row>
    <row r="1575" spans="1:1" x14ac:dyDescent="0.25">
      <c r="A1575" s="70">
        <f t="shared" si="31"/>
        <v>49</v>
      </c>
    </row>
    <row r="1576" spans="1:1" x14ac:dyDescent="0.25">
      <c r="A1576" s="70">
        <f t="shared" si="31"/>
        <v>49</v>
      </c>
    </row>
    <row r="1577" spans="1:1" x14ac:dyDescent="0.25">
      <c r="A1577" s="70">
        <f t="shared" si="31"/>
        <v>49</v>
      </c>
    </row>
    <row r="1578" spans="1:1" x14ac:dyDescent="0.25">
      <c r="A1578" s="70">
        <f t="shared" si="31"/>
        <v>49</v>
      </c>
    </row>
    <row r="1579" spans="1:1" x14ac:dyDescent="0.25">
      <c r="A1579" s="70">
        <f t="shared" si="31"/>
        <v>49</v>
      </c>
    </row>
    <row r="1580" spans="1:1" x14ac:dyDescent="0.25">
      <c r="A1580" s="70">
        <f t="shared" si="31"/>
        <v>49</v>
      </c>
    </row>
    <row r="1581" spans="1:1" x14ac:dyDescent="0.25">
      <c r="A1581" s="70">
        <f t="shared" si="31"/>
        <v>49</v>
      </c>
    </row>
    <row r="1582" spans="1:1" x14ac:dyDescent="0.25">
      <c r="A1582" s="70">
        <f t="shared" si="31"/>
        <v>49</v>
      </c>
    </row>
    <row r="1583" spans="1:1" x14ac:dyDescent="0.25">
      <c r="A1583" s="70">
        <f t="shared" si="31"/>
        <v>49</v>
      </c>
    </row>
    <row r="1584" spans="1:1" x14ac:dyDescent="0.25">
      <c r="A1584" s="70">
        <f t="shared" si="31"/>
        <v>49</v>
      </c>
    </row>
    <row r="1585" spans="1:1" x14ac:dyDescent="0.25">
      <c r="A1585" s="70">
        <f t="shared" si="31"/>
        <v>49</v>
      </c>
    </row>
    <row r="1586" spans="1:1" x14ac:dyDescent="0.25">
      <c r="A1586" s="70">
        <f t="shared" si="31"/>
        <v>49</v>
      </c>
    </row>
    <row r="1587" spans="1:1" x14ac:dyDescent="0.25">
      <c r="A1587" s="70">
        <f t="shared" si="31"/>
        <v>49</v>
      </c>
    </row>
    <row r="1588" spans="1:1" x14ac:dyDescent="0.25">
      <c r="A1588" s="70">
        <f t="shared" si="31"/>
        <v>49</v>
      </c>
    </row>
    <row r="1589" spans="1:1" x14ac:dyDescent="0.25">
      <c r="A1589" s="70">
        <f t="shared" si="31"/>
        <v>49</v>
      </c>
    </row>
    <row r="1590" spans="1:1" x14ac:dyDescent="0.25">
      <c r="A1590" s="70">
        <f t="shared" si="31"/>
        <v>49</v>
      </c>
    </row>
    <row r="1591" spans="1:1" x14ac:dyDescent="0.25">
      <c r="A1591" s="70">
        <f t="shared" si="31"/>
        <v>49</v>
      </c>
    </row>
    <row r="1592" spans="1:1" x14ac:dyDescent="0.25">
      <c r="A1592" s="70">
        <f t="shared" si="31"/>
        <v>49</v>
      </c>
    </row>
    <row r="1593" spans="1:1" x14ac:dyDescent="0.25">
      <c r="A1593" s="70">
        <f t="shared" si="31"/>
        <v>49</v>
      </c>
    </row>
    <row r="1594" spans="1:1" x14ac:dyDescent="0.25">
      <c r="A1594" s="70">
        <f t="shared" si="31"/>
        <v>49</v>
      </c>
    </row>
    <row r="1595" spans="1:1" x14ac:dyDescent="0.25">
      <c r="A1595" s="70">
        <f t="shared" si="31"/>
        <v>49</v>
      </c>
    </row>
    <row r="1596" spans="1:1" x14ac:dyDescent="0.25">
      <c r="A1596" s="70">
        <f t="shared" si="31"/>
        <v>49</v>
      </c>
    </row>
    <row r="1597" spans="1:1" x14ac:dyDescent="0.25">
      <c r="A1597" s="70">
        <f t="shared" si="31"/>
        <v>49</v>
      </c>
    </row>
    <row r="1598" spans="1:1" x14ac:dyDescent="0.25">
      <c r="A1598" s="70">
        <f t="shared" si="31"/>
        <v>49</v>
      </c>
    </row>
    <row r="1599" spans="1:1" x14ac:dyDescent="0.25">
      <c r="A1599" s="70">
        <f t="shared" si="31"/>
        <v>49</v>
      </c>
    </row>
    <row r="1600" spans="1:1" x14ac:dyDescent="0.25">
      <c r="A1600" s="70">
        <f t="shared" si="31"/>
        <v>49</v>
      </c>
    </row>
    <row r="1601" spans="1:1" x14ac:dyDescent="0.25">
      <c r="A1601" s="70">
        <f t="shared" si="31"/>
        <v>49</v>
      </c>
    </row>
    <row r="1602" spans="1:1" x14ac:dyDescent="0.25">
      <c r="A1602" s="70">
        <f t="shared" si="31"/>
        <v>49</v>
      </c>
    </row>
    <row r="1603" spans="1:1" x14ac:dyDescent="0.25">
      <c r="A1603" s="70">
        <f t="shared" si="31"/>
        <v>49</v>
      </c>
    </row>
    <row r="1604" spans="1:1" x14ac:dyDescent="0.25">
      <c r="A1604" s="70">
        <f t="shared" si="31"/>
        <v>49</v>
      </c>
    </row>
    <row r="1605" spans="1:1" x14ac:dyDescent="0.25">
      <c r="A1605" s="70">
        <f t="shared" si="31"/>
        <v>49</v>
      </c>
    </row>
    <row r="1606" spans="1:1" x14ac:dyDescent="0.25">
      <c r="A1606" s="70">
        <f t="shared" ref="A1606:A1669" si="32">IF(B1606=B1605,A1605,A1605+1)</f>
        <v>49</v>
      </c>
    </row>
    <row r="1607" spans="1:1" x14ac:dyDescent="0.25">
      <c r="A1607" s="70">
        <f t="shared" si="32"/>
        <v>49</v>
      </c>
    </row>
    <row r="1608" spans="1:1" x14ac:dyDescent="0.25">
      <c r="A1608" s="70">
        <f t="shared" si="32"/>
        <v>49</v>
      </c>
    </row>
    <row r="1609" spans="1:1" x14ac:dyDescent="0.25">
      <c r="A1609" s="70">
        <f t="shared" si="32"/>
        <v>49</v>
      </c>
    </row>
    <row r="1610" spans="1:1" x14ac:dyDescent="0.25">
      <c r="A1610" s="70">
        <f t="shared" si="32"/>
        <v>49</v>
      </c>
    </row>
    <row r="1611" spans="1:1" x14ac:dyDescent="0.25">
      <c r="A1611" s="70">
        <f t="shared" si="32"/>
        <v>49</v>
      </c>
    </row>
    <row r="1612" spans="1:1" x14ac:dyDescent="0.25">
      <c r="A1612" s="70">
        <f t="shared" si="32"/>
        <v>49</v>
      </c>
    </row>
    <row r="1613" spans="1:1" x14ac:dyDescent="0.25">
      <c r="A1613" s="70">
        <f t="shared" si="32"/>
        <v>49</v>
      </c>
    </row>
    <row r="1614" spans="1:1" x14ac:dyDescent="0.25">
      <c r="A1614" s="70">
        <f t="shared" si="32"/>
        <v>49</v>
      </c>
    </row>
    <row r="1615" spans="1:1" x14ac:dyDescent="0.25">
      <c r="A1615" s="70">
        <f t="shared" si="32"/>
        <v>49</v>
      </c>
    </row>
    <row r="1616" spans="1:1" x14ac:dyDescent="0.25">
      <c r="A1616" s="70">
        <f t="shared" si="32"/>
        <v>49</v>
      </c>
    </row>
    <row r="1617" spans="1:1" x14ac:dyDescent="0.25">
      <c r="A1617" s="70">
        <f t="shared" si="32"/>
        <v>49</v>
      </c>
    </row>
    <row r="1618" spans="1:1" x14ac:dyDescent="0.25">
      <c r="A1618" s="70">
        <f t="shared" si="32"/>
        <v>49</v>
      </c>
    </row>
    <row r="1619" spans="1:1" x14ac:dyDescent="0.25">
      <c r="A1619" s="70">
        <f t="shared" si="32"/>
        <v>49</v>
      </c>
    </row>
    <row r="1620" spans="1:1" x14ac:dyDescent="0.25">
      <c r="A1620" s="70">
        <f t="shared" si="32"/>
        <v>49</v>
      </c>
    </row>
    <row r="1621" spans="1:1" x14ac:dyDescent="0.25">
      <c r="A1621" s="70">
        <f t="shared" si="32"/>
        <v>49</v>
      </c>
    </row>
    <row r="1622" spans="1:1" x14ac:dyDescent="0.25">
      <c r="A1622" s="70">
        <f t="shared" si="32"/>
        <v>49</v>
      </c>
    </row>
    <row r="1623" spans="1:1" x14ac:dyDescent="0.25">
      <c r="A1623" s="70">
        <f t="shared" si="32"/>
        <v>49</v>
      </c>
    </row>
    <row r="1624" spans="1:1" x14ac:dyDescent="0.25">
      <c r="A1624" s="70">
        <f t="shared" si="32"/>
        <v>49</v>
      </c>
    </row>
    <row r="1625" spans="1:1" x14ac:dyDescent="0.25">
      <c r="A1625" s="70">
        <f t="shared" si="32"/>
        <v>49</v>
      </c>
    </row>
    <row r="1626" spans="1:1" x14ac:dyDescent="0.25">
      <c r="A1626" s="70">
        <f t="shared" si="32"/>
        <v>49</v>
      </c>
    </row>
    <row r="1627" spans="1:1" x14ac:dyDescent="0.25">
      <c r="A1627" s="70">
        <f t="shared" si="32"/>
        <v>49</v>
      </c>
    </row>
    <row r="1628" spans="1:1" x14ac:dyDescent="0.25">
      <c r="A1628" s="70">
        <f t="shared" si="32"/>
        <v>49</v>
      </c>
    </row>
    <row r="1629" spans="1:1" x14ac:dyDescent="0.25">
      <c r="A1629" s="70">
        <f t="shared" si="32"/>
        <v>49</v>
      </c>
    </row>
    <row r="1630" spans="1:1" x14ac:dyDescent="0.25">
      <c r="A1630" s="70">
        <f t="shared" si="32"/>
        <v>49</v>
      </c>
    </row>
    <row r="1631" spans="1:1" x14ac:dyDescent="0.25">
      <c r="A1631" s="70">
        <f t="shared" si="32"/>
        <v>49</v>
      </c>
    </row>
    <row r="1632" spans="1:1" x14ac:dyDescent="0.25">
      <c r="A1632" s="70">
        <f t="shared" si="32"/>
        <v>49</v>
      </c>
    </row>
    <row r="1633" spans="1:1" x14ac:dyDescent="0.25">
      <c r="A1633" s="70">
        <f t="shared" si="32"/>
        <v>49</v>
      </c>
    </row>
    <row r="1634" spans="1:1" x14ac:dyDescent="0.25">
      <c r="A1634" s="70">
        <f t="shared" si="32"/>
        <v>49</v>
      </c>
    </row>
    <row r="1635" spans="1:1" x14ac:dyDescent="0.25">
      <c r="A1635" s="70">
        <f t="shared" si="32"/>
        <v>49</v>
      </c>
    </row>
    <row r="1636" spans="1:1" x14ac:dyDescent="0.25">
      <c r="A1636" s="70">
        <f t="shared" si="32"/>
        <v>49</v>
      </c>
    </row>
    <row r="1637" spans="1:1" x14ac:dyDescent="0.25">
      <c r="A1637" s="70">
        <f t="shared" si="32"/>
        <v>49</v>
      </c>
    </row>
    <row r="1638" spans="1:1" x14ac:dyDescent="0.25">
      <c r="A1638" s="70">
        <f t="shared" si="32"/>
        <v>49</v>
      </c>
    </row>
    <row r="1639" spans="1:1" x14ac:dyDescent="0.25">
      <c r="A1639" s="70">
        <f t="shared" si="32"/>
        <v>49</v>
      </c>
    </row>
    <row r="1640" spans="1:1" x14ac:dyDescent="0.25">
      <c r="A1640" s="70">
        <f t="shared" si="32"/>
        <v>49</v>
      </c>
    </row>
    <row r="1641" spans="1:1" x14ac:dyDescent="0.25">
      <c r="A1641" s="70">
        <f t="shared" si="32"/>
        <v>49</v>
      </c>
    </row>
    <row r="1642" spans="1:1" x14ac:dyDescent="0.25">
      <c r="A1642" s="70">
        <f t="shared" si="32"/>
        <v>49</v>
      </c>
    </row>
    <row r="1643" spans="1:1" x14ac:dyDescent="0.25">
      <c r="A1643" s="70">
        <f t="shared" si="32"/>
        <v>49</v>
      </c>
    </row>
    <row r="1644" spans="1:1" x14ac:dyDescent="0.25">
      <c r="A1644" s="70">
        <f t="shared" si="32"/>
        <v>49</v>
      </c>
    </row>
    <row r="1645" spans="1:1" x14ac:dyDescent="0.25">
      <c r="A1645" s="70">
        <f t="shared" si="32"/>
        <v>49</v>
      </c>
    </row>
    <row r="1646" spans="1:1" x14ac:dyDescent="0.25">
      <c r="A1646" s="70">
        <f t="shared" si="32"/>
        <v>49</v>
      </c>
    </row>
    <row r="1647" spans="1:1" x14ac:dyDescent="0.25">
      <c r="A1647" s="70">
        <f t="shared" si="32"/>
        <v>49</v>
      </c>
    </row>
    <row r="1648" spans="1:1" x14ac:dyDescent="0.25">
      <c r="A1648" s="70">
        <f t="shared" si="32"/>
        <v>49</v>
      </c>
    </row>
    <row r="1649" spans="1:1" x14ac:dyDescent="0.25">
      <c r="A1649" s="70">
        <f t="shared" si="32"/>
        <v>49</v>
      </c>
    </row>
    <row r="1650" spans="1:1" x14ac:dyDescent="0.25">
      <c r="A1650" s="70">
        <f t="shared" si="32"/>
        <v>49</v>
      </c>
    </row>
    <row r="1651" spans="1:1" x14ac:dyDescent="0.25">
      <c r="A1651" s="70">
        <f t="shared" si="32"/>
        <v>49</v>
      </c>
    </row>
    <row r="1652" spans="1:1" x14ac:dyDescent="0.25">
      <c r="A1652" s="70">
        <f t="shared" si="32"/>
        <v>49</v>
      </c>
    </row>
    <row r="1653" spans="1:1" x14ac:dyDescent="0.25">
      <c r="A1653" s="70">
        <f t="shared" si="32"/>
        <v>49</v>
      </c>
    </row>
    <row r="1654" spans="1:1" x14ac:dyDescent="0.25">
      <c r="A1654" s="70">
        <f t="shared" si="32"/>
        <v>49</v>
      </c>
    </row>
    <row r="1655" spans="1:1" x14ac:dyDescent="0.25">
      <c r="A1655" s="70">
        <f t="shared" si="32"/>
        <v>49</v>
      </c>
    </row>
    <row r="1656" spans="1:1" x14ac:dyDescent="0.25">
      <c r="A1656" s="70">
        <f t="shared" si="32"/>
        <v>49</v>
      </c>
    </row>
    <row r="1657" spans="1:1" x14ac:dyDescent="0.25">
      <c r="A1657" s="70">
        <f t="shared" si="32"/>
        <v>49</v>
      </c>
    </row>
    <row r="1658" spans="1:1" x14ac:dyDescent="0.25">
      <c r="A1658" s="70">
        <f t="shared" si="32"/>
        <v>49</v>
      </c>
    </row>
    <row r="1659" spans="1:1" x14ac:dyDescent="0.25">
      <c r="A1659" s="70">
        <f t="shared" si="32"/>
        <v>49</v>
      </c>
    </row>
    <row r="1660" spans="1:1" x14ac:dyDescent="0.25">
      <c r="A1660" s="70">
        <f t="shared" si="32"/>
        <v>49</v>
      </c>
    </row>
    <row r="1661" spans="1:1" x14ac:dyDescent="0.25">
      <c r="A1661" s="70">
        <f t="shared" si="32"/>
        <v>49</v>
      </c>
    </row>
    <row r="1662" spans="1:1" x14ac:dyDescent="0.25">
      <c r="A1662" s="70">
        <f t="shared" si="32"/>
        <v>49</v>
      </c>
    </row>
    <row r="1663" spans="1:1" x14ac:dyDescent="0.25">
      <c r="A1663" s="70">
        <f t="shared" si="32"/>
        <v>49</v>
      </c>
    </row>
    <row r="1664" spans="1:1" x14ac:dyDescent="0.25">
      <c r="A1664" s="70">
        <f t="shared" si="32"/>
        <v>49</v>
      </c>
    </row>
    <row r="1665" spans="1:1" x14ac:dyDescent="0.25">
      <c r="A1665" s="70">
        <f t="shared" si="32"/>
        <v>49</v>
      </c>
    </row>
    <row r="1666" spans="1:1" x14ac:dyDescent="0.25">
      <c r="A1666" s="70">
        <f t="shared" si="32"/>
        <v>49</v>
      </c>
    </row>
    <row r="1667" spans="1:1" x14ac:dyDescent="0.25">
      <c r="A1667" s="70">
        <f t="shared" si="32"/>
        <v>49</v>
      </c>
    </row>
    <row r="1668" spans="1:1" x14ac:dyDescent="0.25">
      <c r="A1668" s="70">
        <f t="shared" si="32"/>
        <v>49</v>
      </c>
    </row>
    <row r="1669" spans="1:1" x14ac:dyDescent="0.25">
      <c r="A1669" s="70">
        <f t="shared" si="32"/>
        <v>49</v>
      </c>
    </row>
    <row r="1670" spans="1:1" x14ac:dyDescent="0.25">
      <c r="A1670" s="70">
        <f t="shared" ref="A1670:A1733" si="33">IF(B1670=B1669,A1669,A1669+1)</f>
        <v>49</v>
      </c>
    </row>
    <row r="1671" spans="1:1" x14ac:dyDescent="0.25">
      <c r="A1671" s="70">
        <f t="shared" si="33"/>
        <v>49</v>
      </c>
    </row>
    <row r="1672" spans="1:1" x14ac:dyDescent="0.25">
      <c r="A1672" s="70">
        <f t="shared" si="33"/>
        <v>49</v>
      </c>
    </row>
    <row r="1673" spans="1:1" x14ac:dyDescent="0.25">
      <c r="A1673" s="70">
        <f t="shared" si="33"/>
        <v>49</v>
      </c>
    </row>
    <row r="1674" spans="1:1" x14ac:dyDescent="0.25">
      <c r="A1674" s="70">
        <f t="shared" si="33"/>
        <v>49</v>
      </c>
    </row>
    <row r="1675" spans="1:1" x14ac:dyDescent="0.25">
      <c r="A1675" s="70">
        <f t="shared" si="33"/>
        <v>49</v>
      </c>
    </row>
    <row r="1676" spans="1:1" x14ac:dyDescent="0.25">
      <c r="A1676" s="70">
        <f t="shared" si="33"/>
        <v>49</v>
      </c>
    </row>
    <row r="1677" spans="1:1" x14ac:dyDescent="0.25">
      <c r="A1677" s="70">
        <f t="shared" si="33"/>
        <v>49</v>
      </c>
    </row>
    <row r="1678" spans="1:1" x14ac:dyDescent="0.25">
      <c r="A1678" s="70">
        <f t="shared" si="33"/>
        <v>49</v>
      </c>
    </row>
    <row r="1679" spans="1:1" x14ac:dyDescent="0.25">
      <c r="A1679" s="70">
        <f t="shared" si="33"/>
        <v>49</v>
      </c>
    </row>
    <row r="1680" spans="1:1" x14ac:dyDescent="0.25">
      <c r="A1680" s="70">
        <f t="shared" si="33"/>
        <v>49</v>
      </c>
    </row>
    <row r="1681" spans="1:1" x14ac:dyDescent="0.25">
      <c r="A1681" s="70">
        <f t="shared" si="33"/>
        <v>49</v>
      </c>
    </row>
    <row r="1682" spans="1:1" x14ac:dyDescent="0.25">
      <c r="A1682" s="70">
        <f t="shared" si="33"/>
        <v>49</v>
      </c>
    </row>
    <row r="1683" spans="1:1" x14ac:dyDescent="0.25">
      <c r="A1683" s="70">
        <f t="shared" si="33"/>
        <v>49</v>
      </c>
    </row>
    <row r="1684" spans="1:1" x14ac:dyDescent="0.25">
      <c r="A1684" s="70">
        <f t="shared" si="33"/>
        <v>49</v>
      </c>
    </row>
    <row r="1685" spans="1:1" x14ac:dyDescent="0.25">
      <c r="A1685" s="70">
        <f t="shared" si="33"/>
        <v>49</v>
      </c>
    </row>
    <row r="1686" spans="1:1" x14ac:dyDescent="0.25">
      <c r="A1686" s="70">
        <f t="shared" si="33"/>
        <v>49</v>
      </c>
    </row>
    <row r="1687" spans="1:1" x14ac:dyDescent="0.25">
      <c r="A1687" s="70">
        <f t="shared" si="33"/>
        <v>49</v>
      </c>
    </row>
    <row r="1688" spans="1:1" x14ac:dyDescent="0.25">
      <c r="A1688" s="70">
        <f t="shared" si="33"/>
        <v>49</v>
      </c>
    </row>
    <row r="1689" spans="1:1" x14ac:dyDescent="0.25">
      <c r="A1689" s="70">
        <f t="shared" si="33"/>
        <v>49</v>
      </c>
    </row>
    <row r="1690" spans="1:1" x14ac:dyDescent="0.25">
      <c r="A1690" s="70">
        <f t="shared" si="33"/>
        <v>49</v>
      </c>
    </row>
    <row r="1691" spans="1:1" x14ac:dyDescent="0.25">
      <c r="A1691" s="70">
        <f t="shared" si="33"/>
        <v>49</v>
      </c>
    </row>
    <row r="1692" spans="1:1" x14ac:dyDescent="0.25">
      <c r="A1692" s="70">
        <f t="shared" si="33"/>
        <v>49</v>
      </c>
    </row>
    <row r="1693" spans="1:1" x14ac:dyDescent="0.25">
      <c r="A1693" s="70">
        <f t="shared" si="33"/>
        <v>49</v>
      </c>
    </row>
    <row r="1694" spans="1:1" x14ac:dyDescent="0.25">
      <c r="A1694" s="70">
        <f t="shared" si="33"/>
        <v>49</v>
      </c>
    </row>
    <row r="1695" spans="1:1" x14ac:dyDescent="0.25">
      <c r="A1695" s="70">
        <f t="shared" si="33"/>
        <v>49</v>
      </c>
    </row>
    <row r="1696" spans="1:1" x14ac:dyDescent="0.25">
      <c r="A1696" s="70">
        <f t="shared" si="33"/>
        <v>49</v>
      </c>
    </row>
    <row r="1697" spans="1:1" x14ac:dyDescent="0.25">
      <c r="A1697" s="70">
        <f t="shared" si="33"/>
        <v>49</v>
      </c>
    </row>
    <row r="1698" spans="1:1" x14ac:dyDescent="0.25">
      <c r="A1698" s="70">
        <f t="shared" si="33"/>
        <v>49</v>
      </c>
    </row>
    <row r="1699" spans="1:1" x14ac:dyDescent="0.25">
      <c r="A1699" s="70">
        <f t="shared" si="33"/>
        <v>49</v>
      </c>
    </row>
    <row r="1700" spans="1:1" x14ac:dyDescent="0.25">
      <c r="A1700" s="70">
        <f t="shared" si="33"/>
        <v>49</v>
      </c>
    </row>
    <row r="1701" spans="1:1" x14ac:dyDescent="0.25">
      <c r="A1701" s="70">
        <f t="shared" si="33"/>
        <v>49</v>
      </c>
    </row>
    <row r="1702" spans="1:1" x14ac:dyDescent="0.25">
      <c r="A1702" s="70">
        <f t="shared" si="33"/>
        <v>49</v>
      </c>
    </row>
    <row r="1703" spans="1:1" x14ac:dyDescent="0.25">
      <c r="A1703" s="70">
        <f t="shared" si="33"/>
        <v>49</v>
      </c>
    </row>
    <row r="1704" spans="1:1" x14ac:dyDescent="0.25">
      <c r="A1704" s="70">
        <f t="shared" si="33"/>
        <v>49</v>
      </c>
    </row>
    <row r="1705" spans="1:1" x14ac:dyDescent="0.25">
      <c r="A1705" s="70">
        <f t="shared" si="33"/>
        <v>49</v>
      </c>
    </row>
    <row r="1706" spans="1:1" x14ac:dyDescent="0.25">
      <c r="A1706" s="70">
        <f t="shared" si="33"/>
        <v>49</v>
      </c>
    </row>
    <row r="1707" spans="1:1" x14ac:dyDescent="0.25">
      <c r="A1707" s="70">
        <f t="shared" si="33"/>
        <v>49</v>
      </c>
    </row>
    <row r="1708" spans="1:1" x14ac:dyDescent="0.25">
      <c r="A1708" s="70">
        <f t="shared" si="33"/>
        <v>49</v>
      </c>
    </row>
    <row r="1709" spans="1:1" x14ac:dyDescent="0.25">
      <c r="A1709" s="70">
        <f t="shared" si="33"/>
        <v>49</v>
      </c>
    </row>
    <row r="1710" spans="1:1" x14ac:dyDescent="0.25">
      <c r="A1710" s="70">
        <f t="shared" si="33"/>
        <v>49</v>
      </c>
    </row>
    <row r="1711" spans="1:1" x14ac:dyDescent="0.25">
      <c r="A1711" s="70">
        <f t="shared" si="33"/>
        <v>49</v>
      </c>
    </row>
    <row r="1712" spans="1:1" x14ac:dyDescent="0.25">
      <c r="A1712" s="70">
        <f t="shared" si="33"/>
        <v>49</v>
      </c>
    </row>
    <row r="1713" spans="1:1" x14ac:dyDescent="0.25">
      <c r="A1713" s="70">
        <f t="shared" si="33"/>
        <v>49</v>
      </c>
    </row>
    <row r="1714" spans="1:1" x14ac:dyDescent="0.25">
      <c r="A1714" s="70">
        <f t="shared" si="33"/>
        <v>49</v>
      </c>
    </row>
    <row r="1715" spans="1:1" x14ac:dyDescent="0.25">
      <c r="A1715" s="70">
        <f t="shared" si="33"/>
        <v>49</v>
      </c>
    </row>
    <row r="1716" spans="1:1" x14ac:dyDescent="0.25">
      <c r="A1716" s="70">
        <f t="shared" si="33"/>
        <v>49</v>
      </c>
    </row>
    <row r="1717" spans="1:1" x14ac:dyDescent="0.25">
      <c r="A1717" s="70">
        <f t="shared" si="33"/>
        <v>49</v>
      </c>
    </row>
    <row r="1718" spans="1:1" x14ac:dyDescent="0.25">
      <c r="A1718" s="70">
        <f t="shared" si="33"/>
        <v>49</v>
      </c>
    </row>
    <row r="1719" spans="1:1" x14ac:dyDescent="0.25">
      <c r="A1719" s="70">
        <f t="shared" si="33"/>
        <v>49</v>
      </c>
    </row>
    <row r="1720" spans="1:1" x14ac:dyDescent="0.25">
      <c r="A1720" s="70">
        <f t="shared" si="33"/>
        <v>49</v>
      </c>
    </row>
    <row r="1721" spans="1:1" x14ac:dyDescent="0.25">
      <c r="A1721" s="70">
        <f t="shared" si="33"/>
        <v>49</v>
      </c>
    </row>
    <row r="1722" spans="1:1" x14ac:dyDescent="0.25">
      <c r="A1722" s="70">
        <f t="shared" si="33"/>
        <v>49</v>
      </c>
    </row>
    <row r="1723" spans="1:1" x14ac:dyDescent="0.25">
      <c r="A1723" s="70">
        <f t="shared" si="33"/>
        <v>49</v>
      </c>
    </row>
    <row r="1724" spans="1:1" x14ac:dyDescent="0.25">
      <c r="A1724" s="70">
        <f t="shared" si="33"/>
        <v>49</v>
      </c>
    </row>
    <row r="1725" spans="1:1" x14ac:dyDescent="0.25">
      <c r="A1725" s="70">
        <f t="shared" si="33"/>
        <v>49</v>
      </c>
    </row>
    <row r="1726" spans="1:1" x14ac:dyDescent="0.25">
      <c r="A1726" s="70">
        <f t="shared" si="33"/>
        <v>49</v>
      </c>
    </row>
    <row r="1727" spans="1:1" x14ac:dyDescent="0.25">
      <c r="A1727" s="70">
        <f t="shared" si="33"/>
        <v>49</v>
      </c>
    </row>
    <row r="1728" spans="1:1" x14ac:dyDescent="0.25">
      <c r="A1728" s="70">
        <f t="shared" si="33"/>
        <v>49</v>
      </c>
    </row>
    <row r="1729" spans="1:1" x14ac:dyDescent="0.25">
      <c r="A1729" s="70">
        <f t="shared" si="33"/>
        <v>49</v>
      </c>
    </row>
    <row r="1730" spans="1:1" x14ac:dyDescent="0.25">
      <c r="A1730" s="70">
        <f t="shared" si="33"/>
        <v>49</v>
      </c>
    </row>
    <row r="1731" spans="1:1" x14ac:dyDescent="0.25">
      <c r="A1731" s="70">
        <f t="shared" si="33"/>
        <v>49</v>
      </c>
    </row>
    <row r="1732" spans="1:1" x14ac:dyDescent="0.25">
      <c r="A1732" s="70">
        <f t="shared" si="33"/>
        <v>49</v>
      </c>
    </row>
    <row r="1733" spans="1:1" x14ac:dyDescent="0.25">
      <c r="A1733" s="70">
        <f t="shared" si="33"/>
        <v>49</v>
      </c>
    </row>
    <row r="1734" spans="1:1" x14ac:dyDescent="0.25">
      <c r="A1734" s="70">
        <f t="shared" ref="A1734:A1797" si="34">IF(B1734=B1733,A1733,A1733+1)</f>
        <v>49</v>
      </c>
    </row>
    <row r="1735" spans="1:1" x14ac:dyDescent="0.25">
      <c r="A1735" s="70">
        <f t="shared" si="34"/>
        <v>49</v>
      </c>
    </row>
    <row r="1736" spans="1:1" x14ac:dyDescent="0.25">
      <c r="A1736" s="70">
        <f t="shared" si="34"/>
        <v>49</v>
      </c>
    </row>
    <row r="1737" spans="1:1" x14ac:dyDescent="0.25">
      <c r="A1737" s="70">
        <f t="shared" si="34"/>
        <v>49</v>
      </c>
    </row>
    <row r="1738" spans="1:1" x14ac:dyDescent="0.25">
      <c r="A1738" s="70">
        <f t="shared" si="34"/>
        <v>49</v>
      </c>
    </row>
    <row r="1739" spans="1:1" x14ac:dyDescent="0.25">
      <c r="A1739" s="70">
        <f t="shared" si="34"/>
        <v>49</v>
      </c>
    </row>
    <row r="1740" spans="1:1" x14ac:dyDescent="0.25">
      <c r="A1740" s="70">
        <f t="shared" si="34"/>
        <v>49</v>
      </c>
    </row>
    <row r="1741" spans="1:1" x14ac:dyDescent="0.25">
      <c r="A1741" s="70">
        <f t="shared" si="34"/>
        <v>49</v>
      </c>
    </row>
    <row r="1742" spans="1:1" x14ac:dyDescent="0.25">
      <c r="A1742" s="70">
        <f t="shared" si="34"/>
        <v>49</v>
      </c>
    </row>
    <row r="1743" spans="1:1" x14ac:dyDescent="0.25">
      <c r="A1743" s="70">
        <f t="shared" si="34"/>
        <v>49</v>
      </c>
    </row>
    <row r="1744" spans="1:1" x14ac:dyDescent="0.25">
      <c r="A1744" s="70">
        <f t="shared" si="34"/>
        <v>49</v>
      </c>
    </row>
    <row r="1745" spans="1:1" x14ac:dyDescent="0.25">
      <c r="A1745" s="70">
        <f t="shared" si="34"/>
        <v>49</v>
      </c>
    </row>
    <row r="1746" spans="1:1" x14ac:dyDescent="0.25">
      <c r="A1746" s="70">
        <f t="shared" si="34"/>
        <v>49</v>
      </c>
    </row>
    <row r="1747" spans="1:1" x14ac:dyDescent="0.25">
      <c r="A1747" s="70">
        <f t="shared" si="34"/>
        <v>49</v>
      </c>
    </row>
    <row r="1748" spans="1:1" x14ac:dyDescent="0.25">
      <c r="A1748" s="70">
        <f t="shared" si="34"/>
        <v>49</v>
      </c>
    </row>
    <row r="1749" spans="1:1" x14ac:dyDescent="0.25">
      <c r="A1749" s="70">
        <f t="shared" si="34"/>
        <v>49</v>
      </c>
    </row>
    <row r="1750" spans="1:1" x14ac:dyDescent="0.25">
      <c r="A1750" s="70">
        <f t="shared" si="34"/>
        <v>49</v>
      </c>
    </row>
    <row r="1751" spans="1:1" x14ac:dyDescent="0.25">
      <c r="A1751" s="70">
        <f t="shared" si="34"/>
        <v>49</v>
      </c>
    </row>
    <row r="1752" spans="1:1" x14ac:dyDescent="0.25">
      <c r="A1752" s="70">
        <f t="shared" si="34"/>
        <v>49</v>
      </c>
    </row>
    <row r="1753" spans="1:1" x14ac:dyDescent="0.25">
      <c r="A1753" s="70">
        <f t="shared" si="34"/>
        <v>49</v>
      </c>
    </row>
    <row r="1754" spans="1:1" x14ac:dyDescent="0.25">
      <c r="A1754" s="70">
        <f t="shared" si="34"/>
        <v>49</v>
      </c>
    </row>
    <row r="1755" spans="1:1" x14ac:dyDescent="0.25">
      <c r="A1755" s="70">
        <f t="shared" si="34"/>
        <v>49</v>
      </c>
    </row>
    <row r="1756" spans="1:1" x14ac:dyDescent="0.25">
      <c r="A1756" s="70">
        <f t="shared" si="34"/>
        <v>49</v>
      </c>
    </row>
    <row r="1757" spans="1:1" x14ac:dyDescent="0.25">
      <c r="A1757" s="70">
        <f t="shared" si="34"/>
        <v>49</v>
      </c>
    </row>
    <row r="1758" spans="1:1" x14ac:dyDescent="0.25">
      <c r="A1758" s="70">
        <f t="shared" si="34"/>
        <v>49</v>
      </c>
    </row>
    <row r="1759" spans="1:1" x14ac:dyDescent="0.25">
      <c r="A1759" s="70">
        <f t="shared" si="34"/>
        <v>49</v>
      </c>
    </row>
    <row r="1760" spans="1:1" x14ac:dyDescent="0.25">
      <c r="A1760" s="70">
        <f t="shared" si="34"/>
        <v>49</v>
      </c>
    </row>
    <row r="1761" spans="1:1" x14ac:dyDescent="0.25">
      <c r="A1761" s="70">
        <f t="shared" si="34"/>
        <v>49</v>
      </c>
    </row>
    <row r="1762" spans="1:1" x14ac:dyDescent="0.25">
      <c r="A1762" s="70">
        <f t="shared" si="34"/>
        <v>49</v>
      </c>
    </row>
    <row r="1763" spans="1:1" x14ac:dyDescent="0.25">
      <c r="A1763" s="70">
        <f t="shared" si="34"/>
        <v>49</v>
      </c>
    </row>
    <row r="1764" spans="1:1" x14ac:dyDescent="0.25">
      <c r="A1764" s="70">
        <f t="shared" si="34"/>
        <v>49</v>
      </c>
    </row>
    <row r="1765" spans="1:1" x14ac:dyDescent="0.25">
      <c r="A1765" s="70">
        <f t="shared" si="34"/>
        <v>49</v>
      </c>
    </row>
    <row r="1766" spans="1:1" x14ac:dyDescent="0.25">
      <c r="A1766" s="70">
        <f t="shared" si="34"/>
        <v>49</v>
      </c>
    </row>
    <row r="1767" spans="1:1" x14ac:dyDescent="0.25">
      <c r="A1767" s="70">
        <f t="shared" si="34"/>
        <v>49</v>
      </c>
    </row>
    <row r="1768" spans="1:1" x14ac:dyDescent="0.25">
      <c r="A1768" s="70">
        <f t="shared" si="34"/>
        <v>49</v>
      </c>
    </row>
    <row r="1769" spans="1:1" x14ac:dyDescent="0.25">
      <c r="A1769" s="70">
        <f t="shared" si="34"/>
        <v>49</v>
      </c>
    </row>
    <row r="1770" spans="1:1" x14ac:dyDescent="0.25">
      <c r="A1770" s="70">
        <f t="shared" si="34"/>
        <v>49</v>
      </c>
    </row>
    <row r="1771" spans="1:1" x14ac:dyDescent="0.25">
      <c r="A1771" s="70">
        <f t="shared" si="34"/>
        <v>49</v>
      </c>
    </row>
    <row r="1772" spans="1:1" x14ac:dyDescent="0.25">
      <c r="A1772" s="70">
        <f t="shared" si="34"/>
        <v>49</v>
      </c>
    </row>
    <row r="1773" spans="1:1" x14ac:dyDescent="0.25">
      <c r="A1773" s="70">
        <f t="shared" si="34"/>
        <v>49</v>
      </c>
    </row>
    <row r="1774" spans="1:1" x14ac:dyDescent="0.25">
      <c r="A1774" s="70">
        <f t="shared" si="34"/>
        <v>49</v>
      </c>
    </row>
    <row r="1775" spans="1:1" x14ac:dyDescent="0.25">
      <c r="A1775" s="70">
        <f t="shared" si="34"/>
        <v>49</v>
      </c>
    </row>
    <row r="1776" spans="1:1" x14ac:dyDescent="0.25">
      <c r="A1776" s="70">
        <f t="shared" si="34"/>
        <v>49</v>
      </c>
    </row>
    <row r="1777" spans="1:1" x14ac:dyDescent="0.25">
      <c r="A1777" s="70">
        <f t="shared" si="34"/>
        <v>49</v>
      </c>
    </row>
    <row r="1778" spans="1:1" x14ac:dyDescent="0.25">
      <c r="A1778" s="70">
        <f t="shared" si="34"/>
        <v>49</v>
      </c>
    </row>
    <row r="1779" spans="1:1" x14ac:dyDescent="0.25">
      <c r="A1779" s="70">
        <f t="shared" si="34"/>
        <v>49</v>
      </c>
    </row>
    <row r="1780" spans="1:1" x14ac:dyDescent="0.25">
      <c r="A1780" s="70">
        <f t="shared" si="34"/>
        <v>49</v>
      </c>
    </row>
    <row r="1781" spans="1:1" x14ac:dyDescent="0.25">
      <c r="A1781" s="70">
        <f t="shared" si="34"/>
        <v>49</v>
      </c>
    </row>
    <row r="1782" spans="1:1" x14ac:dyDescent="0.25">
      <c r="A1782" s="70">
        <f t="shared" si="34"/>
        <v>49</v>
      </c>
    </row>
    <row r="1783" spans="1:1" x14ac:dyDescent="0.25">
      <c r="A1783" s="70">
        <f t="shared" si="34"/>
        <v>49</v>
      </c>
    </row>
    <row r="1784" spans="1:1" x14ac:dyDescent="0.25">
      <c r="A1784" s="70">
        <f t="shared" si="34"/>
        <v>49</v>
      </c>
    </row>
    <row r="1785" spans="1:1" x14ac:dyDescent="0.25">
      <c r="A1785" s="70">
        <f t="shared" si="34"/>
        <v>49</v>
      </c>
    </row>
    <row r="1786" spans="1:1" x14ac:dyDescent="0.25">
      <c r="A1786" s="70">
        <f t="shared" si="34"/>
        <v>49</v>
      </c>
    </row>
    <row r="1787" spans="1:1" x14ac:dyDescent="0.25">
      <c r="A1787" s="70">
        <f t="shared" si="34"/>
        <v>49</v>
      </c>
    </row>
    <row r="1788" spans="1:1" x14ac:dyDescent="0.25">
      <c r="A1788" s="70">
        <f t="shared" si="34"/>
        <v>49</v>
      </c>
    </row>
    <row r="1789" spans="1:1" x14ac:dyDescent="0.25">
      <c r="A1789" s="70">
        <f t="shared" si="34"/>
        <v>49</v>
      </c>
    </row>
    <row r="1790" spans="1:1" x14ac:dyDescent="0.25">
      <c r="A1790" s="70">
        <f t="shared" si="34"/>
        <v>49</v>
      </c>
    </row>
    <row r="1791" spans="1:1" x14ac:dyDescent="0.25">
      <c r="A1791" s="70">
        <f t="shared" si="34"/>
        <v>49</v>
      </c>
    </row>
    <row r="1792" spans="1:1" x14ac:dyDescent="0.25">
      <c r="A1792" s="70">
        <f t="shared" si="34"/>
        <v>49</v>
      </c>
    </row>
    <row r="1793" spans="1:1" x14ac:dyDescent="0.25">
      <c r="A1793" s="70">
        <f t="shared" si="34"/>
        <v>49</v>
      </c>
    </row>
    <row r="1794" spans="1:1" x14ac:dyDescent="0.25">
      <c r="A1794" s="70">
        <f t="shared" si="34"/>
        <v>49</v>
      </c>
    </row>
    <row r="1795" spans="1:1" x14ac:dyDescent="0.25">
      <c r="A1795" s="70">
        <f t="shared" si="34"/>
        <v>49</v>
      </c>
    </row>
    <row r="1796" spans="1:1" x14ac:dyDescent="0.25">
      <c r="A1796" s="70">
        <f t="shared" si="34"/>
        <v>49</v>
      </c>
    </row>
    <row r="1797" spans="1:1" x14ac:dyDescent="0.25">
      <c r="A1797" s="70">
        <f t="shared" si="34"/>
        <v>49</v>
      </c>
    </row>
    <row r="1798" spans="1:1" x14ac:dyDescent="0.25">
      <c r="A1798" s="70">
        <f t="shared" ref="A1798:A1810" si="35">IF(B1798=B1797,A1797,A1797+1)</f>
        <v>49</v>
      </c>
    </row>
    <row r="1799" spans="1:1" x14ac:dyDescent="0.25">
      <c r="A1799" s="70">
        <f t="shared" si="35"/>
        <v>49</v>
      </c>
    </row>
    <row r="1800" spans="1:1" x14ac:dyDescent="0.25">
      <c r="A1800" s="70">
        <f t="shared" si="35"/>
        <v>49</v>
      </c>
    </row>
    <row r="1801" spans="1:1" x14ac:dyDescent="0.25">
      <c r="A1801" s="70">
        <f t="shared" si="35"/>
        <v>49</v>
      </c>
    </row>
    <row r="1802" spans="1:1" x14ac:dyDescent="0.25">
      <c r="A1802" s="70">
        <f t="shared" si="35"/>
        <v>49</v>
      </c>
    </row>
    <row r="1803" spans="1:1" x14ac:dyDescent="0.25">
      <c r="A1803" s="70">
        <f t="shared" si="35"/>
        <v>49</v>
      </c>
    </row>
    <row r="1804" spans="1:1" x14ac:dyDescent="0.25">
      <c r="A1804" s="70">
        <f t="shared" si="35"/>
        <v>49</v>
      </c>
    </row>
    <row r="1805" spans="1:1" x14ac:dyDescent="0.25">
      <c r="A1805" s="70">
        <f t="shared" si="35"/>
        <v>49</v>
      </c>
    </row>
    <row r="1806" spans="1:1" x14ac:dyDescent="0.25">
      <c r="A1806" s="70">
        <f t="shared" si="35"/>
        <v>49</v>
      </c>
    </row>
    <row r="1807" spans="1:1" x14ac:dyDescent="0.25">
      <c r="A1807" s="70">
        <f t="shared" si="35"/>
        <v>49</v>
      </c>
    </row>
    <row r="1808" spans="1:1" x14ac:dyDescent="0.25">
      <c r="A1808" s="70">
        <f t="shared" si="35"/>
        <v>49</v>
      </c>
    </row>
    <row r="1809" spans="1:1" x14ac:dyDescent="0.25">
      <c r="A1809" s="70">
        <f t="shared" si="35"/>
        <v>49</v>
      </c>
    </row>
    <row r="1810" spans="1:1" x14ac:dyDescent="0.25">
      <c r="A1810" s="70">
        <f t="shared" si="35"/>
        <v>49</v>
      </c>
    </row>
  </sheetData>
  <mergeCells count="5">
    <mergeCell ref="F1:G1"/>
    <mergeCell ref="F2:G2"/>
    <mergeCell ref="P4:Q4"/>
    <mergeCell ref="V4:W4"/>
    <mergeCell ref="N4:O4"/>
  </mergeCells>
  <conditionalFormatting sqref="B5:J5000">
    <cfRule type="expression" dxfId="49" priority="7">
      <formula>IF($B5=$B4,0,1)</formula>
    </cfRule>
  </conditionalFormatting>
  <conditionalFormatting sqref="K1277:P1292 K160:L1276 P160:P1276">
    <cfRule type="expression" dxfId="48" priority="6">
      <formula>IF($K160=0,1,0)</formula>
    </cfRule>
  </conditionalFormatting>
  <conditionalFormatting sqref="K160:L1192 P160:P1276">
    <cfRule type="expression" dxfId="47" priority="5">
      <formula>IF($K160=0,0,1)</formula>
    </cfRule>
  </conditionalFormatting>
  <conditionalFormatting sqref="P160:P1276">
    <cfRule type="expression" dxfId="46" priority="4">
      <formula>IF(ISNUMBER(CODE($P160)),1,0)</formula>
    </cfRule>
  </conditionalFormatting>
  <conditionalFormatting sqref="L5:Q5 L6:M500 P6:Q500 N6:O1276">
    <cfRule type="expression" dxfId="45" priority="32">
      <formula>IF($L5=0,1,0)</formula>
    </cfRule>
    <cfRule type="expression" dxfId="44" priority="34">
      <formula>IF($L5=0,0,1)</formula>
    </cfRule>
  </conditionalFormatting>
  <conditionalFormatting sqref="P5:Q159">
    <cfRule type="expression" dxfId="43" priority="40">
      <formula>IF(ISNUMBER(CODE($Q5)),1,0)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818"/>
  <sheetViews>
    <sheetView topLeftCell="A6" workbookViewId="0">
      <selection activeCell="U6" sqref="U6"/>
    </sheetView>
  </sheetViews>
  <sheetFormatPr defaultRowHeight="15" x14ac:dyDescent="0.25"/>
  <cols>
    <col min="1" max="1" width="2.28515625" customWidth="1"/>
    <col min="2" max="2" width="1.42578125" style="101" customWidth="1"/>
    <col min="3" max="3" width="9.7109375" bestFit="1" customWidth="1"/>
    <col min="4" max="4" width="12.7109375" bestFit="1" customWidth="1"/>
    <col min="5" max="5" width="35.7109375" customWidth="1"/>
    <col min="6" max="6" width="27" bestFit="1" customWidth="1"/>
    <col min="7" max="7" width="9.7109375" bestFit="1" customWidth="1"/>
    <col min="8" max="8" width="11.140625" bestFit="1" customWidth="1"/>
    <col min="12" max="12" width="15.5703125" style="94" bestFit="1" customWidth="1"/>
    <col min="13" max="13" width="10.7109375" style="94" bestFit="1" customWidth="1"/>
    <col min="14" max="14" width="10.7109375" style="94" customWidth="1"/>
    <col min="15" max="15" width="7.140625" style="94" bestFit="1" customWidth="1"/>
    <col min="16" max="16" width="8.28515625" bestFit="1" customWidth="1"/>
    <col min="17" max="17" width="7.7109375" bestFit="1" customWidth="1"/>
    <col min="19" max="19" width="5.42578125" customWidth="1"/>
    <col min="20" max="20" width="12.7109375" customWidth="1"/>
    <col min="21" max="21" width="17" customWidth="1"/>
    <col min="22" max="23" width="9.5703125" customWidth="1"/>
    <col min="27" max="27" width="11" bestFit="1" customWidth="1"/>
  </cols>
  <sheetData>
    <row r="1" spans="2:28" x14ac:dyDescent="0.25">
      <c r="D1" s="98" t="s">
        <v>38</v>
      </c>
      <c r="E1" s="98" t="s">
        <v>39</v>
      </c>
      <c r="F1" s="98" t="s">
        <v>138</v>
      </c>
      <c r="G1" s="151" t="s">
        <v>40</v>
      </c>
      <c r="H1" s="151"/>
    </row>
    <row r="2" spans="2:28" x14ac:dyDescent="0.25">
      <c r="D2" s="31">
        <f ca="1">SUMIF(NCAA_Bets[Date],"&lt;"&amp;TODAY(),NCAA_Bets[Winnings])-SUMIF(NCAA_Bets[Date],"&lt;"&amp;TODAY(),NCAA_Bets[Risk])</f>
        <v>39.360884200745886</v>
      </c>
      <c r="E2" s="12">
        <f ca="1">D2/SUMIF(NCAA_Bets[Date],"&lt;"&amp;TODAY(),NCAA_Bets[Risk])</f>
        <v>3.2943216244211121E-2</v>
      </c>
      <c r="F2" s="12" t="str">
        <f>COUNTIF(NCAA_Bets[Result],"W")&amp;"-"&amp;COUNTIF(NCAA_Bets[Result],"L")&amp;IF(COUNTIF(NCAA_Bets[Result],"Push")=0,"","-"&amp;COUNTIF(NCAA_Bets[Result],"Push"))</f>
        <v>171-169-7</v>
      </c>
      <c r="G2" s="152">
        <f>COUNTIF(NCAA_Bets[Result],"W")/(COUNTIF(NCAA_Bets[Result],"W")+COUNTIF(NCAA_Bets[Result],"L"))</f>
        <v>0.50294117647058822</v>
      </c>
      <c r="H2" s="152"/>
    </row>
    <row r="3" spans="2:28" ht="3.75" customHeight="1" x14ac:dyDescent="0.25"/>
    <row r="4" spans="2:28" x14ac:dyDescent="0.25">
      <c r="C4" s="94" t="s">
        <v>0</v>
      </c>
      <c r="D4" s="94" t="s">
        <v>365</v>
      </c>
      <c r="E4" s="94" t="s">
        <v>3</v>
      </c>
      <c r="F4" s="94" t="s">
        <v>1</v>
      </c>
      <c r="G4" s="94" t="s">
        <v>2</v>
      </c>
      <c r="H4" s="94" t="s">
        <v>109</v>
      </c>
      <c r="I4" s="94" t="s">
        <v>6</v>
      </c>
      <c r="J4" s="94" t="s">
        <v>5</v>
      </c>
      <c r="K4" s="94" t="s">
        <v>508</v>
      </c>
      <c r="L4"/>
      <c r="M4" s="91" t="s">
        <v>0</v>
      </c>
      <c r="N4" s="115" t="s">
        <v>365</v>
      </c>
      <c r="O4" s="99" t="s">
        <v>137</v>
      </c>
      <c r="P4" s="153" t="s">
        <v>1048</v>
      </c>
      <c r="Q4" s="154"/>
      <c r="T4" s="43" t="s">
        <v>1049</v>
      </c>
      <c r="U4" s="43" t="s">
        <v>137</v>
      </c>
      <c r="V4" s="153" t="s">
        <v>1048</v>
      </c>
      <c r="W4" s="154"/>
      <c r="Y4" t="s">
        <v>365</v>
      </c>
      <c r="Z4" t="s">
        <v>137</v>
      </c>
      <c r="AA4" t="s">
        <v>756</v>
      </c>
      <c r="AB4" t="s">
        <v>367</v>
      </c>
    </row>
    <row r="5" spans="2:28" x14ac:dyDescent="0.25">
      <c r="B5" s="101">
        <f>IF(C5=C4,B4,B4+1)</f>
        <v>1</v>
      </c>
      <c r="C5" s="6">
        <v>43483</v>
      </c>
      <c r="D5" s="6" t="s">
        <v>298</v>
      </c>
      <c r="E5" s="7" t="s">
        <v>449</v>
      </c>
      <c r="F5" s="8" t="s">
        <v>443</v>
      </c>
      <c r="G5" s="66">
        <v>1</v>
      </c>
      <c r="H5" s="37">
        <v>-115</v>
      </c>
      <c r="I5" s="10" t="s">
        <v>37</v>
      </c>
      <c r="J5" s="9"/>
      <c r="K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5"/>
      <c r="M5" s="71">
        <f t="shared" ref="M5:M25" si="0">IFERROR(VLOOKUP(ROW()-4,B:C,2,0),0)</f>
        <v>43483</v>
      </c>
      <c r="N5" s="71" t="str">
        <f>IFERROR(VLOOKUP(M5,NCAA_Bets[[Date]:[Version]],2,0),"")</f>
        <v>v1.0</v>
      </c>
      <c r="O5" s="94" t="str">
        <f>COUNTIFS(NCAA_Bets[Date],M5,NCAA_Bets[Result],"W")&amp;"-"&amp;COUNTIFS(NCAA_Bets[Date],M5,NCAA_Bets[Result],"L")&amp;IF(COUNTIFS(NCAA_Bets[Date],M5,NCAA_Bets[Result],"Push")&gt;0,"-"&amp;COUNTIFS(NCAA_Bets[Date],M5,NCAA_Bets[Result],"Push"),"")</f>
        <v>4-1-1</v>
      </c>
      <c r="P5" s="90">
        <f>SUMIF(NCAA_Bets[Date],M5,NCAA_Bets[Winnings])-SUMIF(NCAA_Bets[Date],M5,NCAA_Bets[Risk])</f>
        <v>0.68774703557312211</v>
      </c>
      <c r="Q5" s="89" t="str">
        <f>IFERROR("("&amp;ROUND((SUMIF(NCAA_Bets[Date],M5,NCAA_Bets[Winnings])-SUMIF(NCAA_Bets[Date],M5,NCAA_Bets[Risk]))/SUMIF(NCAA_Bets[Date],M5,NCAA_Bets[Risk]),2)*100&amp;"%)","")</f>
        <v>(11%)</v>
      </c>
      <c r="S5" s="92" t="s">
        <v>505</v>
      </c>
      <c r="T5" s="116" t="s">
        <v>47</v>
      </c>
      <c r="U5" s="43" t="str">
        <f>COUNTIFS(NCAA_Bets[Bet Type],S5,NCAA_Bets[Result],"W")&amp;"-"&amp;COUNTIFS(NCAA_Bets[Bet Type],S5,NCAA_Bets[Result],"L")&amp;IF(COUNTIFS(NCAA_Bets[Bet Type],S5,NCAA_Bets[Result],"Push")&gt;0,"-"&amp;COUNTIFS(NCAA_Bets[Bet Type],S5,NCAA_Bets[Result],"Push"),"")&amp;" ("&amp;ROUND(COUNTIFS(NCAA_Bets[Bet Type],S5,NCAA_Bets[Result],"W")/(COUNTIFS(NCAA_Bets[Bet Type],S5,NCAA_Bets[Result],"W")+COUNTIFS(NCAA_Bets[Bet Type],S5,NCAA_Bets[Result],"L"))*100,1)&amp;"%)"</f>
        <v>33-20-2 (62.3%)</v>
      </c>
      <c r="V5" s="125">
        <f>SUMIF(NCAA_Bets[Bet Type],S5,NCAA_Bets[Winnings])-SUMIF(NCAA_Bets[Bet Type],S5,NCAA_Bets[Risk])</f>
        <v>48.949369471108668</v>
      </c>
      <c r="W5" s="126" t="str">
        <f>IFERROR("("&amp;ROUND((SUMIF(NCAA_Bets[Bet Type],S5,NCAA_Bets[Winnings])-SUMIF(NCAA_Bets[Bet Type],S5,NCAA_Bets[Risk]))/SUMIF(NCAA_Bets[Bet Type],S5,NCAA_Bets[Risk]),2)*100&amp;"%)","")</f>
        <v>(27%)</v>
      </c>
      <c r="Y5" t="s">
        <v>298</v>
      </c>
      <c r="Z5" t="str">
        <f>COUNTIFS(NCAA_Bets[Version],Y5,NCAA_Bets[Result],"W")&amp;"-"&amp;COUNTIFS(NCAA_Bets[Version],Y5,NCAA_Bets[Result],"L")&amp;IF(COUNTIFS(NCAA_Bets[Version],Y5,NCAA_Bets[Result],"Push")&gt;0,"-"&amp;COUNTIFS(NCAA_Bets[Version],Y5,NCAA_Bets[Result],"Push"),"")</f>
        <v>81-70-4</v>
      </c>
      <c r="AA5" s="112">
        <f>COUNTIFS(NCAA_Bets[Version],Y5,NCAA_Bets[Result],"W")/(COUNTIFS(NCAA_Bets[Version],Y5,NCAA_Bets[Result],"L")+COUNTIFS(NCAA_Bets[Version],Y5,NCAA_Bets[Result],"W"))</f>
        <v>0.53642384105960261</v>
      </c>
      <c r="AB5" t="s">
        <v>368</v>
      </c>
    </row>
    <row r="6" spans="2:28" x14ac:dyDescent="0.25">
      <c r="B6" s="101">
        <f t="shared" ref="B6:B69" si="1">IF(C6=C5,B5,B5+1)</f>
        <v>1</v>
      </c>
      <c r="C6" s="6">
        <v>43483</v>
      </c>
      <c r="D6" s="6" t="s">
        <v>298</v>
      </c>
      <c r="E6" s="7" t="s">
        <v>449</v>
      </c>
      <c r="F6" s="8" t="s">
        <v>444</v>
      </c>
      <c r="G6" s="66">
        <v>1</v>
      </c>
      <c r="H6" s="37">
        <v>-115</v>
      </c>
      <c r="I6" s="10" t="s">
        <v>37</v>
      </c>
      <c r="J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1.8695652173913042</v>
      </c>
      <c r="K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6"/>
      <c r="M6" s="71">
        <f t="shared" si="0"/>
        <v>43486</v>
      </c>
      <c r="N6" s="71" t="str">
        <f>IFERROR(VLOOKUP(M6,NCAA_Bets[[Date]:[Version]],2,0),"")</f>
        <v>v1.0</v>
      </c>
      <c r="O6" s="94" t="str">
        <f>COUNTIFS(NCAA_Bets[Date],M6,NCAA_Bets[Result],"W")&amp;"-"&amp;COUNTIFS(NCAA_Bets[Date],M6,NCAA_Bets[Result],"L")&amp;IF(COUNTIFS(NCAA_Bets[Date],M6,NCAA_Bets[Result],"Push")&gt;0,"-"&amp;COUNTIFS(NCAA_Bets[Date],M6,NCAA_Bets[Result],"Push"),"")</f>
        <v>5-7</v>
      </c>
      <c r="P6" s="90">
        <f>SUMIF(NCAA_Bets[Date],M6,NCAA_Bets[Winnings])-SUMIF(NCAA_Bets[Date],M6,NCAA_Bets[Risk])</f>
        <v>-4.8225108225108215</v>
      </c>
      <c r="Q6" s="89" t="str">
        <f>IFERROR("("&amp;ROUND((SUMIF(NCAA_Bets[Date],M6,NCAA_Bets[Winnings])-SUMIF(NCAA_Bets[Date],M6,NCAA_Bets[Risk]))/SUMIF(NCAA_Bets[Date],M6,NCAA_Bets[Risk]),2)*100&amp;"%)","")</f>
        <v>(-20%)</v>
      </c>
      <c r="S6" s="92" t="s">
        <v>507</v>
      </c>
      <c r="T6" s="116" t="s">
        <v>48</v>
      </c>
      <c r="U6" s="43" t="str">
        <f>COUNTIFS(NCAA_Bets[Bet Type],S6,NCAA_Bets[Result],"W")&amp;"-"&amp;COUNTIFS(NCAA_Bets[Bet Type],S6,NCAA_Bets[Result],"L")&amp;IF(COUNTIFS(NCAA_Bets[Bet Type],S6,NCAA_Bets[Result],"Push")&gt;0,"-"&amp;COUNTIFS(NCAA_Bets[Bet Type],S6,NCAA_Bets[Result],"Push"),"")&amp;" ("&amp;ROUND(COUNTIFS(NCAA_Bets[Bet Type],S6,NCAA_Bets[Result],"W")/(COUNTIFS(NCAA_Bets[Bet Type],S6,NCAA_Bets[Result],"W")+COUNTIFS(NCAA_Bets[Bet Type],S6,NCAA_Bets[Result],"L"))*100,1)&amp;"%)"</f>
        <v>42-41-2 (50.6%)</v>
      </c>
      <c r="V6" s="125">
        <f>SUMIF(NCAA_Bets[Bet Type],S6,NCAA_Bets[Winnings])-SUMIF(NCAA_Bets[Bet Type],S6,NCAA_Bets[Risk])</f>
        <v>-14.507246376811736</v>
      </c>
      <c r="W6" s="126" t="str">
        <f>IFERROR("("&amp;ROUND((SUMIF(NCAA_Bets[Bet Type],S6,NCAA_Bets[Winnings])-SUMIF(NCAA_Bets[Bet Type],S6,NCAA_Bets[Risk]))/SUMIF(NCAA_Bets[Bet Type],S6,NCAA_Bets[Risk]),2)*100&amp;"%)","")</f>
        <v>(-7%)</v>
      </c>
      <c r="Y6" t="s">
        <v>299</v>
      </c>
      <c r="Z6" t="str">
        <f>COUNTIFS(NCAA_Bets[Version],Y6,NCAA_Bets[Result],"W")&amp;"-"&amp;COUNTIFS(NCAA_Bets[Version],Y6,NCAA_Bets[Result],"L")&amp;IF(COUNTIFS(NCAA_Bets[Version],Y6,NCAA_Bets[Result],"Push")&gt;0,"-"&amp;COUNTIFS(NCAA_Bets[Version],Y6,NCAA_Bets[Result],"Push"),"")</f>
        <v>16-20</v>
      </c>
      <c r="AA6" s="112">
        <f>COUNTIFS(NCAA_Bets[Version],Y6,NCAA_Bets[Result],"W")/(COUNTIFS(NCAA_Bets[Version],Y6,NCAA_Bets[Result],"L")+COUNTIFS(NCAA_Bets[Version],Y6,NCAA_Bets[Result],"W"))</f>
        <v>0.44444444444444442</v>
      </c>
      <c r="AB6" t="s">
        <v>794</v>
      </c>
    </row>
    <row r="7" spans="2:28" x14ac:dyDescent="0.25">
      <c r="B7" s="101">
        <f t="shared" si="1"/>
        <v>1</v>
      </c>
      <c r="C7" s="6">
        <v>43483</v>
      </c>
      <c r="D7" s="6" t="s">
        <v>298</v>
      </c>
      <c r="E7" s="7" t="s">
        <v>450</v>
      </c>
      <c r="F7" s="8" t="s">
        <v>445</v>
      </c>
      <c r="G7" s="66">
        <v>1</v>
      </c>
      <c r="H7" s="30">
        <v>-105</v>
      </c>
      <c r="I7" s="10" t="s">
        <v>7</v>
      </c>
      <c r="J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7"/>
      <c r="M7" s="71">
        <f t="shared" si="0"/>
        <v>43487</v>
      </c>
      <c r="N7" s="71" t="str">
        <f>IFERROR(VLOOKUP(M7,NCAA_Bets[[Date]:[Version]],2,0),"")</f>
        <v>v1.0</v>
      </c>
      <c r="O7" s="94" t="str">
        <f>COUNTIFS(NCAA_Bets[Date],M7,NCAA_Bets[Result],"W")&amp;"-"&amp;COUNTIFS(NCAA_Bets[Date],M7,NCAA_Bets[Result],"L")&amp;IF(COUNTIFS(NCAA_Bets[Date],M7,NCAA_Bets[Result],"Push")&gt;0,"-"&amp;COUNTIFS(NCAA_Bets[Date],M7,NCAA_Bets[Result],"Push"),"")</f>
        <v>7-9</v>
      </c>
      <c r="P7" s="90">
        <f>SUMIF(NCAA_Bets[Date],M7,NCAA_Bets[Winnings])-SUMIF(NCAA_Bets[Date],M7,NCAA_Bets[Risk])</f>
        <v>-5.5098814229248987</v>
      </c>
      <c r="Q7" s="89" t="str">
        <f>IFERROR("("&amp;ROUND((SUMIF(NCAA_Bets[Date],M7,NCAA_Bets[Winnings])-SUMIF(NCAA_Bets[Date],M7,NCAA_Bets[Risk]))/SUMIF(NCAA_Bets[Date],M7,NCAA_Bets[Risk]),2)*100&amp;"%)","")</f>
        <v>(-17%)</v>
      </c>
      <c r="S7" s="92" t="s">
        <v>506</v>
      </c>
      <c r="T7" s="116" t="s">
        <v>49</v>
      </c>
      <c r="U7" s="43" t="str">
        <f>COUNTIFS(NCAA_Bets[Bet Type],S7,NCAA_Bets[Result],"W")&amp;"-"&amp;COUNTIFS(NCAA_Bets[Bet Type],S7,NCAA_Bets[Result],"L")&amp;IF(COUNTIFS(NCAA_Bets[Bet Type],S7,NCAA_Bets[Result],"Push")&gt;0,"-"&amp;COUNTIFS(NCAA_Bets[Bet Type],S7,NCAA_Bets[Result],"Push"),"")&amp;" ("&amp;ROUND(COUNTIFS(NCAA_Bets[Bet Type],S7,NCAA_Bets[Result],"W")/(COUNTIFS(NCAA_Bets[Bet Type],S7,NCAA_Bets[Result],"W")+COUNTIFS(NCAA_Bets[Bet Type],S7,NCAA_Bets[Result],"L"))*100,1)&amp;"%)"</f>
        <v>53-52-2 (50.5%)</v>
      </c>
      <c r="V7" s="125">
        <f>SUMIF(NCAA_Bets[Bet Type],S7,NCAA_Bets[Winnings])-SUMIF(NCAA_Bets[Bet Type],S7,NCAA_Bets[Risk])</f>
        <v>55.514022209674749</v>
      </c>
      <c r="W7" s="126" t="str">
        <f>IFERROR("("&amp;ROUND((SUMIF(NCAA_Bets[Bet Type],S7,NCAA_Bets[Winnings])-SUMIF(NCAA_Bets[Bet Type],S7,NCAA_Bets[Risk]))/SUMIF(NCAA_Bets[Bet Type],S7,NCAA_Bets[Risk]),2)*100&amp;"%)","")</f>
        <v>(12%)</v>
      </c>
      <c r="Y7" t="s">
        <v>957</v>
      </c>
      <c r="Z7" t="str">
        <f>COUNTIFS(NCAA_Bets[Version],Y7,NCAA_Bets[Result],"W")&amp;"-"&amp;COUNTIFS(NCAA_Bets[Version],Y7,NCAA_Bets[Result],"L")&amp;IF(COUNTIFS(NCAA_Bets[Version],Y7,NCAA_Bets[Result],"Push")&gt;0,"-"&amp;COUNTIFS(NCAA_Bets[Version],Y7,NCAA_Bets[Result],"Push"),"")</f>
        <v>40-35-2</v>
      </c>
      <c r="AA7" s="112">
        <f>COUNTIFS(NCAA_Bets[Version],Y7,NCAA_Bets[Result],"W")/(COUNTIFS(NCAA_Bets[Version],Y7,NCAA_Bets[Result],"L")+COUNTIFS(NCAA_Bets[Version],Y7,NCAA_Bets[Result],"W"))</f>
        <v>0.53333333333333333</v>
      </c>
      <c r="AB7" t="s">
        <v>958</v>
      </c>
    </row>
    <row r="8" spans="2:28" x14ac:dyDescent="0.25">
      <c r="B8" s="101">
        <f t="shared" si="1"/>
        <v>1</v>
      </c>
      <c r="C8" s="6">
        <v>43483</v>
      </c>
      <c r="D8" s="6" t="s">
        <v>298</v>
      </c>
      <c r="E8" s="7" t="s">
        <v>451</v>
      </c>
      <c r="F8" s="8" t="s">
        <v>446</v>
      </c>
      <c r="G8" s="66">
        <v>1</v>
      </c>
      <c r="H8" s="30">
        <v>-110</v>
      </c>
      <c r="I8" s="10" t="s">
        <v>69</v>
      </c>
      <c r="J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</v>
      </c>
      <c r="K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8"/>
      <c r="M8" s="71">
        <f t="shared" si="0"/>
        <v>43489</v>
      </c>
      <c r="N8" s="71" t="str">
        <f>IFERROR(VLOOKUP(M8,NCAA_Bets[[Date]:[Version]],2,0),"")</f>
        <v>v1.0</v>
      </c>
      <c r="O8" s="94" t="str">
        <f>COUNTIFS(NCAA_Bets[Date],M8,NCAA_Bets[Result],"W")&amp;"-"&amp;COUNTIFS(NCAA_Bets[Date],M8,NCAA_Bets[Result],"L")&amp;IF(COUNTIFS(NCAA_Bets[Date],M8,NCAA_Bets[Result],"Push")&gt;0,"-"&amp;COUNTIFS(NCAA_Bets[Date],M8,NCAA_Bets[Result],"Push"),"")</f>
        <v>7-4</v>
      </c>
      <c r="P8" s="90">
        <f>SUMIF(NCAA_Bets[Date],M8,NCAA_Bets[Winnings])-SUMIF(NCAA_Bets[Date],M8,NCAA_Bets[Risk])</f>
        <v>4.8138528138528187</v>
      </c>
      <c r="Q8" s="89" t="str">
        <f>IFERROR("("&amp;ROUND((SUMIF(NCAA_Bets[Date],M8,NCAA_Bets[Winnings])-SUMIF(NCAA_Bets[Date],M8,NCAA_Bets[Risk]))/SUMIF(NCAA_Bets[Date],M8,NCAA_Bets[Risk]),2)*100&amp;"%)","")</f>
        <v>(22%)</v>
      </c>
      <c r="S8" s="92" t="s">
        <v>469</v>
      </c>
      <c r="T8" s="116" t="s">
        <v>429</v>
      </c>
      <c r="U8" s="43" t="str">
        <f>COUNTIFS(NCAA_Bets[Bet Type],S8,NCAA_Bets[Result],"W")&amp;"-"&amp;COUNTIFS(NCAA_Bets[Bet Type],S8,NCAA_Bets[Result],"L")&amp;IF(COUNTIFS(NCAA_Bets[Bet Type],S8,NCAA_Bets[Result],"Push")&gt;0,"-"&amp;COUNTIFS(NCAA_Bets[Bet Type],S8,NCAA_Bets[Result],"Push"),"")&amp;" ("&amp;ROUND(COUNTIFS(NCAA_Bets[Bet Type],S8,NCAA_Bets[Result],"W")/(COUNTIFS(NCAA_Bets[Bet Type],S8,NCAA_Bets[Result],"W")+COUNTIFS(NCAA_Bets[Bet Type],S8,NCAA_Bets[Result],"L"))*100,1)&amp;"%)"</f>
        <v>31-37-1 (45.6%)</v>
      </c>
      <c r="V8" s="125">
        <f>SUMIF(NCAA_Bets[Bet Type],S8,NCAA_Bets[Winnings])-SUMIF(NCAA_Bets[Bet Type],S8,NCAA_Bets[Risk])</f>
        <v>-49.079757199322444</v>
      </c>
      <c r="W8" s="126" t="str">
        <f>IFERROR("("&amp;ROUND((SUMIF(NCAA_Bets[Bet Type],S8,NCAA_Bets[Winnings])-SUMIF(NCAA_Bets[Bet Type],S8,NCAA_Bets[Risk]))/SUMIF(NCAA_Bets[Bet Type],S8,NCAA_Bets[Risk]),2)*100&amp;"%)","")</f>
        <v>(-22%)</v>
      </c>
      <c r="Y8" t="s">
        <v>297</v>
      </c>
      <c r="Z8" t="str">
        <f>COUNTIFS(NCAA_Bets[Version],Y8,NCAA_Bets[Result],"W")&amp;"-"&amp;COUNTIFS(NCAA_Bets[Version],Y8,NCAA_Bets[Result],"L")&amp;IF(COUNTIFS(NCAA_Bets[Version],Y8,NCAA_Bets[Result],"Push")&gt;0,"-"&amp;COUNTIFS(NCAA_Bets[Version],Y8,NCAA_Bets[Result],"Push"),"")</f>
        <v>20-34</v>
      </c>
      <c r="AA8" s="112">
        <f>COUNTIFS(NCAA_Bets[Version],Y8,NCAA_Bets[Result],"W")/(COUNTIFS(NCAA_Bets[Version],Y8,NCAA_Bets[Result],"L")+COUNTIFS(NCAA_Bets[Version],Y8,NCAA_Bets[Result],"W"))</f>
        <v>0.37037037037037035</v>
      </c>
      <c r="AB8" t="s">
        <v>1047</v>
      </c>
    </row>
    <row r="9" spans="2:28" x14ac:dyDescent="0.25">
      <c r="B9" s="101">
        <f t="shared" si="1"/>
        <v>1</v>
      </c>
      <c r="C9" s="6">
        <v>43483</v>
      </c>
      <c r="D9" s="6" t="s">
        <v>298</v>
      </c>
      <c r="E9" s="7" t="s">
        <v>452</v>
      </c>
      <c r="F9" s="8" t="s">
        <v>447</v>
      </c>
      <c r="G9" s="66">
        <v>1</v>
      </c>
      <c r="H9" s="30">
        <v>-110</v>
      </c>
      <c r="I9" s="10" t="s">
        <v>37</v>
      </c>
      <c r="J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1.9090909090909092</v>
      </c>
      <c r="K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9"/>
      <c r="M9" s="71">
        <f t="shared" si="0"/>
        <v>43490</v>
      </c>
      <c r="N9" s="71" t="str">
        <f>IFERROR(VLOOKUP(M9,NCAA_Bets[[Date]:[Version]],2,0),"")</f>
        <v>v1.0</v>
      </c>
      <c r="O9" s="94" t="str">
        <f>COUNTIFS(NCAA_Bets[Date],M9,NCAA_Bets[Result],"W")&amp;"-"&amp;COUNTIFS(NCAA_Bets[Date],M9,NCAA_Bets[Result],"L")&amp;IF(COUNTIFS(NCAA_Bets[Date],M9,NCAA_Bets[Result],"Push")&gt;0,"-"&amp;COUNTIFS(NCAA_Bets[Date],M9,NCAA_Bets[Result],"Push"),"")</f>
        <v>9-4</v>
      </c>
      <c r="P9" s="90">
        <f>SUMIF(NCAA_Bets[Date],M9,NCAA_Bets[Winnings])-SUMIF(NCAA_Bets[Date],M9,NCAA_Bets[Risk])</f>
        <v>8.2996423865989115</v>
      </c>
      <c r="Q9" s="89" t="str">
        <f>IFERROR("("&amp;ROUND((SUMIF(NCAA_Bets[Date],M9,NCAA_Bets[Winnings])-SUMIF(NCAA_Bets[Date],M9,NCAA_Bets[Risk]))/SUMIF(NCAA_Bets[Date],M9,NCAA_Bets[Risk]),2)*100&amp;"%)","")</f>
        <v>(32%)</v>
      </c>
      <c r="S9" s="92" t="s">
        <v>988</v>
      </c>
      <c r="T9" s="116" t="s">
        <v>986</v>
      </c>
      <c r="U9" s="43" t="str">
        <f>COUNTIFS(NCAA_Bets[Bet Type],S9,NCAA_Bets[Result],"W")&amp;"-"&amp;COUNTIFS(NCAA_Bets[Bet Type],S9,NCAA_Bets[Result],"L")&amp;IF(COUNTIFS(NCAA_Bets[Bet Type],S9,NCAA_Bets[Result],"Push")&gt;0,"-"&amp;COUNTIFS(NCAA_Bets[Bet Type],S9,NCAA_Bets[Result],"Push"),"")&amp;" ("&amp;ROUND(COUNTIFS(NCAA_Bets[Bet Type],S9,NCAA_Bets[Result],"W")/(COUNTIFS(NCAA_Bets[Bet Type],S9,NCAA_Bets[Result],"W")+COUNTIFS(NCAA_Bets[Bet Type],S9,NCAA_Bets[Result],"L"))*100,1)&amp;"%)"</f>
        <v>9-10 (47.4%)</v>
      </c>
      <c r="V9" s="125">
        <f>SUMIF(NCAA_Bets[Bet Type],S9,NCAA_Bets[Winnings])-SUMIF(NCAA_Bets[Bet Type],S9,NCAA_Bets[Risk])</f>
        <v>-14.403903903903895</v>
      </c>
      <c r="W9" s="126" t="str">
        <f>IFERROR("("&amp;ROUND((SUMIF(NCAA_Bets[Bet Type],S9,NCAA_Bets[Winnings])-SUMIF(NCAA_Bets[Bet Type],S9,NCAA_Bets[Risk]))/SUMIF(NCAA_Bets[Bet Type],S9,NCAA_Bets[Risk]),2)*100&amp;"%)","")</f>
        <v>(-23%)</v>
      </c>
    </row>
    <row r="10" spans="2:28" x14ac:dyDescent="0.25">
      <c r="B10" s="101">
        <f t="shared" si="1"/>
        <v>1</v>
      </c>
      <c r="C10" s="6">
        <v>43483</v>
      </c>
      <c r="D10" s="6" t="s">
        <v>298</v>
      </c>
      <c r="E10" s="7" t="s">
        <v>453</v>
      </c>
      <c r="F10" s="8" t="s">
        <v>448</v>
      </c>
      <c r="G10" s="66">
        <v>1</v>
      </c>
      <c r="H10" s="30">
        <v>-110</v>
      </c>
      <c r="I10" s="10" t="s">
        <v>37</v>
      </c>
      <c r="J1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1.9090909090909092</v>
      </c>
      <c r="K1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0"/>
      <c r="M10" s="71">
        <f t="shared" si="0"/>
        <v>43491</v>
      </c>
      <c r="N10" s="71" t="str">
        <f>IFERROR(VLOOKUP(M10,NCAA_Bets[[Date]:[Version]],2,0),"")</f>
        <v>v1.0</v>
      </c>
      <c r="O10" s="94" t="str">
        <f>COUNTIFS(NCAA_Bets[Date],M10,NCAA_Bets[Result],"W")&amp;"-"&amp;COUNTIFS(NCAA_Bets[Date],M10,NCAA_Bets[Result],"L")&amp;IF(COUNTIFS(NCAA_Bets[Date],M10,NCAA_Bets[Result],"Push")&gt;0,"-"&amp;COUNTIFS(NCAA_Bets[Date],M10,NCAA_Bets[Result],"Push"),"")</f>
        <v>4-3</v>
      </c>
      <c r="P10" s="90">
        <f>SUMIF(NCAA_Bets[Date],M10,NCAA_Bets[Winnings])-SUMIF(NCAA_Bets[Date],M10,NCAA_Bets[Risk])</f>
        <v>7.5296442687747103</v>
      </c>
      <c r="Q10" s="89" t="str">
        <f>IFERROR("("&amp;ROUND((SUMIF(NCAA_Bets[Date],M10,NCAA_Bets[Winnings])-SUMIF(NCAA_Bets[Date],M10,NCAA_Bets[Risk]))/SUMIF(NCAA_Bets[Date],M10,NCAA_Bets[Risk]),2)*100&amp;"%)","")</f>
        <v>(19%)</v>
      </c>
      <c r="S10" s="92" t="s">
        <v>989</v>
      </c>
      <c r="T10" s="116" t="s">
        <v>987</v>
      </c>
      <c r="U10" s="43" t="str">
        <f>COUNTIFS(NCAA_Bets[Bet Type],S10,NCAA_Bets[Result],"W")&amp;"-"&amp;COUNTIFS(NCAA_Bets[Bet Type],S10,NCAA_Bets[Result],"L")&amp;IF(COUNTIFS(NCAA_Bets[Bet Type],S10,NCAA_Bets[Result],"Push")&gt;0,"-"&amp;COUNTIFS(NCAA_Bets[Bet Type],S10,NCAA_Bets[Result],"Push"),"")&amp;" ("&amp;ROUND(COUNTIFS(NCAA_Bets[Bet Type],S10,NCAA_Bets[Result],"W")/(COUNTIFS(NCAA_Bets[Bet Type],S10,NCAA_Bets[Result],"W")+COUNTIFS(NCAA_Bets[Bet Type],S10,NCAA_Bets[Result],"L"))*100,1)&amp;"%)"</f>
        <v>1-6 (14.3%)</v>
      </c>
      <c r="V10" s="125">
        <f>SUMIF(NCAA_Bets[Bet Type],S10,NCAA_Bets[Winnings])-SUMIF(NCAA_Bets[Bet Type],S10,NCAA_Bets[Risk])</f>
        <v>-26</v>
      </c>
      <c r="W10" s="126" t="str">
        <f>IFERROR("("&amp;ROUND((SUMIF(NCAA_Bets[Bet Type],S10,NCAA_Bets[Winnings])-SUMIF(NCAA_Bets[Bet Type],S10,NCAA_Bets[Risk]))/SUMIF(NCAA_Bets[Bet Type],S10,NCAA_Bets[Risk]),2)*100&amp;"%)","")</f>
        <v>(-100%)</v>
      </c>
    </row>
    <row r="11" spans="2:28" x14ac:dyDescent="0.25">
      <c r="B11" s="101">
        <f t="shared" si="1"/>
        <v>2</v>
      </c>
      <c r="C11" s="6">
        <v>43486</v>
      </c>
      <c r="D11" s="6" t="s">
        <v>298</v>
      </c>
      <c r="E11" s="7" t="s">
        <v>473</v>
      </c>
      <c r="F11" s="8" t="s">
        <v>474</v>
      </c>
      <c r="G11" s="66">
        <v>2</v>
      </c>
      <c r="H11" s="107">
        <v>-110</v>
      </c>
      <c r="I11" s="10" t="s">
        <v>37</v>
      </c>
      <c r="J1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1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1"/>
      <c r="M11" s="71">
        <f t="shared" si="0"/>
        <v>43493</v>
      </c>
      <c r="N11" s="71" t="str">
        <f>IFERROR(VLOOKUP(M11,NCAA_Bets[[Date]:[Version]],2,0),"")</f>
        <v>v1.0</v>
      </c>
      <c r="O11" s="94" t="str">
        <f>COUNTIFS(NCAA_Bets[Date],M11,NCAA_Bets[Result],"W")&amp;"-"&amp;COUNTIFS(NCAA_Bets[Date],M11,NCAA_Bets[Result],"L")&amp;IF(COUNTIFS(NCAA_Bets[Date],M11,NCAA_Bets[Result],"Push")&gt;0,"-"&amp;COUNTIFS(NCAA_Bets[Date],M11,NCAA_Bets[Result],"Push"),"")</f>
        <v>8-3</v>
      </c>
      <c r="P11" s="90">
        <f>SUMIF(NCAA_Bets[Date],M11,NCAA_Bets[Winnings])-SUMIF(NCAA_Bets[Date],M11,NCAA_Bets[Risk])</f>
        <v>21.401279879540752</v>
      </c>
      <c r="Q11" s="89" t="str">
        <f>IFERROR("("&amp;ROUND((SUMIF(NCAA_Bets[Date],M11,NCAA_Bets[Winnings])-SUMIF(NCAA_Bets[Date],M11,NCAA_Bets[Risk]))/SUMIF(NCAA_Bets[Date],M11,NCAA_Bets[Risk]),2)*100&amp;"%)","")</f>
        <v>(39%)</v>
      </c>
      <c r="S11" s="92" t="s">
        <v>867</v>
      </c>
      <c r="T11" s="116" t="s">
        <v>985</v>
      </c>
      <c r="U11" s="43" t="str">
        <f>COUNTIFS(NCAA_Bets[Bet Type],S11,NCAA_Bets[Result],"W")&amp;"-"&amp;COUNTIFS(NCAA_Bets[Bet Type],S11,NCAA_Bets[Result],"L")&amp;IF(COUNTIFS(NCAA_Bets[Bet Type],S11,NCAA_Bets[Result],"Push")&gt;0,"-"&amp;COUNTIFS(NCAA_Bets[Bet Type],S11,NCAA_Bets[Result],"Push"),"")&amp;" ("&amp;ROUND(COUNTIFS(NCAA_Bets[Bet Type],S11,NCAA_Bets[Result],"W")/(COUNTIFS(NCAA_Bets[Bet Type],S11,NCAA_Bets[Result],"W")+COUNTIFS(NCAA_Bets[Bet Type],S11,NCAA_Bets[Result],"L"))*100,1)&amp;"%)"</f>
        <v>2-3 (40%)</v>
      </c>
      <c r="V11" s="125">
        <f>SUMIF(NCAA_Bets[Bet Type],S11,NCAA_Bets[Winnings])-SUMIF(NCAA_Bets[Bet Type],S11,NCAA_Bets[Risk])</f>
        <v>38.888400000000004</v>
      </c>
      <c r="W11" s="126" t="str">
        <f>IFERROR("("&amp;ROUND((SUMIF(NCAA_Bets[Bet Type],S11,NCAA_Bets[Winnings])-SUMIF(NCAA_Bets[Bet Type],S11,NCAA_Bets[Risk]))/SUMIF(NCAA_Bets[Bet Type],S11,NCAA_Bets[Risk]),2)*100&amp;"%)","")</f>
        <v>(267%)</v>
      </c>
    </row>
    <row r="12" spans="2:28" x14ac:dyDescent="0.25">
      <c r="B12" s="101">
        <f t="shared" si="1"/>
        <v>2</v>
      </c>
      <c r="C12" s="6">
        <v>43486</v>
      </c>
      <c r="D12" s="6" t="s">
        <v>298</v>
      </c>
      <c r="E12" s="7" t="s">
        <v>473</v>
      </c>
      <c r="F12" s="8" t="s">
        <v>475</v>
      </c>
      <c r="G12" s="66">
        <v>2</v>
      </c>
      <c r="H12" s="107">
        <v>-105</v>
      </c>
      <c r="I12" s="10" t="s">
        <v>37</v>
      </c>
      <c r="J1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1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2"/>
      <c r="M12" s="71">
        <f t="shared" si="0"/>
        <v>43494</v>
      </c>
      <c r="N12" s="71" t="str">
        <f>IFERROR(VLOOKUP(M12,NCAA_Bets[[Date]:[Version]],2,0),"")</f>
        <v>v1.0</v>
      </c>
      <c r="O12" s="94" t="str">
        <f>COUNTIFS(NCAA_Bets[Date],M12,NCAA_Bets[Result],"W")&amp;"-"&amp;COUNTIFS(NCAA_Bets[Date],M12,NCAA_Bets[Result],"L")&amp;IF(COUNTIFS(NCAA_Bets[Date],M12,NCAA_Bets[Result],"Push")&gt;0,"-"&amp;COUNTIFS(NCAA_Bets[Date],M12,NCAA_Bets[Result],"Push"),"")</f>
        <v>7-4-1</v>
      </c>
      <c r="P12" s="90">
        <f>SUMIF(NCAA_Bets[Date],M12,NCAA_Bets[Winnings])-SUMIF(NCAA_Bets[Date],M12,NCAA_Bets[Risk])</f>
        <v>11.441746659137976</v>
      </c>
      <c r="Q12" s="89" t="str">
        <f>IFERROR("("&amp;ROUND((SUMIF(NCAA_Bets[Date],M12,NCAA_Bets[Winnings])-SUMIF(NCAA_Bets[Date],M12,NCAA_Bets[Risk]))/SUMIF(NCAA_Bets[Date],M12,NCAA_Bets[Risk]),2)*100&amp;"%)","")</f>
        <v>(19%)</v>
      </c>
    </row>
    <row r="13" spans="2:28" x14ac:dyDescent="0.25">
      <c r="B13" s="101">
        <f t="shared" si="1"/>
        <v>2</v>
      </c>
      <c r="C13" s="6">
        <v>43486</v>
      </c>
      <c r="D13" s="6" t="s">
        <v>298</v>
      </c>
      <c r="E13" s="7" t="s">
        <v>476</v>
      </c>
      <c r="F13" s="8" t="s">
        <v>477</v>
      </c>
      <c r="G13" s="66">
        <v>2</v>
      </c>
      <c r="H13" s="107">
        <v>-110</v>
      </c>
      <c r="I13" s="10" t="s">
        <v>7</v>
      </c>
      <c r="J1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13"/>
      <c r="M13" s="71">
        <f t="shared" si="0"/>
        <v>43495</v>
      </c>
      <c r="N13" s="71" t="str">
        <f>IFERROR(VLOOKUP(M13,NCAA_Bets[[Date]:[Version]],2,0),"")</f>
        <v>v1.0</v>
      </c>
      <c r="O13" s="94" t="str">
        <f>COUNTIFS(NCAA_Bets[Date],M13,NCAA_Bets[Result],"W")&amp;"-"&amp;COUNTIFS(NCAA_Bets[Date],M13,NCAA_Bets[Result],"L")&amp;IF(COUNTIFS(NCAA_Bets[Date],M13,NCAA_Bets[Result],"Push")&gt;0,"-"&amp;COUNTIFS(NCAA_Bets[Date],M13,NCAA_Bets[Result],"Push"),"")</f>
        <v>9-8</v>
      </c>
      <c r="P13" s="90">
        <f>SUMIF(NCAA_Bets[Date],M13,NCAA_Bets[Winnings])-SUMIF(NCAA_Bets[Date],M13,NCAA_Bets[Risk])</f>
        <v>0.74910596649728234</v>
      </c>
      <c r="Q13" s="89" t="str">
        <f>IFERROR("("&amp;ROUND((SUMIF(NCAA_Bets[Date],M13,NCAA_Bets[Winnings])-SUMIF(NCAA_Bets[Date],M13,NCAA_Bets[Risk]))/SUMIF(NCAA_Bets[Date],M13,NCAA_Bets[Risk]),2)*100&amp;"%)","")</f>
        <v>(1%)</v>
      </c>
    </row>
    <row r="14" spans="2:28" x14ac:dyDescent="0.25">
      <c r="B14" s="101">
        <f t="shared" si="1"/>
        <v>2</v>
      </c>
      <c r="C14" s="6">
        <v>43486</v>
      </c>
      <c r="D14" s="6" t="s">
        <v>298</v>
      </c>
      <c r="E14" s="7" t="s">
        <v>476</v>
      </c>
      <c r="F14" s="8" t="s">
        <v>478</v>
      </c>
      <c r="G14" s="66">
        <v>2</v>
      </c>
      <c r="H14" s="107">
        <v>-110</v>
      </c>
      <c r="I14" s="10" t="s">
        <v>7</v>
      </c>
      <c r="J1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4"/>
      <c r="M14" s="71">
        <f t="shared" si="0"/>
        <v>43496</v>
      </c>
      <c r="N14" s="71" t="str">
        <f>IFERROR(VLOOKUP(M14,NCAA_Bets[[Date]:[Version]],2,0),"")</f>
        <v>v1.0</v>
      </c>
      <c r="O14" s="94" t="str">
        <f>COUNTIFS(NCAA_Bets[Date],M14,NCAA_Bets[Result],"W")&amp;"-"&amp;COUNTIFS(NCAA_Bets[Date],M14,NCAA_Bets[Result],"L")&amp;IF(COUNTIFS(NCAA_Bets[Date],M14,NCAA_Bets[Result],"Push")&gt;0,"-"&amp;COUNTIFS(NCAA_Bets[Date],M14,NCAA_Bets[Result],"Push"),"")</f>
        <v>6-7-1</v>
      </c>
      <c r="P14" s="90">
        <f>SUMIF(NCAA_Bets[Date],M14,NCAA_Bets[Winnings])-SUMIF(NCAA_Bets[Date],M14,NCAA_Bets[Risk])</f>
        <v>-7.7272727272727195</v>
      </c>
      <c r="Q14" s="89" t="str">
        <f>IFERROR("("&amp;ROUND((SUMIF(NCAA_Bets[Date],M14,NCAA_Bets[Winnings])-SUMIF(NCAA_Bets[Date],M14,NCAA_Bets[Risk]))/SUMIF(NCAA_Bets[Date],M14,NCAA_Bets[Risk]),2)*100&amp;"%)","")</f>
        <v>(-11%)</v>
      </c>
    </row>
    <row r="15" spans="2:28" x14ac:dyDescent="0.25">
      <c r="B15" s="101">
        <f t="shared" si="1"/>
        <v>2</v>
      </c>
      <c r="C15" s="6">
        <v>43486</v>
      </c>
      <c r="D15" s="6" t="s">
        <v>298</v>
      </c>
      <c r="E15" s="7" t="s">
        <v>479</v>
      </c>
      <c r="F15" s="8" t="s">
        <v>480</v>
      </c>
      <c r="G15" s="66">
        <v>2</v>
      </c>
      <c r="H15" s="107">
        <v>-110</v>
      </c>
      <c r="I15" s="10" t="s">
        <v>37</v>
      </c>
      <c r="J1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1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15"/>
      <c r="M15" s="71">
        <f t="shared" si="0"/>
        <v>43497</v>
      </c>
      <c r="N15" s="71" t="str">
        <f>IFERROR(VLOOKUP(M15,NCAA_Bets[[Date]:[Version]],2,0),"")</f>
        <v>v1.0</v>
      </c>
      <c r="O15" s="94" t="str">
        <f>COUNTIFS(NCAA_Bets[Date],M15,NCAA_Bets[Result],"W")&amp;"-"&amp;COUNTIFS(NCAA_Bets[Date],M15,NCAA_Bets[Result],"L")&amp;IF(COUNTIFS(NCAA_Bets[Date],M15,NCAA_Bets[Result],"Push")&gt;0,"-"&amp;COUNTIFS(NCAA_Bets[Date],M15,NCAA_Bets[Result],"Push"),"")</f>
        <v>8-13</v>
      </c>
      <c r="P15" s="90">
        <f>SUMIF(NCAA_Bets[Date],M15,NCAA_Bets[Winnings])-SUMIF(NCAA_Bets[Date],M15,NCAA_Bets[Risk])</f>
        <v>-28.748917748917748</v>
      </c>
      <c r="Q15" s="89" t="str">
        <f>IFERROR("("&amp;ROUND((SUMIF(NCAA_Bets[Date],M15,NCAA_Bets[Winnings])-SUMIF(NCAA_Bets[Date],M15,NCAA_Bets[Risk]))/SUMIF(NCAA_Bets[Date],M15,NCAA_Bets[Risk]),2)*100&amp;"%)","")</f>
        <v>(-27%)</v>
      </c>
    </row>
    <row r="16" spans="2:28" x14ac:dyDescent="0.25">
      <c r="B16" s="101">
        <f t="shared" si="1"/>
        <v>2</v>
      </c>
      <c r="C16" s="6">
        <v>43486</v>
      </c>
      <c r="D16" s="6" t="s">
        <v>298</v>
      </c>
      <c r="E16" s="7" t="s">
        <v>479</v>
      </c>
      <c r="F16" s="8" t="s">
        <v>481</v>
      </c>
      <c r="G16" s="66">
        <v>2</v>
      </c>
      <c r="H16" s="107">
        <v>-105</v>
      </c>
      <c r="I16" s="10" t="s">
        <v>7</v>
      </c>
      <c r="J1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6"/>
      <c r="M16" s="71">
        <f t="shared" si="0"/>
        <v>43500</v>
      </c>
      <c r="N16" s="71" t="str">
        <f>IFERROR(VLOOKUP(M16,NCAA_Bets[[Date]:[Version]],2,0),"")</f>
        <v>v1.0</v>
      </c>
      <c r="O16" s="94" t="str">
        <f>COUNTIFS(NCAA_Bets[Date],M16,NCAA_Bets[Result],"W")&amp;"-"&amp;COUNTIFS(NCAA_Bets[Date],M16,NCAA_Bets[Result],"L")&amp;IF(COUNTIFS(NCAA_Bets[Date],M16,NCAA_Bets[Result],"Push")&gt;0,"-"&amp;COUNTIFS(NCAA_Bets[Date],M16,NCAA_Bets[Result],"Push"),"")</f>
        <v>7-7-1</v>
      </c>
      <c r="P16" s="90">
        <f>SUMIF(NCAA_Bets[Date],M16,NCAA_Bets[Winnings])-SUMIF(NCAA_Bets[Date],M16,NCAA_Bets[Risk])</f>
        <v>-6.9148001756697255</v>
      </c>
      <c r="Q16" s="89" t="str">
        <f>IFERROR("("&amp;ROUND((SUMIF(NCAA_Bets[Date],M16,NCAA_Bets[Winnings])-SUMIF(NCAA_Bets[Date],M16,NCAA_Bets[Risk]))/SUMIF(NCAA_Bets[Date],M16,NCAA_Bets[Risk]),2)*100&amp;"%)","")</f>
        <v>(-9%)</v>
      </c>
    </row>
    <row r="17" spans="2:17" x14ac:dyDescent="0.25">
      <c r="B17" s="101">
        <f t="shared" si="1"/>
        <v>2</v>
      </c>
      <c r="C17" s="6">
        <v>43486</v>
      </c>
      <c r="D17" s="6" t="s">
        <v>298</v>
      </c>
      <c r="E17" s="7" t="s">
        <v>482</v>
      </c>
      <c r="F17" s="8" t="s">
        <v>483</v>
      </c>
      <c r="G17" s="66">
        <v>2</v>
      </c>
      <c r="H17" s="107">
        <v>-110</v>
      </c>
      <c r="I17" s="10" t="s">
        <v>7</v>
      </c>
      <c r="J1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7"/>
      <c r="M17" s="71">
        <f t="shared" si="0"/>
        <v>43502</v>
      </c>
      <c r="N17" s="71" t="str">
        <f>IFERROR(VLOOKUP(M17,NCAA_Bets[[Date]:[Version]],2,0),"")</f>
        <v>v1.1</v>
      </c>
      <c r="O17" s="94" t="str">
        <f>COUNTIFS(NCAA_Bets[Date],M17,NCAA_Bets[Result],"W")&amp;"-"&amp;COUNTIFS(NCAA_Bets[Date],M17,NCAA_Bets[Result],"L")&amp;IF(COUNTIFS(NCAA_Bets[Date],M17,NCAA_Bets[Result],"Push")&gt;0,"-"&amp;COUNTIFS(NCAA_Bets[Date],M17,NCAA_Bets[Result],"Push"),"")</f>
        <v>8-8</v>
      </c>
      <c r="P17" s="90">
        <f>SUMIF(NCAA_Bets[Date],M17,NCAA_Bets[Winnings])-SUMIF(NCAA_Bets[Date],M17,NCAA_Bets[Risk])</f>
        <v>-7.5481523307610274</v>
      </c>
      <c r="Q17" s="89" t="str">
        <f>IFERROR("("&amp;ROUND((SUMIF(NCAA_Bets[Date],M17,NCAA_Bets[Winnings])-SUMIF(NCAA_Bets[Date],M17,NCAA_Bets[Risk]))/SUMIF(NCAA_Bets[Date],M17,NCAA_Bets[Risk]),2)*100&amp;"%)","")</f>
        <v>(-9%)</v>
      </c>
    </row>
    <row r="18" spans="2:17" x14ac:dyDescent="0.25">
      <c r="B18" s="101">
        <f t="shared" si="1"/>
        <v>2</v>
      </c>
      <c r="C18" s="6">
        <v>43486</v>
      </c>
      <c r="D18" s="6" t="s">
        <v>298</v>
      </c>
      <c r="E18" s="7" t="s">
        <v>482</v>
      </c>
      <c r="F18" s="8" t="s">
        <v>484</v>
      </c>
      <c r="G18" s="66">
        <v>2</v>
      </c>
      <c r="H18" s="107">
        <v>-110</v>
      </c>
      <c r="I18" s="10" t="s">
        <v>7</v>
      </c>
      <c r="J1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8"/>
      <c r="M18" s="71">
        <f t="shared" si="0"/>
        <v>43504</v>
      </c>
      <c r="N18" s="71" t="str">
        <f>IFERROR(VLOOKUP(M18,NCAA_Bets[[Date]:[Version]],2,0),"")</f>
        <v>v1.1</v>
      </c>
      <c r="O18" s="94" t="str">
        <f>COUNTIFS(NCAA_Bets[Date],M18,NCAA_Bets[Result],"W")&amp;"-"&amp;COUNTIFS(NCAA_Bets[Date],M18,NCAA_Bets[Result],"L")&amp;IF(COUNTIFS(NCAA_Bets[Date],M18,NCAA_Bets[Result],"Push")&gt;0,"-"&amp;COUNTIFS(NCAA_Bets[Date],M18,NCAA_Bets[Result],"Push"),"")</f>
        <v>8-12</v>
      </c>
      <c r="P18" s="90">
        <f>SUMIF(NCAA_Bets[Date],M18,NCAA_Bets[Winnings])-SUMIF(NCAA_Bets[Date],M18,NCAA_Bets[Risk])</f>
        <v>-10.796180709224188</v>
      </c>
      <c r="Q18" s="89" t="str">
        <f>IFERROR("("&amp;ROUND((SUMIF(NCAA_Bets[Date],M18,NCAA_Bets[Winnings])-SUMIF(NCAA_Bets[Date],M18,NCAA_Bets[Risk]))/SUMIF(NCAA_Bets[Date],M18,NCAA_Bets[Risk]),2)*100&amp;"%)","")</f>
        <v>(-27%)</v>
      </c>
    </row>
    <row r="19" spans="2:17" x14ac:dyDescent="0.25">
      <c r="B19" s="101">
        <f t="shared" si="1"/>
        <v>2</v>
      </c>
      <c r="C19" s="6">
        <v>43486</v>
      </c>
      <c r="D19" s="6" t="s">
        <v>298</v>
      </c>
      <c r="E19" s="7" t="s">
        <v>485</v>
      </c>
      <c r="F19" s="8" t="s">
        <v>486</v>
      </c>
      <c r="G19" s="66">
        <v>2</v>
      </c>
      <c r="H19" s="107">
        <v>-110</v>
      </c>
      <c r="I19" s="10" t="s">
        <v>37</v>
      </c>
      <c r="J1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1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19"/>
      <c r="M19" s="71">
        <f t="shared" si="0"/>
        <v>43507</v>
      </c>
      <c r="N19" s="71" t="str">
        <f>IFERROR(VLOOKUP(M19,NCAA_Bets[[Date]:[Version]],2,0),"")</f>
        <v>v1.2</v>
      </c>
      <c r="O19" s="94" t="str">
        <f>COUNTIFS(NCAA_Bets[Date],M19,NCAA_Bets[Result],"W")&amp;"-"&amp;COUNTIFS(NCAA_Bets[Date],M19,NCAA_Bets[Result],"L")&amp;IF(COUNTIFS(NCAA_Bets[Date],M19,NCAA_Bets[Result],"Push")&gt;0,"-"&amp;COUNTIFS(NCAA_Bets[Date],M19,NCAA_Bets[Result],"Push"),"")</f>
        <v>5-6</v>
      </c>
      <c r="P19" s="90">
        <f>SUMIF(NCAA_Bets[Date],M19,NCAA_Bets[Winnings])-SUMIF(NCAA_Bets[Date],M19,NCAA_Bets[Risk])</f>
        <v>-2.649350649350648</v>
      </c>
      <c r="Q19" s="89" t="str">
        <f>IFERROR("("&amp;ROUND((SUMIF(NCAA_Bets[Date],M19,NCAA_Bets[Winnings])-SUMIF(NCAA_Bets[Date],M19,NCAA_Bets[Risk]))/SUMIF(NCAA_Bets[Date],M19,NCAA_Bets[Risk]),2)*100&amp;"%)","")</f>
        <v>(-12%)</v>
      </c>
    </row>
    <row r="20" spans="2:17" x14ac:dyDescent="0.25">
      <c r="B20" s="101">
        <f t="shared" si="1"/>
        <v>2</v>
      </c>
      <c r="C20" s="6">
        <v>43486</v>
      </c>
      <c r="D20" s="6" t="s">
        <v>298</v>
      </c>
      <c r="E20" s="7" t="s">
        <v>485</v>
      </c>
      <c r="F20" s="8" t="s">
        <v>487</v>
      </c>
      <c r="G20" s="66">
        <v>2</v>
      </c>
      <c r="H20" s="107">
        <v>-110</v>
      </c>
      <c r="I20" s="10" t="s">
        <v>7</v>
      </c>
      <c r="J2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0" s="9"/>
      <c r="M20" s="71">
        <f t="shared" si="0"/>
        <v>43509</v>
      </c>
      <c r="N20" s="71" t="str">
        <f>IFERROR(VLOOKUP(M20,NCAA_Bets[[Date]:[Version]],2,0),"")</f>
        <v>v1.2</v>
      </c>
      <c r="O20" s="94" t="str">
        <f>COUNTIFS(NCAA_Bets[Date],M20,NCAA_Bets[Result],"W")&amp;"-"&amp;COUNTIFS(NCAA_Bets[Date],M20,NCAA_Bets[Result],"L")&amp;IF(COUNTIFS(NCAA_Bets[Date],M20,NCAA_Bets[Result],"Push")&gt;0,"-"&amp;COUNTIFS(NCAA_Bets[Date],M20,NCAA_Bets[Result],"Push"),"")</f>
        <v>7-5</v>
      </c>
      <c r="P20" s="90">
        <f>SUMIF(NCAA_Bets[Date],M20,NCAA_Bets[Winnings])-SUMIF(NCAA_Bets[Date],M20,NCAA_Bets[Risk])</f>
        <v>0</v>
      </c>
      <c r="Q20" s="89" t="str">
        <f>IFERROR("("&amp;ROUND((SUMIF(NCAA_Bets[Date],M20,NCAA_Bets[Winnings])-SUMIF(NCAA_Bets[Date],M20,NCAA_Bets[Risk]))/SUMIF(NCAA_Bets[Date],M20,NCAA_Bets[Risk]),2)*100&amp;"%)","")</f>
        <v/>
      </c>
    </row>
    <row r="21" spans="2:17" x14ac:dyDescent="0.25">
      <c r="B21" s="101">
        <f t="shared" si="1"/>
        <v>2</v>
      </c>
      <c r="C21" s="6">
        <v>43486</v>
      </c>
      <c r="D21" s="6" t="s">
        <v>298</v>
      </c>
      <c r="E21" s="7" t="s">
        <v>488</v>
      </c>
      <c r="F21" s="8" t="s">
        <v>489</v>
      </c>
      <c r="G21" s="66">
        <v>2</v>
      </c>
      <c r="H21" s="107">
        <v>-110</v>
      </c>
      <c r="I21" s="10" t="s">
        <v>37</v>
      </c>
      <c r="J2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1" s="9"/>
      <c r="M21" s="71">
        <f t="shared" si="0"/>
        <v>43510</v>
      </c>
      <c r="N21" s="71" t="str">
        <f>IFERROR(VLOOKUP(M21,NCAA_Bets[[Date]:[Version]],2,0),"")</f>
        <v>v1.2</v>
      </c>
      <c r="O21" s="94" t="str">
        <f>COUNTIFS(NCAA_Bets[Date],M21,NCAA_Bets[Result],"W")&amp;"-"&amp;COUNTIFS(NCAA_Bets[Date],M21,NCAA_Bets[Result],"L")&amp;IF(COUNTIFS(NCAA_Bets[Date],M21,NCAA_Bets[Result],"Push")&gt;0,"-"&amp;COUNTIFS(NCAA_Bets[Date],M21,NCAA_Bets[Result],"Push"),"")</f>
        <v>4-5</v>
      </c>
      <c r="P21" s="90">
        <f>SUMIF(NCAA_Bets[Date],M21,NCAA_Bets[Winnings])-SUMIF(NCAA_Bets[Date],M21,NCAA_Bets[Risk])</f>
        <v>-2.7987954074910597</v>
      </c>
      <c r="Q21" s="89" t="str">
        <f>IFERROR("("&amp;ROUND((SUMIF(NCAA_Bets[Date],M21,NCAA_Bets[Winnings])-SUMIF(NCAA_Bets[Date],M21,NCAA_Bets[Risk]))/SUMIF(NCAA_Bets[Date],M21,NCAA_Bets[Risk]),2)*100&amp;"%)","")</f>
        <v>(-16%)</v>
      </c>
    </row>
    <row r="22" spans="2:17" x14ac:dyDescent="0.25">
      <c r="B22" s="101">
        <f t="shared" si="1"/>
        <v>2</v>
      </c>
      <c r="C22" s="6">
        <v>43486</v>
      </c>
      <c r="D22" s="6" t="s">
        <v>298</v>
      </c>
      <c r="E22" s="7" t="s">
        <v>488</v>
      </c>
      <c r="F22" s="8" t="s">
        <v>490</v>
      </c>
      <c r="G22" s="66">
        <v>2</v>
      </c>
      <c r="H22" s="107">
        <v>-105</v>
      </c>
      <c r="I22" s="10" t="s">
        <v>7</v>
      </c>
      <c r="J2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2" s="9"/>
      <c r="M22" s="71">
        <f t="shared" si="0"/>
        <v>43514</v>
      </c>
      <c r="N22" s="71" t="str">
        <f>IFERROR(VLOOKUP(M22,NCAA_Bets[[Date]:[Version]],2,0),"")</f>
        <v>v1.2</v>
      </c>
      <c r="O22" s="94" t="str">
        <f>COUNTIFS(NCAA_Bets[Date],M22,NCAA_Bets[Result],"W")&amp;"-"&amp;COUNTIFS(NCAA_Bets[Date],M22,NCAA_Bets[Result],"L")&amp;IF(COUNTIFS(NCAA_Bets[Date],M22,NCAA_Bets[Result],"Push")&gt;0,"-"&amp;COUNTIFS(NCAA_Bets[Date],M22,NCAA_Bets[Result],"Push"),"")</f>
        <v>5-2</v>
      </c>
      <c r="P22" s="90">
        <f>SUMIF(NCAA_Bets[Date],M22,NCAA_Bets[Winnings])-SUMIF(NCAA_Bets[Date],M22,NCAA_Bets[Risk])</f>
        <v>2.0968379446640313</v>
      </c>
      <c r="Q22" s="89" t="str">
        <f>IFERROR("("&amp;ROUND((SUMIF(NCAA_Bets[Date],M22,NCAA_Bets[Winnings])-SUMIF(NCAA_Bets[Date],M22,NCAA_Bets[Risk]))/SUMIF(NCAA_Bets[Date],M22,NCAA_Bets[Risk]),2)*100&amp;"%)","")</f>
        <v>(30%)</v>
      </c>
    </row>
    <row r="23" spans="2:17" x14ac:dyDescent="0.25">
      <c r="B23" s="101">
        <f t="shared" si="1"/>
        <v>3</v>
      </c>
      <c r="C23" s="6">
        <v>43487</v>
      </c>
      <c r="D23" s="6" t="s">
        <v>298</v>
      </c>
      <c r="E23" s="7" t="s">
        <v>509</v>
      </c>
      <c r="F23" s="8" t="s">
        <v>510</v>
      </c>
      <c r="G23" s="66">
        <v>2</v>
      </c>
      <c r="H23" s="30">
        <v>-110</v>
      </c>
      <c r="I23" s="10" t="s">
        <v>7</v>
      </c>
      <c r="J2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3" s="9"/>
      <c r="M23" s="71">
        <f t="shared" si="0"/>
        <v>43515</v>
      </c>
      <c r="N23" s="71" t="str">
        <f>IFERROR(VLOOKUP(M23,NCAA_Bets[[Date]:[Version]],2,0),"")</f>
        <v>v1.2</v>
      </c>
      <c r="O23" s="94" t="str">
        <f>COUNTIFS(NCAA_Bets[Date],M23,NCAA_Bets[Result],"W")&amp;"-"&amp;COUNTIFS(NCAA_Bets[Date],M23,NCAA_Bets[Result],"L")&amp;IF(COUNTIFS(NCAA_Bets[Date],M23,NCAA_Bets[Result],"Push")&gt;0,"-"&amp;COUNTIFS(NCAA_Bets[Date],M23,NCAA_Bets[Result],"Push"),"")</f>
        <v>8-4</v>
      </c>
      <c r="P23" s="90">
        <f>SUMIF(NCAA_Bets[Date],M23,NCAA_Bets[Winnings])-SUMIF(NCAA_Bets[Date],M23,NCAA_Bets[Risk])</f>
        <v>29.036782106782113</v>
      </c>
      <c r="Q23" s="89" t="str">
        <f>IFERROR("("&amp;ROUND((SUMIF(NCAA_Bets[Date],M23,NCAA_Bets[Winnings])-SUMIF(NCAA_Bets[Date],M23,NCAA_Bets[Risk]))/SUMIF(NCAA_Bets[Date],M23,NCAA_Bets[Risk]),2)*100&amp;"%)","")</f>
        <v>(126%)</v>
      </c>
    </row>
    <row r="24" spans="2:17" x14ac:dyDescent="0.25">
      <c r="B24" s="101">
        <f t="shared" si="1"/>
        <v>3</v>
      </c>
      <c r="C24" s="6">
        <v>43487</v>
      </c>
      <c r="D24" s="6" t="s">
        <v>298</v>
      </c>
      <c r="E24" s="7" t="s">
        <v>509</v>
      </c>
      <c r="F24" s="8" t="s">
        <v>478</v>
      </c>
      <c r="G24" s="66">
        <v>2</v>
      </c>
      <c r="H24" s="30">
        <v>-110</v>
      </c>
      <c r="I24" s="10" t="s">
        <v>7</v>
      </c>
      <c r="J2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4" s="9"/>
      <c r="M24" s="71">
        <f t="shared" si="0"/>
        <v>43516</v>
      </c>
      <c r="N24" s="71" t="str">
        <f>IFERROR(VLOOKUP(M24,NCAA_Bets[[Date]:[Version]],2,0),"")</f>
        <v>v1.2</v>
      </c>
      <c r="O24" s="94" t="str">
        <f>COUNTIFS(NCAA_Bets[Date],M24,NCAA_Bets[Result],"W")&amp;"-"&amp;COUNTIFS(NCAA_Bets[Date],M24,NCAA_Bets[Result],"L")&amp;IF(COUNTIFS(NCAA_Bets[Date],M24,NCAA_Bets[Result],"Push")&gt;0,"-"&amp;COUNTIFS(NCAA_Bets[Date],M24,NCAA_Bets[Result],"Push"),"")</f>
        <v>7-4</v>
      </c>
      <c r="P24" s="90">
        <f>SUMIF(NCAA_Bets[Date],M24,NCAA_Bets[Winnings])-SUMIF(NCAA_Bets[Date],M24,NCAA_Bets[Risk])</f>
        <v>4.7423301336344821</v>
      </c>
      <c r="Q24" s="89" t="str">
        <f>IFERROR("("&amp;ROUND((SUMIF(NCAA_Bets[Date],M24,NCAA_Bets[Winnings])-SUMIF(NCAA_Bets[Date],M24,NCAA_Bets[Risk]))/SUMIF(NCAA_Bets[Date],M24,NCAA_Bets[Risk]),2)*100&amp;"%)","")</f>
        <v>(22%)</v>
      </c>
    </row>
    <row r="25" spans="2:17" x14ac:dyDescent="0.25">
      <c r="B25" s="101">
        <f t="shared" si="1"/>
        <v>3</v>
      </c>
      <c r="C25" s="6">
        <v>43487</v>
      </c>
      <c r="D25" s="6" t="s">
        <v>298</v>
      </c>
      <c r="E25" s="7" t="s">
        <v>511</v>
      </c>
      <c r="F25" s="8" t="s">
        <v>512</v>
      </c>
      <c r="G25" s="66">
        <v>2</v>
      </c>
      <c r="H25" s="30">
        <v>-110</v>
      </c>
      <c r="I25" s="64" t="s">
        <v>37</v>
      </c>
      <c r="J25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5" s="9"/>
      <c r="M25" s="71">
        <f t="shared" si="0"/>
        <v>43517</v>
      </c>
      <c r="N25" s="71" t="str">
        <f>IFERROR(VLOOKUP(M25,NCAA_Bets[[Date]:[Version]],2,0),"")</f>
        <v>v1.2</v>
      </c>
      <c r="O25" s="94" t="str">
        <f>COUNTIFS(NCAA_Bets[Date],M25,NCAA_Bets[Result],"W")&amp;"-"&amp;COUNTIFS(NCAA_Bets[Date],M25,NCAA_Bets[Result],"L")&amp;IF(COUNTIFS(NCAA_Bets[Date],M25,NCAA_Bets[Result],"Push")&gt;0,"-"&amp;COUNTIFS(NCAA_Bets[Date],M25,NCAA_Bets[Result],"Push"),"")</f>
        <v>4-9-2</v>
      </c>
      <c r="P25" s="90">
        <f>SUMIF(NCAA_Bets[Date],M25,NCAA_Bets[Winnings])-SUMIF(NCAA_Bets[Date],M25,NCAA_Bets[Risk])</f>
        <v>-10.727272727272727</v>
      </c>
      <c r="Q25" s="89" t="str">
        <f>IFERROR("("&amp;ROUND((SUMIF(NCAA_Bets[Date],M25,NCAA_Bets[Winnings])-SUMIF(NCAA_Bets[Date],M25,NCAA_Bets[Risk]))/SUMIF(NCAA_Bets[Date],M25,NCAA_Bets[Risk]),2)*100&amp;"%)","")</f>
        <v>(-36%)</v>
      </c>
    </row>
    <row r="26" spans="2:17" x14ac:dyDescent="0.25">
      <c r="B26" s="101">
        <f t="shared" si="1"/>
        <v>3</v>
      </c>
      <c r="C26" s="6">
        <v>43487</v>
      </c>
      <c r="D26" s="6" t="s">
        <v>298</v>
      </c>
      <c r="E26" s="7" t="s">
        <v>513</v>
      </c>
      <c r="F26" s="8" t="s">
        <v>514</v>
      </c>
      <c r="G26" s="66">
        <v>2</v>
      </c>
      <c r="H26" s="30">
        <v>-110</v>
      </c>
      <c r="I26" s="64" t="s">
        <v>7</v>
      </c>
      <c r="J26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6" s="9"/>
      <c r="M26" s="71">
        <f t="shared" ref="M26:M89" si="2">IFERROR(VLOOKUP(ROW()-4,B:C,2,0),0)</f>
        <v>43518</v>
      </c>
      <c r="N26" s="71" t="str">
        <f>IFERROR(VLOOKUP(M26,NCAA_Bets[[Date]:[Version]],2,0),"")</f>
        <v>v1.3</v>
      </c>
      <c r="O26" s="94" t="str">
        <f>COUNTIFS(NCAA_Bets[Date],M26,NCAA_Bets[Result],"W")&amp;"-"&amp;COUNTIFS(NCAA_Bets[Date],M26,NCAA_Bets[Result],"L")&amp;IF(COUNTIFS(NCAA_Bets[Date],M26,NCAA_Bets[Result],"Push")&gt;0,"-"&amp;COUNTIFS(NCAA_Bets[Date],M26,NCAA_Bets[Result],"Push"),"")</f>
        <v>4-6</v>
      </c>
      <c r="P26" s="90">
        <f>SUMIF(NCAA_Bets[Date],M26,NCAA_Bets[Winnings])-SUMIF(NCAA_Bets[Date],M26,NCAA_Bets[Risk])</f>
        <v>-4.8063241106719357</v>
      </c>
      <c r="Q26" s="89" t="str">
        <f>IFERROR("("&amp;ROUND((SUMIF(NCAA_Bets[Date],M26,NCAA_Bets[Winnings])-SUMIF(NCAA_Bets[Date],M26,NCAA_Bets[Risk]))/SUMIF(NCAA_Bets[Date],M26,NCAA_Bets[Risk]),2)*100&amp;"%)","")</f>
        <v>(-24%)</v>
      </c>
    </row>
    <row r="27" spans="2:17" x14ac:dyDescent="0.25">
      <c r="B27" s="101">
        <f t="shared" si="1"/>
        <v>3</v>
      </c>
      <c r="C27" s="6">
        <v>43487</v>
      </c>
      <c r="D27" s="6" t="s">
        <v>298</v>
      </c>
      <c r="E27" s="7" t="s">
        <v>513</v>
      </c>
      <c r="F27" s="8" t="s">
        <v>515</v>
      </c>
      <c r="G27" s="66">
        <v>2</v>
      </c>
      <c r="H27" s="30">
        <v>-115</v>
      </c>
      <c r="I27" s="64" t="s">
        <v>37</v>
      </c>
      <c r="J27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2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7" s="9"/>
      <c r="M27" s="71">
        <f t="shared" si="2"/>
        <v>43522</v>
      </c>
      <c r="N27" s="71" t="str">
        <f>IFERROR(VLOOKUP(M27,NCAA_Bets[[Date]:[Version]],2,0),"")</f>
        <v>v1.3</v>
      </c>
      <c r="O27" s="94" t="str">
        <f>COUNTIFS(NCAA_Bets[Date],M27,NCAA_Bets[Result],"W")&amp;"-"&amp;COUNTIFS(NCAA_Bets[Date],M27,NCAA_Bets[Result],"L")&amp;IF(COUNTIFS(NCAA_Bets[Date],M27,NCAA_Bets[Result],"Push")&gt;0,"-"&amp;COUNTIFS(NCAA_Bets[Date],M27,NCAA_Bets[Result],"Push"),"")</f>
        <v>1-6</v>
      </c>
      <c r="P27" s="90">
        <f>SUMIF(NCAA_Bets[Date],M27,NCAA_Bets[Winnings])-SUMIF(NCAA_Bets[Date],M27,NCAA_Bets[Risk])</f>
        <v>-10.095238095238095</v>
      </c>
      <c r="Q27" s="89" t="str">
        <f>IFERROR("("&amp;ROUND((SUMIF(NCAA_Bets[Date],M27,NCAA_Bets[Winnings])-SUMIF(NCAA_Bets[Date],M27,NCAA_Bets[Risk]))/SUMIF(NCAA_Bets[Date],M27,NCAA_Bets[Risk]),2)*100&amp;"%)","")</f>
        <v>(-72%)</v>
      </c>
    </row>
    <row r="28" spans="2:17" x14ac:dyDescent="0.25">
      <c r="B28" s="101">
        <f t="shared" si="1"/>
        <v>3</v>
      </c>
      <c r="C28" s="6">
        <v>43487</v>
      </c>
      <c r="D28" s="6" t="s">
        <v>298</v>
      </c>
      <c r="E28" s="7" t="s">
        <v>516</v>
      </c>
      <c r="F28" s="8" t="s">
        <v>517</v>
      </c>
      <c r="G28" s="66">
        <v>2</v>
      </c>
      <c r="H28" s="30">
        <v>-115</v>
      </c>
      <c r="I28" s="64" t="s">
        <v>37</v>
      </c>
      <c r="J28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2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8" s="9"/>
      <c r="M28" s="71">
        <f t="shared" si="2"/>
        <v>43524</v>
      </c>
      <c r="N28" s="71" t="str">
        <f>IFERROR(VLOOKUP(M28,NCAA_Bets[[Date]:[Version]],2,0),"")</f>
        <v>v1.3</v>
      </c>
      <c r="O28" s="94" t="str">
        <f>COUNTIFS(NCAA_Bets[Date],M28,NCAA_Bets[Result],"W")&amp;"-"&amp;COUNTIFS(NCAA_Bets[Date],M28,NCAA_Bets[Result],"L")&amp;IF(COUNTIFS(NCAA_Bets[Date],M28,NCAA_Bets[Result],"Push")&gt;0,"-"&amp;COUNTIFS(NCAA_Bets[Date],M28,NCAA_Bets[Result],"Push"),"")</f>
        <v>5-6</v>
      </c>
      <c r="P28" s="90">
        <f>SUMIF(NCAA_Bets[Date],M28,NCAA_Bets[Winnings])-SUMIF(NCAA_Bets[Date],M28,NCAA_Bets[Risk])</f>
        <v>-2.9806135893092431</v>
      </c>
      <c r="Q28" s="89" t="str">
        <f>IFERROR("("&amp;ROUND((SUMIF(NCAA_Bets[Date],M28,NCAA_Bets[Winnings])-SUMIF(NCAA_Bets[Date],M28,NCAA_Bets[Risk]))/SUMIF(NCAA_Bets[Date],M28,NCAA_Bets[Risk]),2)*100&amp;"%)","")</f>
        <v>(-14%)</v>
      </c>
    </row>
    <row r="29" spans="2:17" x14ac:dyDescent="0.25">
      <c r="B29" s="101">
        <f t="shared" si="1"/>
        <v>3</v>
      </c>
      <c r="C29" s="6">
        <v>43487</v>
      </c>
      <c r="D29" s="6" t="s">
        <v>298</v>
      </c>
      <c r="E29" t="s">
        <v>518</v>
      </c>
      <c r="F29" t="s">
        <v>532</v>
      </c>
      <c r="G29" s="66">
        <v>2</v>
      </c>
      <c r="H29" s="30">
        <v>-110</v>
      </c>
      <c r="I29" s="64" t="s">
        <v>37</v>
      </c>
      <c r="J29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9" s="9"/>
      <c r="M29" s="71">
        <f t="shared" si="2"/>
        <v>43529</v>
      </c>
      <c r="N29" s="71" t="str">
        <f>IFERROR(VLOOKUP(M29,NCAA_Bets[[Date]:[Version]],2,0),"")</f>
        <v>v1.3</v>
      </c>
      <c r="O29" s="94" t="str">
        <f>COUNTIFS(NCAA_Bets[Date],M29,NCAA_Bets[Result],"W")&amp;"-"&amp;COUNTIFS(NCAA_Bets[Date],M29,NCAA_Bets[Result],"L")&amp;IF(COUNTIFS(NCAA_Bets[Date],M29,NCAA_Bets[Result],"Push")&gt;0,"-"&amp;COUNTIFS(NCAA_Bets[Date],M29,NCAA_Bets[Result],"Push"),"")</f>
        <v>3-5</v>
      </c>
      <c r="P29" s="90">
        <f>SUMIF(NCAA_Bets[Date],M29,NCAA_Bets[Winnings])-SUMIF(NCAA_Bets[Date],M29,NCAA_Bets[Risk])</f>
        <v>-2.2689629211368345</v>
      </c>
      <c r="Q29" s="89" t="str">
        <f>IFERROR("("&amp;ROUND((SUMIF(NCAA_Bets[Date],M29,NCAA_Bets[Winnings])-SUMIF(NCAA_Bets[Date],M29,NCAA_Bets[Risk]))/SUMIF(NCAA_Bets[Date],M29,NCAA_Bets[Risk]),2)*100&amp;"%)","")</f>
        <v>(-28%)</v>
      </c>
    </row>
    <row r="30" spans="2:17" x14ac:dyDescent="0.25">
      <c r="B30" s="101">
        <f t="shared" si="1"/>
        <v>3</v>
      </c>
      <c r="C30" s="6">
        <v>43487</v>
      </c>
      <c r="D30" s="6" t="s">
        <v>298</v>
      </c>
      <c r="E30" s="7" t="s">
        <v>518</v>
      </c>
      <c r="F30" s="8" t="s">
        <v>519</v>
      </c>
      <c r="G30" s="66">
        <v>2</v>
      </c>
      <c r="H30" s="30">
        <v>-110</v>
      </c>
      <c r="I30" s="64" t="s">
        <v>7</v>
      </c>
      <c r="J30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30" s="9"/>
      <c r="M30" s="71">
        <f t="shared" si="2"/>
        <v>43530</v>
      </c>
      <c r="N30" s="71" t="str">
        <f>IFERROR(VLOOKUP(M30,NCAA_Bets[[Date]:[Version]],2,0),"")</f>
        <v>v1.3</v>
      </c>
      <c r="O30" s="94" t="str">
        <f>COUNTIFS(NCAA_Bets[Date],M30,NCAA_Bets[Result],"W")&amp;"-"&amp;COUNTIFS(NCAA_Bets[Date],M30,NCAA_Bets[Result],"L")&amp;IF(COUNTIFS(NCAA_Bets[Date],M30,NCAA_Bets[Result],"Push")&gt;0,"-"&amp;COUNTIFS(NCAA_Bets[Date],M30,NCAA_Bets[Result],"Push"),"")</f>
        <v>7-11</v>
      </c>
      <c r="P30" s="90">
        <f>SUMIF(NCAA_Bets[Date],M30,NCAA_Bets[Winnings])-SUMIF(NCAA_Bets[Date],M30,NCAA_Bets[Risk])</f>
        <v>-6.2045925089403351</v>
      </c>
      <c r="Q30" s="89" t="str">
        <f>IFERROR("("&amp;ROUND((SUMIF(NCAA_Bets[Date],M30,NCAA_Bets[Winnings])-SUMIF(NCAA_Bets[Date],M30,NCAA_Bets[Risk]))/SUMIF(NCAA_Bets[Date],M30,NCAA_Bets[Risk]),2)*100&amp;"%)","")</f>
        <v>(-33%)</v>
      </c>
    </row>
    <row r="31" spans="2:17" x14ac:dyDescent="0.25">
      <c r="B31" s="101">
        <f t="shared" si="1"/>
        <v>3</v>
      </c>
      <c r="C31" s="6">
        <v>43487</v>
      </c>
      <c r="D31" s="6" t="s">
        <v>298</v>
      </c>
      <c r="E31" s="7" t="s">
        <v>520</v>
      </c>
      <c r="F31" s="8" t="s">
        <v>521</v>
      </c>
      <c r="G31" s="66">
        <v>2</v>
      </c>
      <c r="H31" s="30">
        <v>-110</v>
      </c>
      <c r="I31" s="64" t="s">
        <v>37</v>
      </c>
      <c r="J31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3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31" s="9"/>
      <c r="M31" s="71">
        <f t="shared" si="2"/>
        <v>43547</v>
      </c>
      <c r="N31" s="71" t="str">
        <f>IFERROR(VLOOKUP(M31,NCAA_Bets[[Date]:[Version]],2,0),"")</f>
        <v>N/A</v>
      </c>
      <c r="O31" s="94" t="str">
        <f>COUNTIFS(NCAA_Bets[Date],M31,NCAA_Bets[Result],"W")&amp;"-"&amp;COUNTIFS(NCAA_Bets[Date],M31,NCAA_Bets[Result],"L")&amp;IF(COUNTIFS(NCAA_Bets[Date],M31,NCAA_Bets[Result],"Push")&gt;0,"-"&amp;COUNTIFS(NCAA_Bets[Date],M31,NCAA_Bets[Result],"Push"),"")</f>
        <v>4-2</v>
      </c>
      <c r="P31" s="90">
        <f>SUMIF(NCAA_Bets[Date],M31,NCAA_Bets[Winnings])-SUMIF(NCAA_Bets[Date],M31,NCAA_Bets[Risk])</f>
        <v>20.452380952380949</v>
      </c>
      <c r="Q31" s="89" t="str">
        <f>IFERROR("("&amp;ROUND((SUMIF(NCAA_Bets[Date],M31,NCAA_Bets[Winnings])-SUMIF(NCAA_Bets[Date],M31,NCAA_Bets[Risk]))/SUMIF(NCAA_Bets[Date],M31,NCAA_Bets[Risk]),2)*100&amp;"%)","")</f>
        <v>(31%)</v>
      </c>
    </row>
    <row r="32" spans="2:17" x14ac:dyDescent="0.25">
      <c r="B32" s="101">
        <f t="shared" si="1"/>
        <v>3</v>
      </c>
      <c r="C32" s="6">
        <v>43487</v>
      </c>
      <c r="D32" s="6" t="s">
        <v>298</v>
      </c>
      <c r="E32" s="7" t="s">
        <v>520</v>
      </c>
      <c r="F32" s="8" t="s">
        <v>522</v>
      </c>
      <c r="G32" s="66">
        <v>2</v>
      </c>
      <c r="H32" s="30">
        <v>-110</v>
      </c>
      <c r="I32" s="64" t="s">
        <v>7</v>
      </c>
      <c r="J32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2" s="9"/>
      <c r="M32" s="71">
        <f t="shared" si="2"/>
        <v>43548</v>
      </c>
      <c r="N32" s="71" t="str">
        <f>IFERROR(VLOOKUP(M32,NCAA_Bets[[Date]:[Version]],2,0),"")</f>
        <v>N/A</v>
      </c>
      <c r="O32" s="94" t="str">
        <f>COUNTIFS(NCAA_Bets[Date],M32,NCAA_Bets[Result],"W")&amp;"-"&amp;COUNTIFS(NCAA_Bets[Date],M32,NCAA_Bets[Result],"L")&amp;IF(COUNTIFS(NCAA_Bets[Date],M32,NCAA_Bets[Result],"Push")&gt;0,"-"&amp;COUNTIFS(NCAA_Bets[Date],M32,NCAA_Bets[Result],"Push"),"")</f>
        <v>3-4-1</v>
      </c>
      <c r="P32" s="90">
        <f>SUMIF(NCAA_Bets[Date],M32,NCAA_Bets[Winnings])-SUMIF(NCAA_Bets[Date],M32,NCAA_Bets[Risk])</f>
        <v>-14</v>
      </c>
      <c r="Q32" s="89" t="str">
        <f>IFERROR("("&amp;ROUND((SUMIF(NCAA_Bets[Date],M32,NCAA_Bets[Winnings])-SUMIF(NCAA_Bets[Date],M32,NCAA_Bets[Risk]))/SUMIF(NCAA_Bets[Date],M32,NCAA_Bets[Risk]),2)*100&amp;"%)","")</f>
        <v>(-16%)</v>
      </c>
    </row>
    <row r="33" spans="2:17" x14ac:dyDescent="0.25">
      <c r="B33" s="101">
        <f t="shared" si="1"/>
        <v>3</v>
      </c>
      <c r="C33" s="6">
        <v>43487</v>
      </c>
      <c r="D33" s="6" t="s">
        <v>298</v>
      </c>
      <c r="E33" s="7" t="s">
        <v>523</v>
      </c>
      <c r="F33" s="8" t="s">
        <v>524</v>
      </c>
      <c r="G33" s="66">
        <v>2</v>
      </c>
      <c r="H33" s="30">
        <v>-115</v>
      </c>
      <c r="I33" s="64" t="s">
        <v>7</v>
      </c>
      <c r="J33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3" s="9"/>
      <c r="M33" s="71">
        <f t="shared" si="2"/>
        <v>43552</v>
      </c>
      <c r="N33" s="71" t="str">
        <f>IFERROR(VLOOKUP(M33,NCAA_Bets[[Date]:[Version]],2,0),"")</f>
        <v>v1.4</v>
      </c>
      <c r="O33" s="94" t="str">
        <f>COUNTIFS(NCAA_Bets[Date],M33,NCAA_Bets[Result],"W")&amp;"-"&amp;COUNTIFS(NCAA_Bets[Date],M33,NCAA_Bets[Result],"L")&amp;IF(COUNTIFS(NCAA_Bets[Date],M33,NCAA_Bets[Result],"Push")&gt;0,"-"&amp;COUNTIFS(NCAA_Bets[Date],M33,NCAA_Bets[Result],"Push"),"")</f>
        <v>1-1</v>
      </c>
      <c r="P33" s="90">
        <f>SUMIF(NCAA_Bets[Date],M33,NCAA_Bets[Winnings])-SUMIF(NCAA_Bets[Date],M33,NCAA_Bets[Risk])</f>
        <v>4.5</v>
      </c>
      <c r="Q33" s="89" t="str">
        <f>IFERROR("("&amp;ROUND((SUMIF(NCAA_Bets[Date],M33,NCAA_Bets[Winnings])-SUMIF(NCAA_Bets[Date],M33,NCAA_Bets[Risk]))/SUMIF(NCAA_Bets[Date],M33,NCAA_Bets[Risk]),2)*100&amp;"%)","")</f>
        <v>(27%)</v>
      </c>
    </row>
    <row r="34" spans="2:17" x14ac:dyDescent="0.25">
      <c r="B34" s="101">
        <f t="shared" si="1"/>
        <v>3</v>
      </c>
      <c r="C34" s="6">
        <v>43487</v>
      </c>
      <c r="D34" s="6" t="s">
        <v>298</v>
      </c>
      <c r="E34" s="7" t="s">
        <v>523</v>
      </c>
      <c r="F34" s="8" t="s">
        <v>525</v>
      </c>
      <c r="G34" s="66">
        <v>2</v>
      </c>
      <c r="H34" s="30">
        <v>-105</v>
      </c>
      <c r="I34" s="64" t="s">
        <v>7</v>
      </c>
      <c r="J34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34" s="9"/>
      <c r="M34" s="71">
        <f t="shared" si="2"/>
        <v>43553</v>
      </c>
      <c r="N34" s="71" t="str">
        <f>IFERROR(VLOOKUP(M34,NCAA_Bets[[Date]:[Version]],2,0),"")</f>
        <v>v1.4</v>
      </c>
      <c r="O34" s="94" t="str">
        <f>COUNTIFS(NCAA_Bets[Date],M34,NCAA_Bets[Result],"W")&amp;"-"&amp;COUNTIFS(NCAA_Bets[Date],M34,NCAA_Bets[Result],"L")&amp;IF(COUNTIFS(NCAA_Bets[Date],M34,NCAA_Bets[Result],"Push")&gt;0,"-"&amp;COUNTIFS(NCAA_Bets[Date],M34,NCAA_Bets[Result],"Push"),"")</f>
        <v>1-2</v>
      </c>
      <c r="P34" s="90">
        <f>SUMIF(NCAA_Bets[Date],M34,NCAA_Bets[Winnings])-SUMIF(NCAA_Bets[Date],M34,NCAA_Bets[Risk])</f>
        <v>3.25</v>
      </c>
      <c r="Q34" s="89" t="str">
        <f>IFERROR("("&amp;ROUND((SUMIF(NCAA_Bets[Date],M34,NCAA_Bets[Winnings])-SUMIF(NCAA_Bets[Date],M34,NCAA_Bets[Risk]))/SUMIF(NCAA_Bets[Date],M34,NCAA_Bets[Risk]),2)*100&amp;"%)","")</f>
        <v>(9%)</v>
      </c>
    </row>
    <row r="35" spans="2:17" x14ac:dyDescent="0.25">
      <c r="B35" s="101">
        <f t="shared" si="1"/>
        <v>3</v>
      </c>
      <c r="C35" s="6">
        <v>43487</v>
      </c>
      <c r="D35" s="6" t="s">
        <v>298</v>
      </c>
      <c r="E35" s="7" t="s">
        <v>526</v>
      </c>
      <c r="F35" s="8" t="s">
        <v>527</v>
      </c>
      <c r="G35" s="66">
        <v>2</v>
      </c>
      <c r="H35" s="30">
        <v>-115</v>
      </c>
      <c r="I35" s="64" t="s">
        <v>37</v>
      </c>
      <c r="J35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3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5" s="9"/>
      <c r="M35" s="71">
        <f t="shared" si="2"/>
        <v>43554</v>
      </c>
      <c r="N35" s="71" t="str">
        <f>IFERROR(VLOOKUP(M35,NCAA_Bets[[Date]:[Version]],2,0),"")</f>
        <v>N/A</v>
      </c>
      <c r="O35" s="94" t="str">
        <f>COUNTIFS(NCAA_Bets[Date],M35,NCAA_Bets[Result],"W")&amp;"-"&amp;COUNTIFS(NCAA_Bets[Date],M35,NCAA_Bets[Result],"L")&amp;IF(COUNTIFS(NCAA_Bets[Date],M35,NCAA_Bets[Result],"Push")&gt;0,"-"&amp;COUNTIFS(NCAA_Bets[Date],M35,NCAA_Bets[Result],"Push"),"")</f>
        <v>2-0</v>
      </c>
      <c r="P35" s="90">
        <f>SUMIF(NCAA_Bets[Date],M35,NCAA_Bets[Winnings])-SUMIF(NCAA_Bets[Date],M35,NCAA_Bets[Risk])</f>
        <v>20</v>
      </c>
      <c r="Q35" s="89" t="str">
        <f>IFERROR("("&amp;ROUND((SUMIF(NCAA_Bets[Date],M35,NCAA_Bets[Winnings])-SUMIF(NCAA_Bets[Date],M35,NCAA_Bets[Risk]))/SUMIF(NCAA_Bets[Date],M35,NCAA_Bets[Risk]),2)*100&amp;"%)","")</f>
        <v>(93%)</v>
      </c>
    </row>
    <row r="36" spans="2:17" x14ac:dyDescent="0.25">
      <c r="B36" s="101">
        <f t="shared" si="1"/>
        <v>3</v>
      </c>
      <c r="C36" s="6">
        <v>43487</v>
      </c>
      <c r="D36" s="6" t="s">
        <v>298</v>
      </c>
      <c r="E36" s="7" t="s">
        <v>526</v>
      </c>
      <c r="F36" s="8" t="s">
        <v>528</v>
      </c>
      <c r="G36" s="66">
        <v>2</v>
      </c>
      <c r="H36" s="30">
        <v>-115</v>
      </c>
      <c r="I36" s="10" t="s">
        <v>7</v>
      </c>
      <c r="J3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36" s="9"/>
      <c r="M36" s="71">
        <f t="shared" si="2"/>
        <v>43555</v>
      </c>
      <c r="N36" s="71" t="str">
        <f>IFERROR(VLOOKUP(M36,NCAA_Bets[[Date]:[Version]],2,0),"")</f>
        <v>N/A</v>
      </c>
      <c r="O36" s="94" t="str">
        <f>COUNTIFS(NCAA_Bets[Date],M36,NCAA_Bets[Result],"W")&amp;"-"&amp;COUNTIFS(NCAA_Bets[Date],M36,NCAA_Bets[Result],"L")&amp;IF(COUNTIFS(NCAA_Bets[Date],M36,NCAA_Bets[Result],"Push")&gt;0,"-"&amp;COUNTIFS(NCAA_Bets[Date],M36,NCAA_Bets[Result],"Push"),"")</f>
        <v>3-1</v>
      </c>
      <c r="P36" s="90">
        <f>SUMIF(NCAA_Bets[Date],M36,NCAA_Bets[Winnings])-SUMIF(NCAA_Bets[Date],M36,NCAA_Bets[Risk])</f>
        <v>28.958399999999997</v>
      </c>
      <c r="Q36" s="89" t="str">
        <f>IFERROR("("&amp;ROUND((SUMIF(NCAA_Bets[Date],M36,NCAA_Bets[Winnings])-SUMIF(NCAA_Bets[Date],M36,NCAA_Bets[Risk]))/SUMIF(NCAA_Bets[Date],M36,NCAA_Bets[Risk]),2)*100&amp;"%)","")</f>
        <v>(72%)</v>
      </c>
    </row>
    <row r="37" spans="2:17" x14ac:dyDescent="0.25">
      <c r="B37" s="101">
        <f t="shared" si="1"/>
        <v>3</v>
      </c>
      <c r="C37" s="6">
        <v>43487</v>
      </c>
      <c r="D37" s="6" t="s">
        <v>298</v>
      </c>
      <c r="E37" s="7" t="s">
        <v>529</v>
      </c>
      <c r="F37" s="8" t="s">
        <v>530</v>
      </c>
      <c r="G37" s="66">
        <v>2</v>
      </c>
      <c r="H37" s="30">
        <v>-110</v>
      </c>
      <c r="I37" s="10" t="s">
        <v>7</v>
      </c>
      <c r="J3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7" s="9"/>
      <c r="M37" s="71">
        <f t="shared" si="2"/>
        <v>0</v>
      </c>
      <c r="N37" s="71" t="str">
        <f>IFERROR(VLOOKUP(M37,NCAA_Bets[[Date]:[Version]],2,0),"")</f>
        <v/>
      </c>
      <c r="O37" s="94" t="str">
        <f>COUNTIFS(NCAA_Bets[Date],M37,NCAA_Bets[Result],"W")&amp;"-"&amp;COUNTIFS(NCAA_Bets[Date],M37,NCAA_Bets[Result],"L")&amp;IF(COUNTIFS(NCAA_Bets[Date],M37,NCAA_Bets[Result],"Push")&gt;0,"-"&amp;COUNTIFS(NCAA_Bets[Date],M37,NCAA_Bets[Result],"Push"),"")</f>
        <v>0-0</v>
      </c>
      <c r="P37" s="90">
        <f>SUMIF(NCAA_Bets[Date],M37,NCAA_Bets[Winnings])-SUMIF(NCAA_Bets[Date],M37,NCAA_Bets[Risk])</f>
        <v>0</v>
      </c>
      <c r="Q37" s="89" t="str">
        <f>IFERROR("("&amp;ROUND((SUMIF(NCAA_Bets[Date],M37,NCAA_Bets[Winnings])-SUMIF(NCAA_Bets[Date],M37,NCAA_Bets[Risk]))/SUMIF(NCAA_Bets[Date],M37,NCAA_Bets[Risk]),2)*100&amp;"%)","")</f>
        <v/>
      </c>
    </row>
    <row r="38" spans="2:17" x14ac:dyDescent="0.25">
      <c r="B38" s="101">
        <f t="shared" si="1"/>
        <v>3</v>
      </c>
      <c r="C38" s="6">
        <v>43487</v>
      </c>
      <c r="D38" s="6" t="s">
        <v>298</v>
      </c>
      <c r="E38" s="7" t="s">
        <v>529</v>
      </c>
      <c r="F38" s="8" t="s">
        <v>531</v>
      </c>
      <c r="G38" s="66">
        <v>2</v>
      </c>
      <c r="H38" s="30">
        <v>-110</v>
      </c>
      <c r="I38" s="64" t="s">
        <v>37</v>
      </c>
      <c r="J38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3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38" s="9"/>
      <c r="M38" s="71">
        <f t="shared" si="2"/>
        <v>0</v>
      </c>
      <c r="N38" s="71" t="str">
        <f>IFERROR(VLOOKUP(M38,NCAA_Bets[[Date]:[Version]],2,0),"")</f>
        <v/>
      </c>
      <c r="O38" s="94" t="str">
        <f>COUNTIFS(NCAA_Bets[Date],M38,NCAA_Bets[Result],"W")&amp;"-"&amp;COUNTIFS(NCAA_Bets[Date],M38,NCAA_Bets[Result],"L")&amp;IF(COUNTIFS(NCAA_Bets[Date],M38,NCAA_Bets[Result],"Push")&gt;0,"-"&amp;COUNTIFS(NCAA_Bets[Date],M38,NCAA_Bets[Result],"Push"),"")</f>
        <v>0-0</v>
      </c>
      <c r="P38" s="90">
        <f>SUMIF(NCAA_Bets[Date],M38,NCAA_Bets[Winnings])-SUMIF(NCAA_Bets[Date],M38,NCAA_Bets[Risk])</f>
        <v>0</v>
      </c>
      <c r="Q38" s="89" t="str">
        <f>IFERROR("("&amp;ROUND((SUMIF(NCAA_Bets[Date],M38,NCAA_Bets[Winnings])-SUMIF(NCAA_Bets[Date],M38,NCAA_Bets[Risk]))/SUMIF(NCAA_Bets[Date],M38,NCAA_Bets[Risk]),2)*100&amp;"%)","")</f>
        <v/>
      </c>
    </row>
    <row r="39" spans="2:17" x14ac:dyDescent="0.25">
      <c r="B39" s="101">
        <f t="shared" si="1"/>
        <v>4</v>
      </c>
      <c r="C39" s="6">
        <v>43489</v>
      </c>
      <c r="D39" s="6" t="s">
        <v>298</v>
      </c>
      <c r="E39" s="7" t="s">
        <v>542</v>
      </c>
      <c r="F39" s="8" t="s">
        <v>533</v>
      </c>
      <c r="G39" s="66">
        <v>2</v>
      </c>
      <c r="H39" s="30">
        <v>-110</v>
      </c>
      <c r="I39" s="64" t="s">
        <v>37</v>
      </c>
      <c r="J39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3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9" s="9"/>
      <c r="M39" s="71">
        <f t="shared" si="2"/>
        <v>0</v>
      </c>
      <c r="N39" s="71" t="str">
        <f>IFERROR(VLOOKUP(M39,NCAA_Bets[[Date]:[Version]],2,0),"")</f>
        <v/>
      </c>
      <c r="O39" s="94" t="str">
        <f>COUNTIFS(NCAA_Bets[Date],M39,NCAA_Bets[Result],"W")&amp;"-"&amp;COUNTIFS(NCAA_Bets[Date],M39,NCAA_Bets[Result],"L")&amp;IF(COUNTIFS(NCAA_Bets[Date],M39,NCAA_Bets[Result],"Push")&gt;0,"-"&amp;COUNTIFS(NCAA_Bets[Date],M39,NCAA_Bets[Result],"Push"),"")</f>
        <v>0-0</v>
      </c>
      <c r="P39" s="90">
        <f>SUMIF(NCAA_Bets[Date],M39,NCAA_Bets[Winnings])-SUMIF(NCAA_Bets[Date],M39,NCAA_Bets[Risk])</f>
        <v>0</v>
      </c>
      <c r="Q39" s="89" t="str">
        <f>IFERROR("("&amp;ROUND((SUMIF(NCAA_Bets[Date],M39,NCAA_Bets[Winnings])-SUMIF(NCAA_Bets[Date],M39,NCAA_Bets[Risk]))/SUMIF(NCAA_Bets[Date],M39,NCAA_Bets[Risk]),2)*100&amp;"%)","")</f>
        <v/>
      </c>
    </row>
    <row r="40" spans="2:17" x14ac:dyDescent="0.25">
      <c r="B40" s="101">
        <f t="shared" si="1"/>
        <v>4</v>
      </c>
      <c r="C40" s="6">
        <v>43489</v>
      </c>
      <c r="D40" s="6" t="s">
        <v>298</v>
      </c>
      <c r="E40" s="7" t="s">
        <v>542</v>
      </c>
      <c r="F40" s="8" t="s">
        <v>534</v>
      </c>
      <c r="G40" s="66">
        <v>2</v>
      </c>
      <c r="H40" s="30">
        <v>-110</v>
      </c>
      <c r="I40" s="64" t="s">
        <v>37</v>
      </c>
      <c r="J40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4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40" s="9"/>
      <c r="M40" s="71">
        <f t="shared" si="2"/>
        <v>0</v>
      </c>
      <c r="N40" s="71" t="str">
        <f>IFERROR(VLOOKUP(M40,NCAA_Bets[[Date]:[Version]],2,0),"")</f>
        <v/>
      </c>
      <c r="O40" s="94" t="str">
        <f>COUNTIFS(NCAA_Bets[Date],M40,NCAA_Bets[Result],"W")&amp;"-"&amp;COUNTIFS(NCAA_Bets[Date],M40,NCAA_Bets[Result],"L")&amp;IF(COUNTIFS(NCAA_Bets[Date],M40,NCAA_Bets[Result],"Push")&gt;0,"-"&amp;COUNTIFS(NCAA_Bets[Date],M40,NCAA_Bets[Result],"Push"),"")</f>
        <v>0-0</v>
      </c>
      <c r="P40" s="90">
        <f>SUMIF(NCAA_Bets[Date],M40,NCAA_Bets[Winnings])-SUMIF(NCAA_Bets[Date],M40,NCAA_Bets[Risk])</f>
        <v>0</v>
      </c>
      <c r="Q40" s="89" t="str">
        <f>IFERROR("("&amp;ROUND((SUMIF(NCAA_Bets[Date],M40,NCAA_Bets[Winnings])-SUMIF(NCAA_Bets[Date],M40,NCAA_Bets[Risk]))/SUMIF(NCAA_Bets[Date],M40,NCAA_Bets[Risk]),2)*100&amp;"%)","")</f>
        <v/>
      </c>
    </row>
    <row r="41" spans="2:17" x14ac:dyDescent="0.25">
      <c r="B41" s="101">
        <f t="shared" si="1"/>
        <v>4</v>
      </c>
      <c r="C41" s="6">
        <v>43489</v>
      </c>
      <c r="D41" s="6" t="s">
        <v>298</v>
      </c>
      <c r="E41" s="7" t="s">
        <v>543</v>
      </c>
      <c r="F41" s="8" t="s">
        <v>535</v>
      </c>
      <c r="G41" s="66">
        <v>2</v>
      </c>
      <c r="H41" s="30">
        <v>-110</v>
      </c>
      <c r="I41" s="64" t="s">
        <v>37</v>
      </c>
      <c r="J41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4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41" s="9"/>
      <c r="M41" s="71">
        <f t="shared" si="2"/>
        <v>0</v>
      </c>
      <c r="N41" s="71" t="str">
        <f>IFERROR(VLOOKUP(M41,NCAA_Bets[[Date]:[Version]],2,0),"")</f>
        <v/>
      </c>
      <c r="O41" s="94" t="str">
        <f>COUNTIFS(NCAA_Bets[Date],M41,NCAA_Bets[Result],"W")&amp;"-"&amp;COUNTIFS(NCAA_Bets[Date],M41,NCAA_Bets[Result],"L")&amp;IF(COUNTIFS(NCAA_Bets[Date],M41,NCAA_Bets[Result],"Push")&gt;0,"-"&amp;COUNTIFS(NCAA_Bets[Date],M41,NCAA_Bets[Result],"Push"),"")</f>
        <v>0-0</v>
      </c>
      <c r="P41" s="90">
        <f>SUMIF(NCAA_Bets[Date],M41,NCAA_Bets[Winnings])-SUMIF(NCAA_Bets[Date],M41,NCAA_Bets[Risk])</f>
        <v>0</v>
      </c>
      <c r="Q41" s="89" t="str">
        <f>IFERROR("("&amp;ROUND((SUMIF(NCAA_Bets[Date],M41,NCAA_Bets[Winnings])-SUMIF(NCAA_Bets[Date],M41,NCAA_Bets[Risk]))/SUMIF(NCAA_Bets[Date],M41,NCAA_Bets[Risk]),2)*100&amp;"%)","")</f>
        <v/>
      </c>
    </row>
    <row r="42" spans="2:17" x14ac:dyDescent="0.25">
      <c r="B42" s="101">
        <f t="shared" si="1"/>
        <v>4</v>
      </c>
      <c r="C42" s="6">
        <v>43489</v>
      </c>
      <c r="D42" s="6" t="s">
        <v>298</v>
      </c>
      <c r="E42" s="7" t="s">
        <v>544</v>
      </c>
      <c r="F42" s="8" t="s">
        <v>536</v>
      </c>
      <c r="G42" s="66">
        <v>2</v>
      </c>
      <c r="H42" s="30">
        <v>-115</v>
      </c>
      <c r="I42" s="64" t="s">
        <v>7</v>
      </c>
      <c r="J42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4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42" s="9"/>
      <c r="M42" s="71">
        <f t="shared" si="2"/>
        <v>0</v>
      </c>
      <c r="N42" s="71" t="str">
        <f>IFERROR(VLOOKUP(M42,NCAA_Bets[[Date]:[Version]],2,0),"")</f>
        <v/>
      </c>
      <c r="O42" s="94" t="str">
        <f>COUNTIFS(NCAA_Bets[Date],M42,NCAA_Bets[Result],"W")&amp;"-"&amp;COUNTIFS(NCAA_Bets[Date],M42,NCAA_Bets[Result],"L")&amp;IF(COUNTIFS(NCAA_Bets[Date],M42,NCAA_Bets[Result],"Push")&gt;0,"-"&amp;COUNTIFS(NCAA_Bets[Date],M42,NCAA_Bets[Result],"Push"),"")</f>
        <v>0-0</v>
      </c>
      <c r="P42" s="90">
        <f>SUMIF(NCAA_Bets[Date],M42,NCAA_Bets[Winnings])-SUMIF(NCAA_Bets[Date],M42,NCAA_Bets[Risk])</f>
        <v>0</v>
      </c>
      <c r="Q42" s="89" t="str">
        <f>IFERROR("("&amp;ROUND((SUMIF(NCAA_Bets[Date],M42,NCAA_Bets[Winnings])-SUMIF(NCAA_Bets[Date],M42,NCAA_Bets[Risk]))/SUMIF(NCAA_Bets[Date],M42,NCAA_Bets[Risk]),2)*100&amp;"%)","")</f>
        <v/>
      </c>
    </row>
    <row r="43" spans="2:17" x14ac:dyDescent="0.25">
      <c r="B43" s="101">
        <f t="shared" si="1"/>
        <v>4</v>
      </c>
      <c r="C43" s="6">
        <v>43489</v>
      </c>
      <c r="D43" s="6" t="s">
        <v>298</v>
      </c>
      <c r="E43" s="7" t="s">
        <v>545</v>
      </c>
      <c r="F43" s="8" t="s">
        <v>537</v>
      </c>
      <c r="G43" s="66">
        <v>2</v>
      </c>
      <c r="H43" s="30">
        <v>-110</v>
      </c>
      <c r="I43" s="64" t="s">
        <v>7</v>
      </c>
      <c r="J43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4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43" s="9"/>
      <c r="M43" s="71">
        <f t="shared" si="2"/>
        <v>0</v>
      </c>
      <c r="N43" s="71" t="str">
        <f>IFERROR(VLOOKUP(M43,NCAA_Bets[[Date]:[Version]],2,0),"")</f>
        <v/>
      </c>
      <c r="O43" s="94" t="str">
        <f>COUNTIFS(NCAA_Bets[Date],M43,NCAA_Bets[Result],"W")&amp;"-"&amp;COUNTIFS(NCAA_Bets[Date],M43,NCAA_Bets[Result],"L")&amp;IF(COUNTIFS(NCAA_Bets[Date],M43,NCAA_Bets[Result],"Push")&gt;0,"-"&amp;COUNTIFS(NCAA_Bets[Date],M43,NCAA_Bets[Result],"Push"),"")</f>
        <v>0-0</v>
      </c>
      <c r="P43" s="90">
        <f>SUMIF(NCAA_Bets[Date],M43,NCAA_Bets[Winnings])-SUMIF(NCAA_Bets[Date],M43,NCAA_Bets[Risk])</f>
        <v>0</v>
      </c>
      <c r="Q43" s="89" t="str">
        <f>IFERROR("("&amp;ROUND((SUMIF(NCAA_Bets[Date],M43,NCAA_Bets[Winnings])-SUMIF(NCAA_Bets[Date],M43,NCAA_Bets[Risk]))/SUMIF(NCAA_Bets[Date],M43,NCAA_Bets[Risk]),2)*100&amp;"%)","")</f>
        <v/>
      </c>
    </row>
    <row r="44" spans="2:17" x14ac:dyDescent="0.25">
      <c r="B44" s="101">
        <f t="shared" si="1"/>
        <v>4</v>
      </c>
      <c r="C44" s="6">
        <v>43489</v>
      </c>
      <c r="D44" s="6" t="s">
        <v>298</v>
      </c>
      <c r="E44" s="7" t="s">
        <v>546</v>
      </c>
      <c r="F44" s="8" t="s">
        <v>538</v>
      </c>
      <c r="G44" s="66">
        <v>2</v>
      </c>
      <c r="H44" s="30">
        <v>-110</v>
      </c>
      <c r="I44" s="64" t="s">
        <v>37</v>
      </c>
      <c r="J44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4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44" s="9"/>
      <c r="M44" s="71">
        <f t="shared" si="2"/>
        <v>0</v>
      </c>
      <c r="N44" s="71" t="str">
        <f>IFERROR(VLOOKUP(M44,NCAA_Bets[[Date]:[Version]],2,0),"")</f>
        <v/>
      </c>
      <c r="O44" s="94" t="str">
        <f>COUNTIFS(NCAA_Bets[Date],M44,NCAA_Bets[Result],"W")&amp;"-"&amp;COUNTIFS(NCAA_Bets[Date],M44,NCAA_Bets[Result],"L")&amp;IF(COUNTIFS(NCAA_Bets[Date],M44,NCAA_Bets[Result],"Push")&gt;0,"-"&amp;COUNTIFS(NCAA_Bets[Date],M44,NCAA_Bets[Result],"Push"),"")</f>
        <v>0-0</v>
      </c>
      <c r="P44" s="90">
        <f>SUMIF(NCAA_Bets[Date],M44,NCAA_Bets[Winnings])-SUMIF(NCAA_Bets[Date],M44,NCAA_Bets[Risk])</f>
        <v>0</v>
      </c>
      <c r="Q44" s="89" t="str">
        <f>IFERROR("("&amp;ROUND((SUMIF(NCAA_Bets[Date],M44,NCAA_Bets[Winnings])-SUMIF(NCAA_Bets[Date],M44,NCAA_Bets[Risk]))/SUMIF(NCAA_Bets[Date],M44,NCAA_Bets[Risk]),2)*100&amp;"%)","")</f>
        <v/>
      </c>
    </row>
    <row r="45" spans="2:17" x14ac:dyDescent="0.25">
      <c r="B45" s="101">
        <f t="shared" si="1"/>
        <v>4</v>
      </c>
      <c r="C45" s="6">
        <v>43489</v>
      </c>
      <c r="D45" s="6" t="s">
        <v>298</v>
      </c>
      <c r="E45" s="7" t="s">
        <v>546</v>
      </c>
      <c r="F45" s="8" t="s">
        <v>475</v>
      </c>
      <c r="G45" s="66">
        <v>2</v>
      </c>
      <c r="H45" s="30">
        <v>-110</v>
      </c>
      <c r="I45" s="64" t="s">
        <v>37</v>
      </c>
      <c r="J45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4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45" s="9"/>
      <c r="M45" s="71">
        <f t="shared" si="2"/>
        <v>0</v>
      </c>
      <c r="N45" s="71" t="str">
        <f>IFERROR(VLOOKUP(M45,NCAA_Bets[[Date]:[Version]],2,0),"")</f>
        <v/>
      </c>
      <c r="O45" s="94" t="str">
        <f>COUNTIFS(NCAA_Bets[Date],M45,NCAA_Bets[Result],"W")&amp;"-"&amp;COUNTIFS(NCAA_Bets[Date],M45,NCAA_Bets[Result],"L")&amp;IF(COUNTIFS(NCAA_Bets[Date],M45,NCAA_Bets[Result],"Push")&gt;0,"-"&amp;COUNTIFS(NCAA_Bets[Date],M45,NCAA_Bets[Result],"Push"),"")</f>
        <v>0-0</v>
      </c>
      <c r="P45" s="90">
        <f>SUMIF(NCAA_Bets[Date],M45,NCAA_Bets[Winnings])-SUMIF(NCAA_Bets[Date],M45,NCAA_Bets[Risk])</f>
        <v>0</v>
      </c>
      <c r="Q45" s="89" t="str">
        <f>IFERROR("("&amp;ROUND((SUMIF(NCAA_Bets[Date],M45,NCAA_Bets[Winnings])-SUMIF(NCAA_Bets[Date],M45,NCAA_Bets[Risk]))/SUMIF(NCAA_Bets[Date],M45,NCAA_Bets[Risk]),2)*100&amp;"%)","")</f>
        <v/>
      </c>
    </row>
    <row r="46" spans="2:17" x14ac:dyDescent="0.25">
      <c r="B46" s="101">
        <f t="shared" si="1"/>
        <v>4</v>
      </c>
      <c r="C46" s="6">
        <v>43489</v>
      </c>
      <c r="D46" s="6" t="s">
        <v>298</v>
      </c>
      <c r="E46" s="7" t="s">
        <v>547</v>
      </c>
      <c r="F46" s="8" t="s">
        <v>539</v>
      </c>
      <c r="G46" s="66">
        <v>2</v>
      </c>
      <c r="H46" s="30">
        <v>-110</v>
      </c>
      <c r="I46" s="64" t="s">
        <v>37</v>
      </c>
      <c r="J46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4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46" s="9"/>
      <c r="M46" s="71">
        <f t="shared" si="2"/>
        <v>0</v>
      </c>
      <c r="N46" s="71" t="str">
        <f>IFERROR(VLOOKUP(M46,NCAA_Bets[[Date]:[Version]],2,0),"")</f>
        <v/>
      </c>
      <c r="O46" s="94" t="str">
        <f>COUNTIFS(NCAA_Bets[Date],M46,NCAA_Bets[Result],"W")&amp;"-"&amp;COUNTIFS(NCAA_Bets[Date],M46,NCAA_Bets[Result],"L")&amp;IF(COUNTIFS(NCAA_Bets[Date],M46,NCAA_Bets[Result],"Push")&gt;0,"-"&amp;COUNTIFS(NCAA_Bets[Date],M46,NCAA_Bets[Result],"Push"),"")</f>
        <v>0-0</v>
      </c>
      <c r="P46" s="90">
        <f>SUMIF(NCAA_Bets[Date],M46,NCAA_Bets[Winnings])-SUMIF(NCAA_Bets[Date],M46,NCAA_Bets[Risk])</f>
        <v>0</v>
      </c>
      <c r="Q46" s="89" t="str">
        <f>IFERROR("("&amp;ROUND((SUMIF(NCAA_Bets[Date],M46,NCAA_Bets[Winnings])-SUMIF(NCAA_Bets[Date],M46,NCAA_Bets[Risk]))/SUMIF(NCAA_Bets[Date],M46,NCAA_Bets[Risk]),2)*100&amp;"%)","")</f>
        <v/>
      </c>
    </row>
    <row r="47" spans="2:17" x14ac:dyDescent="0.25">
      <c r="B47" s="101">
        <f t="shared" si="1"/>
        <v>4</v>
      </c>
      <c r="C47" s="6">
        <v>43489</v>
      </c>
      <c r="D47" s="6" t="s">
        <v>298</v>
      </c>
      <c r="E47" s="7" t="s">
        <v>547</v>
      </c>
      <c r="F47" s="8" t="s">
        <v>540</v>
      </c>
      <c r="G47" s="66">
        <v>2</v>
      </c>
      <c r="H47" s="30">
        <v>-115</v>
      </c>
      <c r="I47" s="64" t="s">
        <v>7</v>
      </c>
      <c r="J47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4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47" s="9"/>
      <c r="M47" s="71">
        <f t="shared" si="2"/>
        <v>0</v>
      </c>
      <c r="N47" s="71" t="str">
        <f>IFERROR(VLOOKUP(M47,NCAA_Bets[[Date]:[Version]],2,0),"")</f>
        <v/>
      </c>
      <c r="O47" s="94" t="str">
        <f>COUNTIFS(NCAA_Bets[Date],M47,NCAA_Bets[Result],"W")&amp;"-"&amp;COUNTIFS(NCAA_Bets[Date],M47,NCAA_Bets[Result],"L")&amp;IF(COUNTIFS(NCAA_Bets[Date],M47,NCAA_Bets[Result],"Push")&gt;0,"-"&amp;COUNTIFS(NCAA_Bets[Date],M47,NCAA_Bets[Result],"Push"),"")</f>
        <v>0-0</v>
      </c>
      <c r="P47" s="90">
        <f>SUMIF(NCAA_Bets[Date],M47,NCAA_Bets[Winnings])-SUMIF(NCAA_Bets[Date],M47,NCAA_Bets[Risk])</f>
        <v>0</v>
      </c>
      <c r="Q47" s="89" t="str">
        <f>IFERROR("("&amp;ROUND((SUMIF(NCAA_Bets[Date],M47,NCAA_Bets[Winnings])-SUMIF(NCAA_Bets[Date],M47,NCAA_Bets[Risk]))/SUMIF(NCAA_Bets[Date],M47,NCAA_Bets[Risk]),2)*100&amp;"%)","")</f>
        <v/>
      </c>
    </row>
    <row r="48" spans="2:17" x14ac:dyDescent="0.25">
      <c r="B48" s="101">
        <f t="shared" si="1"/>
        <v>4</v>
      </c>
      <c r="C48" s="6">
        <v>43489</v>
      </c>
      <c r="D48" s="6" t="s">
        <v>298</v>
      </c>
      <c r="E48" s="7" t="s">
        <v>548</v>
      </c>
      <c r="F48" s="8" t="s">
        <v>541</v>
      </c>
      <c r="G48" s="66">
        <v>2</v>
      </c>
      <c r="H48" s="30">
        <v>-105</v>
      </c>
      <c r="I48" s="64" t="s">
        <v>37</v>
      </c>
      <c r="J48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4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48" s="9"/>
      <c r="M48" s="71">
        <f t="shared" si="2"/>
        <v>0</v>
      </c>
      <c r="N48" s="71" t="str">
        <f>IFERROR(VLOOKUP(M48,NCAA_Bets[[Date]:[Version]],2,0),"")</f>
        <v/>
      </c>
      <c r="O48" s="94" t="str">
        <f>COUNTIFS(NCAA_Bets[Date],M48,NCAA_Bets[Result],"W")&amp;"-"&amp;COUNTIFS(NCAA_Bets[Date],M48,NCAA_Bets[Result],"L")&amp;IF(COUNTIFS(NCAA_Bets[Date],M48,NCAA_Bets[Result],"Push")&gt;0,"-"&amp;COUNTIFS(NCAA_Bets[Date],M48,NCAA_Bets[Result],"Push"),"")</f>
        <v>0-0</v>
      </c>
      <c r="P48" s="90">
        <f>SUMIF(NCAA_Bets[Date],M48,NCAA_Bets[Winnings])-SUMIF(NCAA_Bets[Date],M48,NCAA_Bets[Risk])</f>
        <v>0</v>
      </c>
      <c r="Q48" s="89" t="str">
        <f>IFERROR("("&amp;ROUND((SUMIF(NCAA_Bets[Date],M48,NCAA_Bets[Winnings])-SUMIF(NCAA_Bets[Date],M48,NCAA_Bets[Risk]))/SUMIF(NCAA_Bets[Date],M48,NCAA_Bets[Risk]),2)*100&amp;"%)","")</f>
        <v/>
      </c>
    </row>
    <row r="49" spans="2:17" x14ac:dyDescent="0.25">
      <c r="B49" s="101">
        <f t="shared" si="1"/>
        <v>4</v>
      </c>
      <c r="C49" s="6">
        <v>43489</v>
      </c>
      <c r="D49" s="6" t="s">
        <v>298</v>
      </c>
      <c r="E49" s="7" t="s">
        <v>548</v>
      </c>
      <c r="F49" s="8" t="s">
        <v>536</v>
      </c>
      <c r="G49" s="66">
        <v>2</v>
      </c>
      <c r="H49" s="30">
        <v>-110</v>
      </c>
      <c r="I49" s="64" t="s">
        <v>7</v>
      </c>
      <c r="J49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4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49" s="9"/>
      <c r="M49" s="71">
        <f t="shared" si="2"/>
        <v>0</v>
      </c>
      <c r="N49" s="71" t="str">
        <f>IFERROR(VLOOKUP(M49,NCAA_Bets[[Date]:[Version]],2,0),"")</f>
        <v/>
      </c>
      <c r="O49" s="94" t="str">
        <f>COUNTIFS(NCAA_Bets[Date],M49,NCAA_Bets[Result],"W")&amp;"-"&amp;COUNTIFS(NCAA_Bets[Date],M49,NCAA_Bets[Result],"L")&amp;IF(COUNTIFS(NCAA_Bets[Date],M49,NCAA_Bets[Result],"Push")&gt;0,"-"&amp;COUNTIFS(NCAA_Bets[Date],M49,NCAA_Bets[Result],"Push"),"")</f>
        <v>0-0</v>
      </c>
      <c r="P49" s="90">
        <f>SUMIF(NCAA_Bets[Date],M49,NCAA_Bets[Winnings])-SUMIF(NCAA_Bets[Date],M49,NCAA_Bets[Risk])</f>
        <v>0</v>
      </c>
      <c r="Q49" s="89" t="str">
        <f>IFERROR("("&amp;ROUND((SUMIF(NCAA_Bets[Date],M49,NCAA_Bets[Winnings])-SUMIF(NCAA_Bets[Date],M49,NCAA_Bets[Risk]))/SUMIF(NCAA_Bets[Date],M49,NCAA_Bets[Risk]),2)*100&amp;"%)","")</f>
        <v/>
      </c>
    </row>
    <row r="50" spans="2:17" x14ac:dyDescent="0.25">
      <c r="B50" s="101">
        <f t="shared" si="1"/>
        <v>5</v>
      </c>
      <c r="C50" s="6">
        <v>43490</v>
      </c>
      <c r="D50" s="6" t="s">
        <v>298</v>
      </c>
      <c r="E50" s="7" t="s">
        <v>559</v>
      </c>
      <c r="F50" s="8" t="s">
        <v>530</v>
      </c>
      <c r="G50" s="66">
        <v>2</v>
      </c>
      <c r="H50" s="107">
        <v>-110</v>
      </c>
      <c r="I50" s="64" t="s">
        <v>37</v>
      </c>
      <c r="J50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5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50" s="9"/>
      <c r="M50" s="71">
        <f t="shared" si="2"/>
        <v>0</v>
      </c>
      <c r="N50" s="71" t="str">
        <f>IFERROR(VLOOKUP(M50,NCAA_Bets[[Date]:[Version]],2,0),"")</f>
        <v/>
      </c>
      <c r="O50" s="94" t="str">
        <f>COUNTIFS(NCAA_Bets[Date],M50,NCAA_Bets[Result],"W")&amp;"-"&amp;COUNTIFS(NCAA_Bets[Date],M50,NCAA_Bets[Result],"L")&amp;IF(COUNTIFS(NCAA_Bets[Date],M50,NCAA_Bets[Result],"Push")&gt;0,"-"&amp;COUNTIFS(NCAA_Bets[Date],M50,NCAA_Bets[Result],"Push"),"")</f>
        <v>0-0</v>
      </c>
      <c r="P50" s="90">
        <f>SUMIF(NCAA_Bets[Date],M50,NCAA_Bets[Winnings])-SUMIF(NCAA_Bets[Date],M50,NCAA_Bets[Risk])</f>
        <v>0</v>
      </c>
      <c r="Q50" s="89" t="str">
        <f>IFERROR("("&amp;ROUND((SUMIF(NCAA_Bets[Date],M50,NCAA_Bets[Winnings])-SUMIF(NCAA_Bets[Date],M50,NCAA_Bets[Risk]))/SUMIF(NCAA_Bets[Date],M50,NCAA_Bets[Risk]),2)*100&amp;"%)","")</f>
        <v/>
      </c>
    </row>
    <row r="51" spans="2:17" x14ac:dyDescent="0.25">
      <c r="B51" s="101">
        <f t="shared" si="1"/>
        <v>5</v>
      </c>
      <c r="C51" s="6">
        <v>43490</v>
      </c>
      <c r="D51" s="6" t="s">
        <v>298</v>
      </c>
      <c r="E51" s="7" t="s">
        <v>559</v>
      </c>
      <c r="F51" s="8" t="s">
        <v>560</v>
      </c>
      <c r="G51" s="66">
        <v>2</v>
      </c>
      <c r="H51" s="107">
        <v>-105</v>
      </c>
      <c r="I51" s="64" t="s">
        <v>7</v>
      </c>
      <c r="J51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5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51" s="9"/>
      <c r="M51" s="71">
        <f t="shared" si="2"/>
        <v>0</v>
      </c>
      <c r="N51" s="71" t="str">
        <f>IFERROR(VLOOKUP(M51,NCAA_Bets[[Date]:[Version]],2,0),"")</f>
        <v/>
      </c>
      <c r="O51" s="94" t="str">
        <f>COUNTIFS(NCAA_Bets[Date],M51,NCAA_Bets[Result],"W")&amp;"-"&amp;COUNTIFS(NCAA_Bets[Date],M51,NCAA_Bets[Result],"L")&amp;IF(COUNTIFS(NCAA_Bets[Date],M51,NCAA_Bets[Result],"Push")&gt;0,"-"&amp;COUNTIFS(NCAA_Bets[Date],M51,NCAA_Bets[Result],"Push"),"")</f>
        <v>0-0</v>
      </c>
      <c r="P51" s="90">
        <f>SUMIF(NCAA_Bets[Date],M51,NCAA_Bets[Winnings])-SUMIF(NCAA_Bets[Date],M51,NCAA_Bets[Risk])</f>
        <v>0</v>
      </c>
      <c r="Q51" s="89" t="str">
        <f>IFERROR("("&amp;ROUND((SUMIF(NCAA_Bets[Date],M51,NCAA_Bets[Winnings])-SUMIF(NCAA_Bets[Date],M51,NCAA_Bets[Risk]))/SUMIF(NCAA_Bets[Date],M51,NCAA_Bets[Risk]),2)*100&amp;"%)","")</f>
        <v/>
      </c>
    </row>
    <row r="52" spans="2:17" x14ac:dyDescent="0.25">
      <c r="B52" s="101">
        <f t="shared" si="1"/>
        <v>5</v>
      </c>
      <c r="C52" s="6">
        <v>43490</v>
      </c>
      <c r="D52" s="6" t="s">
        <v>298</v>
      </c>
      <c r="E52" s="7" t="s">
        <v>561</v>
      </c>
      <c r="F52" s="8" t="s">
        <v>562</v>
      </c>
      <c r="G52" s="66">
        <v>2</v>
      </c>
      <c r="H52" s="107">
        <v>-110</v>
      </c>
      <c r="I52" s="64" t="s">
        <v>37</v>
      </c>
      <c r="J52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5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52" s="9"/>
      <c r="M52" s="71">
        <f t="shared" si="2"/>
        <v>0</v>
      </c>
      <c r="N52" s="71" t="str">
        <f>IFERROR(VLOOKUP(M52,NCAA_Bets[[Date]:[Version]],2,0),"")</f>
        <v/>
      </c>
      <c r="O52" s="94" t="str">
        <f>COUNTIFS(NCAA_Bets[Date],M52,NCAA_Bets[Result],"W")&amp;"-"&amp;COUNTIFS(NCAA_Bets[Date],M52,NCAA_Bets[Result],"L")&amp;IF(COUNTIFS(NCAA_Bets[Date],M52,NCAA_Bets[Result],"Push")&gt;0,"-"&amp;COUNTIFS(NCAA_Bets[Date],M52,NCAA_Bets[Result],"Push"),"")</f>
        <v>0-0</v>
      </c>
      <c r="P52" s="90">
        <f>SUMIF(NCAA_Bets[Date],M52,NCAA_Bets[Winnings])-SUMIF(NCAA_Bets[Date],M52,NCAA_Bets[Risk])</f>
        <v>0</v>
      </c>
      <c r="Q52" s="89" t="str">
        <f>IFERROR("("&amp;ROUND((SUMIF(NCAA_Bets[Date],M52,NCAA_Bets[Winnings])-SUMIF(NCAA_Bets[Date],M52,NCAA_Bets[Risk]))/SUMIF(NCAA_Bets[Date],M52,NCAA_Bets[Risk]),2)*100&amp;"%)","")</f>
        <v/>
      </c>
    </row>
    <row r="53" spans="2:17" x14ac:dyDescent="0.25">
      <c r="B53" s="101">
        <f t="shared" si="1"/>
        <v>5</v>
      </c>
      <c r="C53" s="6">
        <v>43490</v>
      </c>
      <c r="D53" s="6" t="s">
        <v>298</v>
      </c>
      <c r="E53" s="7" t="s">
        <v>561</v>
      </c>
      <c r="F53" s="8" t="s">
        <v>563</v>
      </c>
      <c r="G53" s="66">
        <v>2</v>
      </c>
      <c r="H53" s="107">
        <v>-115</v>
      </c>
      <c r="I53" s="64" t="s">
        <v>37</v>
      </c>
      <c r="J53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5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53" s="9"/>
      <c r="M53" s="71">
        <f t="shared" si="2"/>
        <v>0</v>
      </c>
      <c r="N53" s="71" t="str">
        <f>IFERROR(VLOOKUP(M53,NCAA_Bets[[Date]:[Version]],2,0),"")</f>
        <v/>
      </c>
      <c r="O53" s="94" t="str">
        <f>COUNTIFS(NCAA_Bets[Date],M53,NCAA_Bets[Result],"W")&amp;"-"&amp;COUNTIFS(NCAA_Bets[Date],M53,NCAA_Bets[Result],"L")&amp;IF(COUNTIFS(NCAA_Bets[Date],M53,NCAA_Bets[Result],"Push")&gt;0,"-"&amp;COUNTIFS(NCAA_Bets[Date],M53,NCAA_Bets[Result],"Push"),"")</f>
        <v>0-0</v>
      </c>
      <c r="P53" s="90">
        <f>SUMIF(NCAA_Bets[Date],M53,NCAA_Bets[Winnings])-SUMIF(NCAA_Bets[Date],M53,NCAA_Bets[Risk])</f>
        <v>0</v>
      </c>
      <c r="Q53" s="89" t="str">
        <f>IFERROR("("&amp;ROUND((SUMIF(NCAA_Bets[Date],M53,NCAA_Bets[Winnings])-SUMIF(NCAA_Bets[Date],M53,NCAA_Bets[Risk]))/SUMIF(NCAA_Bets[Date],M53,NCAA_Bets[Risk]),2)*100&amp;"%)","")</f>
        <v/>
      </c>
    </row>
    <row r="54" spans="2:17" x14ac:dyDescent="0.25">
      <c r="B54" s="101">
        <f t="shared" si="1"/>
        <v>5</v>
      </c>
      <c r="C54" s="6">
        <v>43490</v>
      </c>
      <c r="D54" s="6" t="s">
        <v>298</v>
      </c>
      <c r="E54" s="7" t="s">
        <v>564</v>
      </c>
      <c r="F54" s="8" t="s">
        <v>565</v>
      </c>
      <c r="G54" s="66">
        <v>2</v>
      </c>
      <c r="H54" s="107">
        <v>-110</v>
      </c>
      <c r="I54" s="64" t="s">
        <v>37</v>
      </c>
      <c r="J54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5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54" s="9"/>
      <c r="M54" s="71">
        <f t="shared" si="2"/>
        <v>0</v>
      </c>
      <c r="N54" s="71" t="str">
        <f>IFERROR(VLOOKUP(M54,NCAA_Bets[[Date]:[Version]],2,0),"")</f>
        <v/>
      </c>
      <c r="O54" s="94" t="str">
        <f>COUNTIFS(NCAA_Bets[Date],M54,NCAA_Bets[Result],"W")&amp;"-"&amp;COUNTIFS(NCAA_Bets[Date],M54,NCAA_Bets[Result],"L")&amp;IF(COUNTIFS(NCAA_Bets[Date],M54,NCAA_Bets[Result],"Push")&gt;0,"-"&amp;COUNTIFS(NCAA_Bets[Date],M54,NCAA_Bets[Result],"Push"),"")</f>
        <v>0-0</v>
      </c>
      <c r="P54" s="90">
        <f>SUMIF(NCAA_Bets[Date],M54,NCAA_Bets[Winnings])-SUMIF(NCAA_Bets[Date],M54,NCAA_Bets[Risk])</f>
        <v>0</v>
      </c>
      <c r="Q54" s="89" t="str">
        <f>IFERROR("("&amp;ROUND((SUMIF(NCAA_Bets[Date],M54,NCAA_Bets[Winnings])-SUMIF(NCAA_Bets[Date],M54,NCAA_Bets[Risk]))/SUMIF(NCAA_Bets[Date],M54,NCAA_Bets[Risk]),2)*100&amp;"%)","")</f>
        <v/>
      </c>
    </row>
    <row r="55" spans="2:17" x14ac:dyDescent="0.25">
      <c r="B55" s="101">
        <f t="shared" si="1"/>
        <v>5</v>
      </c>
      <c r="C55" s="6">
        <v>43490</v>
      </c>
      <c r="D55" s="6" t="s">
        <v>298</v>
      </c>
      <c r="E55" s="7" t="s">
        <v>564</v>
      </c>
      <c r="F55" s="8" t="s">
        <v>566</v>
      </c>
      <c r="G55" s="66">
        <v>2</v>
      </c>
      <c r="H55" s="107">
        <v>-105</v>
      </c>
      <c r="I55" s="64" t="s">
        <v>37</v>
      </c>
      <c r="J55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5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55" s="9"/>
      <c r="M55" s="71">
        <f t="shared" si="2"/>
        <v>0</v>
      </c>
      <c r="N55" s="71" t="str">
        <f>IFERROR(VLOOKUP(M55,NCAA_Bets[[Date]:[Version]],2,0),"")</f>
        <v/>
      </c>
      <c r="O55" s="94" t="str">
        <f>COUNTIFS(NCAA_Bets[Date],M55,NCAA_Bets[Result],"W")&amp;"-"&amp;COUNTIFS(NCAA_Bets[Date],M55,NCAA_Bets[Result],"L")&amp;IF(COUNTIFS(NCAA_Bets[Date],M55,NCAA_Bets[Result],"Push")&gt;0,"-"&amp;COUNTIFS(NCAA_Bets[Date],M55,NCAA_Bets[Result],"Push"),"")</f>
        <v>0-0</v>
      </c>
      <c r="P55" s="90">
        <f>SUMIF(NCAA_Bets[Date],M55,NCAA_Bets[Winnings])-SUMIF(NCAA_Bets[Date],M55,NCAA_Bets[Risk])</f>
        <v>0</v>
      </c>
      <c r="Q55" s="89" t="str">
        <f>IFERROR("("&amp;ROUND((SUMIF(NCAA_Bets[Date],M55,NCAA_Bets[Winnings])-SUMIF(NCAA_Bets[Date],M55,NCAA_Bets[Risk]))/SUMIF(NCAA_Bets[Date],M55,NCAA_Bets[Risk]),2)*100&amp;"%)","")</f>
        <v/>
      </c>
    </row>
    <row r="56" spans="2:17" x14ac:dyDescent="0.25">
      <c r="B56" s="101">
        <f t="shared" si="1"/>
        <v>5</v>
      </c>
      <c r="C56" s="6">
        <v>43490</v>
      </c>
      <c r="D56" s="6" t="s">
        <v>298</v>
      </c>
      <c r="E56" s="7" t="s">
        <v>567</v>
      </c>
      <c r="F56" s="8" t="s">
        <v>568</v>
      </c>
      <c r="G56" s="66">
        <v>2</v>
      </c>
      <c r="H56" s="107">
        <v>-110</v>
      </c>
      <c r="I56" s="64" t="s">
        <v>37</v>
      </c>
      <c r="J56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5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56" s="9"/>
      <c r="M56" s="71">
        <f t="shared" si="2"/>
        <v>0</v>
      </c>
      <c r="N56" s="71" t="str">
        <f>IFERROR(VLOOKUP(M56,NCAA_Bets[[Date]:[Version]],2,0),"")</f>
        <v/>
      </c>
      <c r="O56" s="94" t="str">
        <f>COUNTIFS(NCAA_Bets[Date],M56,NCAA_Bets[Result],"W")&amp;"-"&amp;COUNTIFS(NCAA_Bets[Date],M56,NCAA_Bets[Result],"L")&amp;IF(COUNTIFS(NCAA_Bets[Date],M56,NCAA_Bets[Result],"Push")&gt;0,"-"&amp;COUNTIFS(NCAA_Bets[Date],M56,NCAA_Bets[Result],"Push"),"")</f>
        <v>0-0</v>
      </c>
      <c r="P56" s="90">
        <f>SUMIF(NCAA_Bets[Date],M56,NCAA_Bets[Winnings])-SUMIF(NCAA_Bets[Date],M56,NCAA_Bets[Risk])</f>
        <v>0</v>
      </c>
      <c r="Q56" s="89" t="str">
        <f>IFERROR("("&amp;ROUND((SUMIF(NCAA_Bets[Date],M56,NCAA_Bets[Winnings])-SUMIF(NCAA_Bets[Date],M56,NCAA_Bets[Risk]))/SUMIF(NCAA_Bets[Date],M56,NCAA_Bets[Risk]),2)*100&amp;"%)","")</f>
        <v/>
      </c>
    </row>
    <row r="57" spans="2:17" x14ac:dyDescent="0.25">
      <c r="B57" s="101">
        <f t="shared" si="1"/>
        <v>5</v>
      </c>
      <c r="C57" s="6">
        <v>43490</v>
      </c>
      <c r="D57" s="6" t="s">
        <v>298</v>
      </c>
      <c r="E57" s="7" t="s">
        <v>567</v>
      </c>
      <c r="F57" s="8" t="s">
        <v>569</v>
      </c>
      <c r="G57" s="66">
        <v>2</v>
      </c>
      <c r="H57" s="107">
        <v>-115</v>
      </c>
      <c r="I57" s="64" t="s">
        <v>37</v>
      </c>
      <c r="J57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5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57" s="9"/>
      <c r="M57" s="71">
        <f t="shared" si="2"/>
        <v>0</v>
      </c>
      <c r="N57" s="71" t="str">
        <f>IFERROR(VLOOKUP(M57,NCAA_Bets[[Date]:[Version]],2,0),"")</f>
        <v/>
      </c>
      <c r="O57" s="94" t="str">
        <f>COUNTIFS(NCAA_Bets[Date],M57,NCAA_Bets[Result],"W")&amp;"-"&amp;COUNTIFS(NCAA_Bets[Date],M57,NCAA_Bets[Result],"L")&amp;IF(COUNTIFS(NCAA_Bets[Date],M57,NCAA_Bets[Result],"Push")&gt;0,"-"&amp;COUNTIFS(NCAA_Bets[Date],M57,NCAA_Bets[Result],"Push"),"")</f>
        <v>0-0</v>
      </c>
      <c r="P57" s="90">
        <f>SUMIF(NCAA_Bets[Date],M57,NCAA_Bets[Winnings])-SUMIF(NCAA_Bets[Date],M57,NCAA_Bets[Risk])</f>
        <v>0</v>
      </c>
      <c r="Q57" s="89" t="str">
        <f>IFERROR("("&amp;ROUND((SUMIF(NCAA_Bets[Date],M57,NCAA_Bets[Winnings])-SUMIF(NCAA_Bets[Date],M57,NCAA_Bets[Risk]))/SUMIF(NCAA_Bets[Date],M57,NCAA_Bets[Risk]),2)*100&amp;"%)","")</f>
        <v/>
      </c>
    </row>
    <row r="58" spans="2:17" x14ac:dyDescent="0.25">
      <c r="B58" s="101">
        <f t="shared" si="1"/>
        <v>5</v>
      </c>
      <c r="C58" s="6">
        <v>43490</v>
      </c>
      <c r="D58" s="6" t="s">
        <v>298</v>
      </c>
      <c r="E58" s="7" t="s">
        <v>570</v>
      </c>
      <c r="F58" s="8" t="s">
        <v>571</v>
      </c>
      <c r="G58" s="66">
        <v>2</v>
      </c>
      <c r="H58" s="107">
        <v>-105</v>
      </c>
      <c r="I58" s="64" t="s">
        <v>7</v>
      </c>
      <c r="J58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5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58" s="9"/>
      <c r="M58" s="71">
        <f t="shared" si="2"/>
        <v>0</v>
      </c>
      <c r="N58" s="71" t="str">
        <f>IFERROR(VLOOKUP(M58,NCAA_Bets[[Date]:[Version]],2,0),"")</f>
        <v/>
      </c>
      <c r="O58" s="94" t="str">
        <f>COUNTIFS(NCAA_Bets[Date],M58,NCAA_Bets[Result],"W")&amp;"-"&amp;COUNTIFS(NCAA_Bets[Date],M58,NCAA_Bets[Result],"L")&amp;IF(COUNTIFS(NCAA_Bets[Date],M58,NCAA_Bets[Result],"Push")&gt;0,"-"&amp;COUNTIFS(NCAA_Bets[Date],M58,NCAA_Bets[Result],"Push"),"")</f>
        <v>0-0</v>
      </c>
      <c r="P58" s="90">
        <f>SUMIF(NCAA_Bets[Date],M58,NCAA_Bets[Winnings])-SUMIF(NCAA_Bets[Date],M58,NCAA_Bets[Risk])</f>
        <v>0</v>
      </c>
      <c r="Q58" s="89" t="str">
        <f>IFERROR("("&amp;ROUND((SUMIF(NCAA_Bets[Date],M58,NCAA_Bets[Winnings])-SUMIF(NCAA_Bets[Date],M58,NCAA_Bets[Risk]))/SUMIF(NCAA_Bets[Date],M58,NCAA_Bets[Risk]),2)*100&amp;"%)","")</f>
        <v/>
      </c>
    </row>
    <row r="59" spans="2:17" x14ac:dyDescent="0.25">
      <c r="B59" s="101">
        <f t="shared" si="1"/>
        <v>5</v>
      </c>
      <c r="C59" s="6">
        <v>43490</v>
      </c>
      <c r="D59" s="6" t="s">
        <v>298</v>
      </c>
      <c r="E59" s="7" t="s">
        <v>570</v>
      </c>
      <c r="F59" s="8" t="s">
        <v>572</v>
      </c>
      <c r="G59" s="66">
        <v>2</v>
      </c>
      <c r="H59" s="107">
        <v>-115</v>
      </c>
      <c r="I59" s="64" t="s">
        <v>37</v>
      </c>
      <c r="J59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5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59" s="9"/>
      <c r="M59" s="71">
        <f t="shared" si="2"/>
        <v>0</v>
      </c>
      <c r="N59" s="71" t="str">
        <f>IFERROR(VLOOKUP(M59,NCAA_Bets[[Date]:[Version]],2,0),"")</f>
        <v/>
      </c>
      <c r="O59" s="94" t="str">
        <f>COUNTIFS(NCAA_Bets[Date],M59,NCAA_Bets[Result],"W")&amp;"-"&amp;COUNTIFS(NCAA_Bets[Date],M59,NCAA_Bets[Result],"L")&amp;IF(COUNTIFS(NCAA_Bets[Date],M59,NCAA_Bets[Result],"Push")&gt;0,"-"&amp;COUNTIFS(NCAA_Bets[Date],M59,NCAA_Bets[Result],"Push"),"")</f>
        <v>0-0</v>
      </c>
      <c r="P59" s="90">
        <f>SUMIF(NCAA_Bets[Date],M59,NCAA_Bets[Winnings])-SUMIF(NCAA_Bets[Date],M59,NCAA_Bets[Risk])</f>
        <v>0</v>
      </c>
      <c r="Q59" s="89" t="str">
        <f>IFERROR("("&amp;ROUND((SUMIF(NCAA_Bets[Date],M59,NCAA_Bets[Winnings])-SUMIF(NCAA_Bets[Date],M59,NCAA_Bets[Risk]))/SUMIF(NCAA_Bets[Date],M59,NCAA_Bets[Risk]),2)*100&amp;"%)","")</f>
        <v/>
      </c>
    </row>
    <row r="60" spans="2:17" x14ac:dyDescent="0.25">
      <c r="B60" s="101">
        <f t="shared" si="1"/>
        <v>5</v>
      </c>
      <c r="C60" s="6">
        <v>43490</v>
      </c>
      <c r="D60" s="6" t="s">
        <v>298</v>
      </c>
      <c r="E60" s="7" t="s">
        <v>573</v>
      </c>
      <c r="F60" s="8" t="s">
        <v>574</v>
      </c>
      <c r="G60" s="66">
        <v>2</v>
      </c>
      <c r="H60" s="107">
        <v>-105</v>
      </c>
      <c r="I60" s="64" t="s">
        <v>7</v>
      </c>
      <c r="J60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6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60" s="9"/>
      <c r="M60" s="71">
        <f t="shared" si="2"/>
        <v>0</v>
      </c>
      <c r="N60" s="71" t="str">
        <f>IFERROR(VLOOKUP(M60,NCAA_Bets[[Date]:[Version]],2,0),"")</f>
        <v/>
      </c>
      <c r="O60" s="94" t="str">
        <f>COUNTIFS(NCAA_Bets[Date],M60,NCAA_Bets[Result],"W")&amp;"-"&amp;COUNTIFS(NCAA_Bets[Date],M60,NCAA_Bets[Result],"L")&amp;IF(COUNTIFS(NCAA_Bets[Date],M60,NCAA_Bets[Result],"Push")&gt;0,"-"&amp;COUNTIFS(NCAA_Bets[Date],M60,NCAA_Bets[Result],"Push"),"")</f>
        <v>0-0</v>
      </c>
      <c r="P60" s="90">
        <f>SUMIF(NCAA_Bets[Date],M60,NCAA_Bets[Winnings])-SUMIF(NCAA_Bets[Date],M60,NCAA_Bets[Risk])</f>
        <v>0</v>
      </c>
      <c r="Q60" s="89" t="str">
        <f>IFERROR("("&amp;ROUND((SUMIF(NCAA_Bets[Date],M60,NCAA_Bets[Winnings])-SUMIF(NCAA_Bets[Date],M60,NCAA_Bets[Risk]))/SUMIF(NCAA_Bets[Date],M60,NCAA_Bets[Risk]),2)*100&amp;"%)","")</f>
        <v/>
      </c>
    </row>
    <row r="61" spans="2:17" x14ac:dyDescent="0.25">
      <c r="B61" s="101">
        <f t="shared" si="1"/>
        <v>5</v>
      </c>
      <c r="C61" s="6">
        <v>43490</v>
      </c>
      <c r="D61" s="6" t="s">
        <v>298</v>
      </c>
      <c r="E61" s="7" t="s">
        <v>573</v>
      </c>
      <c r="F61" s="8" t="s">
        <v>575</v>
      </c>
      <c r="G61" s="66">
        <v>2</v>
      </c>
      <c r="H61" s="107">
        <v>-105</v>
      </c>
      <c r="I61" s="64" t="s">
        <v>37</v>
      </c>
      <c r="J61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6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61" s="9"/>
      <c r="M61" s="71">
        <f t="shared" si="2"/>
        <v>0</v>
      </c>
      <c r="N61" s="71" t="str">
        <f>IFERROR(VLOOKUP(M61,NCAA_Bets[[Date]:[Version]],2,0),"")</f>
        <v/>
      </c>
      <c r="O61" s="94" t="str">
        <f>COUNTIFS(NCAA_Bets[Date],M61,NCAA_Bets[Result],"W")&amp;"-"&amp;COUNTIFS(NCAA_Bets[Date],M61,NCAA_Bets[Result],"L")&amp;IF(COUNTIFS(NCAA_Bets[Date],M61,NCAA_Bets[Result],"Push")&gt;0,"-"&amp;COUNTIFS(NCAA_Bets[Date],M61,NCAA_Bets[Result],"Push"),"")</f>
        <v>0-0</v>
      </c>
      <c r="P61" s="90">
        <f>SUMIF(NCAA_Bets[Date],M61,NCAA_Bets[Winnings])-SUMIF(NCAA_Bets[Date],M61,NCAA_Bets[Risk])</f>
        <v>0</v>
      </c>
      <c r="Q61" s="89" t="str">
        <f>IFERROR("("&amp;ROUND((SUMIF(NCAA_Bets[Date],M61,NCAA_Bets[Winnings])-SUMIF(NCAA_Bets[Date],M61,NCAA_Bets[Risk]))/SUMIF(NCAA_Bets[Date],M61,NCAA_Bets[Risk]),2)*100&amp;"%)","")</f>
        <v/>
      </c>
    </row>
    <row r="62" spans="2:17" x14ac:dyDescent="0.25">
      <c r="B62" s="101">
        <f t="shared" si="1"/>
        <v>5</v>
      </c>
      <c r="C62" s="6">
        <v>43490</v>
      </c>
      <c r="D62" s="6" t="s">
        <v>298</v>
      </c>
      <c r="E62" s="7" t="s">
        <v>573</v>
      </c>
      <c r="F62" s="8" t="s">
        <v>576</v>
      </c>
      <c r="G62" s="66">
        <v>2</v>
      </c>
      <c r="H62" s="107">
        <v>130</v>
      </c>
      <c r="I62" s="64" t="s">
        <v>7</v>
      </c>
      <c r="J62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6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MD</v>
      </c>
      <c r="L62" s="9"/>
      <c r="M62" s="71">
        <f t="shared" si="2"/>
        <v>0</v>
      </c>
      <c r="N62" s="71" t="str">
        <f>IFERROR(VLOOKUP(M62,NCAA_Bets[[Date]:[Version]],2,0),"")</f>
        <v/>
      </c>
      <c r="O62" s="94" t="str">
        <f>COUNTIFS(NCAA_Bets[Date],M62,NCAA_Bets[Result],"W")&amp;"-"&amp;COUNTIFS(NCAA_Bets[Date],M62,NCAA_Bets[Result],"L")&amp;IF(COUNTIFS(NCAA_Bets[Date],M62,NCAA_Bets[Result],"Push")&gt;0,"-"&amp;COUNTIFS(NCAA_Bets[Date],M62,NCAA_Bets[Result],"Push"),"")</f>
        <v>0-0</v>
      </c>
      <c r="P62" s="90">
        <f>SUMIF(NCAA_Bets[Date],M62,NCAA_Bets[Winnings])-SUMIF(NCAA_Bets[Date],M62,NCAA_Bets[Risk])</f>
        <v>0</v>
      </c>
      <c r="Q62" s="89" t="str">
        <f>IFERROR("("&amp;ROUND((SUMIF(NCAA_Bets[Date],M62,NCAA_Bets[Winnings])-SUMIF(NCAA_Bets[Date],M62,NCAA_Bets[Risk]))/SUMIF(NCAA_Bets[Date],M62,NCAA_Bets[Risk]),2)*100&amp;"%)","")</f>
        <v/>
      </c>
    </row>
    <row r="63" spans="2:17" x14ac:dyDescent="0.25">
      <c r="B63" s="101">
        <f t="shared" si="1"/>
        <v>6</v>
      </c>
      <c r="C63" s="6">
        <v>43491</v>
      </c>
      <c r="D63" s="6" t="s">
        <v>298</v>
      </c>
      <c r="E63" s="7" t="s">
        <v>591</v>
      </c>
      <c r="F63" s="8" t="s">
        <v>592</v>
      </c>
      <c r="G63" s="66">
        <v>5</v>
      </c>
      <c r="H63" s="30">
        <v>-110</v>
      </c>
      <c r="I63" s="64" t="s">
        <v>37</v>
      </c>
      <c r="J63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6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63" s="9"/>
      <c r="M63" s="71">
        <f t="shared" si="2"/>
        <v>0</v>
      </c>
      <c r="N63" s="71" t="str">
        <f>IFERROR(VLOOKUP(M63,NCAA_Bets[[Date]:[Version]],2,0),"")</f>
        <v/>
      </c>
      <c r="O63" s="94" t="str">
        <f>COUNTIFS(NCAA_Bets[Date],M63,NCAA_Bets[Result],"W")&amp;"-"&amp;COUNTIFS(NCAA_Bets[Date],M63,NCAA_Bets[Result],"L")&amp;IF(COUNTIFS(NCAA_Bets[Date],M63,NCAA_Bets[Result],"Push")&gt;0,"-"&amp;COUNTIFS(NCAA_Bets[Date],M63,NCAA_Bets[Result],"Push"),"")</f>
        <v>0-0</v>
      </c>
      <c r="P63" s="90">
        <f>SUMIF(NCAA_Bets[Date],M63,NCAA_Bets[Winnings])-SUMIF(NCAA_Bets[Date],M63,NCAA_Bets[Risk])</f>
        <v>0</v>
      </c>
      <c r="Q63" s="89" t="str">
        <f>IFERROR("("&amp;ROUND((SUMIF(NCAA_Bets[Date],M63,NCAA_Bets[Winnings])-SUMIF(NCAA_Bets[Date],M63,NCAA_Bets[Risk]))/SUMIF(NCAA_Bets[Date],M63,NCAA_Bets[Risk]),2)*100&amp;"%)","")</f>
        <v/>
      </c>
    </row>
    <row r="64" spans="2:17" x14ac:dyDescent="0.25">
      <c r="B64" s="101">
        <f t="shared" si="1"/>
        <v>6</v>
      </c>
      <c r="C64" s="6">
        <v>43491</v>
      </c>
      <c r="D64" s="6" t="s">
        <v>298</v>
      </c>
      <c r="E64" s="7" t="s">
        <v>593</v>
      </c>
      <c r="F64" s="8" t="s">
        <v>594</v>
      </c>
      <c r="G64" s="66">
        <v>5</v>
      </c>
      <c r="H64" s="30">
        <v>-115</v>
      </c>
      <c r="I64" s="64" t="s">
        <v>37</v>
      </c>
      <c r="J64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6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64" s="9"/>
      <c r="M64" s="71">
        <f t="shared" si="2"/>
        <v>0</v>
      </c>
      <c r="N64" s="71" t="str">
        <f>IFERROR(VLOOKUP(M64,NCAA_Bets[[Date]:[Version]],2,0),"")</f>
        <v/>
      </c>
      <c r="O64" s="94" t="str">
        <f>COUNTIFS(NCAA_Bets[Date],M64,NCAA_Bets[Result],"W")&amp;"-"&amp;COUNTIFS(NCAA_Bets[Date],M64,NCAA_Bets[Result],"L")&amp;IF(COUNTIFS(NCAA_Bets[Date],M64,NCAA_Bets[Result],"Push")&gt;0,"-"&amp;COUNTIFS(NCAA_Bets[Date],M64,NCAA_Bets[Result],"Push"),"")</f>
        <v>0-0</v>
      </c>
      <c r="P64" s="90">
        <f>SUMIF(NCAA_Bets[Date],M64,NCAA_Bets[Winnings])-SUMIF(NCAA_Bets[Date],M64,NCAA_Bets[Risk])</f>
        <v>0</v>
      </c>
      <c r="Q64" s="89" t="str">
        <f>IFERROR("("&amp;ROUND((SUMIF(NCAA_Bets[Date],M64,NCAA_Bets[Winnings])-SUMIF(NCAA_Bets[Date],M64,NCAA_Bets[Risk]))/SUMIF(NCAA_Bets[Date],M64,NCAA_Bets[Risk]),2)*100&amp;"%)","")</f>
        <v/>
      </c>
    </row>
    <row r="65" spans="2:17" x14ac:dyDescent="0.25">
      <c r="B65" s="101">
        <f t="shared" si="1"/>
        <v>6</v>
      </c>
      <c r="C65" s="6">
        <v>43491</v>
      </c>
      <c r="D65" s="6" t="s">
        <v>298</v>
      </c>
      <c r="E65" s="7" t="s">
        <v>595</v>
      </c>
      <c r="F65" s="8" t="s">
        <v>596</v>
      </c>
      <c r="G65" s="66">
        <v>5</v>
      </c>
      <c r="H65" s="30">
        <v>-110</v>
      </c>
      <c r="I65" s="64" t="s">
        <v>7</v>
      </c>
      <c r="J65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6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65" s="9"/>
      <c r="M65" s="71">
        <f t="shared" si="2"/>
        <v>0</v>
      </c>
      <c r="N65" s="71" t="str">
        <f>IFERROR(VLOOKUP(M65,NCAA_Bets[[Date]:[Version]],2,0),"")</f>
        <v/>
      </c>
      <c r="O65" s="94" t="str">
        <f>COUNTIFS(NCAA_Bets[Date],M65,NCAA_Bets[Result],"W")&amp;"-"&amp;COUNTIFS(NCAA_Bets[Date],M65,NCAA_Bets[Result],"L")&amp;IF(COUNTIFS(NCAA_Bets[Date],M65,NCAA_Bets[Result],"Push")&gt;0,"-"&amp;COUNTIFS(NCAA_Bets[Date],M65,NCAA_Bets[Result],"Push"),"")</f>
        <v>0-0</v>
      </c>
      <c r="P65" s="90">
        <f>SUMIF(NCAA_Bets[Date],M65,NCAA_Bets[Winnings])-SUMIF(NCAA_Bets[Date],M65,NCAA_Bets[Risk])</f>
        <v>0</v>
      </c>
      <c r="Q65" s="89" t="str">
        <f>IFERROR("("&amp;ROUND((SUMIF(NCAA_Bets[Date],M65,NCAA_Bets[Winnings])-SUMIF(NCAA_Bets[Date],M65,NCAA_Bets[Risk]))/SUMIF(NCAA_Bets[Date],M65,NCAA_Bets[Risk]),2)*100&amp;"%)","")</f>
        <v/>
      </c>
    </row>
    <row r="66" spans="2:17" x14ac:dyDescent="0.25">
      <c r="B66" s="101">
        <f t="shared" si="1"/>
        <v>6</v>
      </c>
      <c r="C66" s="6">
        <v>43491</v>
      </c>
      <c r="D66" s="6" t="s">
        <v>298</v>
      </c>
      <c r="E66" s="7" t="s">
        <v>597</v>
      </c>
      <c r="F66" s="8" t="s">
        <v>598</v>
      </c>
      <c r="G66" s="66">
        <v>5</v>
      </c>
      <c r="H66" s="30">
        <v>-115</v>
      </c>
      <c r="I66" s="64" t="s">
        <v>7</v>
      </c>
      <c r="J66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6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66" s="9"/>
      <c r="M66" s="71">
        <f t="shared" si="2"/>
        <v>0</v>
      </c>
      <c r="N66" s="71" t="str">
        <f>IFERROR(VLOOKUP(M66,NCAA_Bets[[Date]:[Version]],2,0),"")</f>
        <v/>
      </c>
      <c r="O66" s="94" t="str">
        <f>COUNTIFS(NCAA_Bets[Date],M66,NCAA_Bets[Result],"W")&amp;"-"&amp;COUNTIFS(NCAA_Bets[Date],M66,NCAA_Bets[Result],"L")&amp;IF(COUNTIFS(NCAA_Bets[Date],M66,NCAA_Bets[Result],"Push")&gt;0,"-"&amp;COUNTIFS(NCAA_Bets[Date],M66,NCAA_Bets[Result],"Push"),"")</f>
        <v>0-0</v>
      </c>
      <c r="P66" s="90">
        <f>SUMIF(NCAA_Bets[Date],M66,NCAA_Bets[Winnings])-SUMIF(NCAA_Bets[Date],M66,NCAA_Bets[Risk])</f>
        <v>0</v>
      </c>
      <c r="Q66" s="89" t="str">
        <f>IFERROR("("&amp;ROUND((SUMIF(NCAA_Bets[Date],M66,NCAA_Bets[Winnings])-SUMIF(NCAA_Bets[Date],M66,NCAA_Bets[Risk]))/SUMIF(NCAA_Bets[Date],M66,NCAA_Bets[Risk]),2)*100&amp;"%)","")</f>
        <v/>
      </c>
    </row>
    <row r="67" spans="2:17" x14ac:dyDescent="0.25">
      <c r="B67" s="101">
        <f t="shared" si="1"/>
        <v>6</v>
      </c>
      <c r="C67" s="6">
        <v>43491</v>
      </c>
      <c r="D67" s="6" t="s">
        <v>298</v>
      </c>
      <c r="E67" s="7" t="s">
        <v>597</v>
      </c>
      <c r="F67" s="8" t="s">
        <v>515</v>
      </c>
      <c r="G67" s="66">
        <v>5</v>
      </c>
      <c r="H67" s="30">
        <v>-105</v>
      </c>
      <c r="I67" s="64" t="s">
        <v>7</v>
      </c>
      <c r="J67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6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67" s="9"/>
      <c r="M67" s="71">
        <f t="shared" si="2"/>
        <v>0</v>
      </c>
      <c r="N67" s="71" t="str">
        <f>IFERROR(VLOOKUP(M67,NCAA_Bets[[Date]:[Version]],2,0),"")</f>
        <v/>
      </c>
      <c r="O67" s="94" t="str">
        <f>COUNTIFS(NCAA_Bets[Date],M67,NCAA_Bets[Result],"W")&amp;"-"&amp;COUNTIFS(NCAA_Bets[Date],M67,NCAA_Bets[Result],"L")&amp;IF(COUNTIFS(NCAA_Bets[Date],M67,NCAA_Bets[Result],"Push")&gt;0,"-"&amp;COUNTIFS(NCAA_Bets[Date],M67,NCAA_Bets[Result],"Push"),"")</f>
        <v>0-0</v>
      </c>
      <c r="P67" s="90">
        <f>SUMIF(NCAA_Bets[Date],M67,NCAA_Bets[Winnings])-SUMIF(NCAA_Bets[Date],M67,NCAA_Bets[Risk])</f>
        <v>0</v>
      </c>
      <c r="Q67" s="89" t="str">
        <f>IFERROR("("&amp;ROUND((SUMIF(NCAA_Bets[Date],M67,NCAA_Bets[Winnings])-SUMIF(NCAA_Bets[Date],M67,NCAA_Bets[Risk]))/SUMIF(NCAA_Bets[Date],M67,NCAA_Bets[Risk]),2)*100&amp;"%)","")</f>
        <v/>
      </c>
    </row>
    <row r="68" spans="2:17" x14ac:dyDescent="0.25">
      <c r="B68" s="101">
        <f t="shared" si="1"/>
        <v>6</v>
      </c>
      <c r="C68" s="6">
        <v>43491</v>
      </c>
      <c r="D68" s="6" t="s">
        <v>298</v>
      </c>
      <c r="E68" s="7" t="s">
        <v>599</v>
      </c>
      <c r="F68" s="8" t="s">
        <v>600</v>
      </c>
      <c r="G68" s="66">
        <v>5</v>
      </c>
      <c r="H68" s="30">
        <v>-110</v>
      </c>
      <c r="I68" s="64" t="s">
        <v>37</v>
      </c>
      <c r="J68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6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68" s="9"/>
      <c r="M68" s="71">
        <f t="shared" si="2"/>
        <v>0</v>
      </c>
      <c r="N68" s="71" t="str">
        <f>IFERROR(VLOOKUP(M68,NCAA_Bets[[Date]:[Version]],2,0),"")</f>
        <v/>
      </c>
      <c r="O68" s="94" t="str">
        <f>COUNTIFS(NCAA_Bets[Date],M68,NCAA_Bets[Result],"W")&amp;"-"&amp;COUNTIFS(NCAA_Bets[Date],M68,NCAA_Bets[Result],"L")&amp;IF(COUNTIFS(NCAA_Bets[Date],M68,NCAA_Bets[Result],"Push")&gt;0,"-"&amp;COUNTIFS(NCAA_Bets[Date],M68,NCAA_Bets[Result],"Push"),"")</f>
        <v>0-0</v>
      </c>
      <c r="P68" s="90">
        <f>SUMIF(NCAA_Bets[Date],M68,NCAA_Bets[Winnings])-SUMIF(NCAA_Bets[Date],M68,NCAA_Bets[Risk])</f>
        <v>0</v>
      </c>
      <c r="Q68" s="89" t="str">
        <f>IFERROR("("&amp;ROUND((SUMIF(NCAA_Bets[Date],M68,NCAA_Bets[Winnings])-SUMIF(NCAA_Bets[Date],M68,NCAA_Bets[Risk]))/SUMIF(NCAA_Bets[Date],M68,NCAA_Bets[Risk]),2)*100&amp;"%)","")</f>
        <v/>
      </c>
    </row>
    <row r="69" spans="2:17" x14ac:dyDescent="0.25">
      <c r="B69" s="101">
        <f t="shared" si="1"/>
        <v>6</v>
      </c>
      <c r="C69" s="6">
        <v>43491</v>
      </c>
      <c r="D69" s="6" t="s">
        <v>298</v>
      </c>
      <c r="E69" s="7" t="s">
        <v>601</v>
      </c>
      <c r="F69" s="8" t="s">
        <v>602</v>
      </c>
      <c r="G69" s="66">
        <v>10</v>
      </c>
      <c r="H69" s="30">
        <v>-110</v>
      </c>
      <c r="I69" s="64" t="s">
        <v>37</v>
      </c>
      <c r="J69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19.090909090909093</v>
      </c>
      <c r="K6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69" s="9"/>
      <c r="M69" s="71">
        <f t="shared" si="2"/>
        <v>0</v>
      </c>
      <c r="N69" s="71" t="str">
        <f>IFERROR(VLOOKUP(M69,NCAA_Bets[[Date]:[Version]],2,0),"")</f>
        <v/>
      </c>
      <c r="O69" s="94" t="str">
        <f>COUNTIFS(NCAA_Bets[Date],M69,NCAA_Bets[Result],"W")&amp;"-"&amp;COUNTIFS(NCAA_Bets[Date],M69,NCAA_Bets[Result],"L")&amp;IF(COUNTIFS(NCAA_Bets[Date],M69,NCAA_Bets[Result],"Push")&gt;0,"-"&amp;COUNTIFS(NCAA_Bets[Date],M69,NCAA_Bets[Result],"Push"),"")</f>
        <v>0-0</v>
      </c>
      <c r="P69" s="90">
        <f>SUMIF(NCAA_Bets[Date],M69,NCAA_Bets[Winnings])-SUMIF(NCAA_Bets[Date],M69,NCAA_Bets[Risk])</f>
        <v>0</v>
      </c>
      <c r="Q69" s="89" t="str">
        <f>IFERROR("("&amp;ROUND((SUMIF(NCAA_Bets[Date],M69,NCAA_Bets[Winnings])-SUMIF(NCAA_Bets[Date],M69,NCAA_Bets[Risk]))/SUMIF(NCAA_Bets[Date],M69,NCAA_Bets[Risk]),2)*100&amp;"%)","")</f>
        <v/>
      </c>
    </row>
    <row r="70" spans="2:17" x14ac:dyDescent="0.25">
      <c r="B70" s="101">
        <f t="shared" ref="B70:B133" si="3">IF(C70=C69,B69,B69+1)</f>
        <v>7</v>
      </c>
      <c r="C70" s="6">
        <v>43493</v>
      </c>
      <c r="D70" s="6" t="s">
        <v>298</v>
      </c>
      <c r="E70" s="7" t="s">
        <v>577</v>
      </c>
      <c r="F70" s="8" t="s">
        <v>578</v>
      </c>
      <c r="G70" s="66">
        <v>5</v>
      </c>
      <c r="H70" s="30">
        <v>-105</v>
      </c>
      <c r="I70" s="64" t="s">
        <v>37</v>
      </c>
      <c r="J70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9.7619047619047628</v>
      </c>
      <c r="K7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70" s="9"/>
      <c r="M70" s="71">
        <f t="shared" si="2"/>
        <v>0</v>
      </c>
      <c r="N70" s="71" t="str">
        <f>IFERROR(VLOOKUP(M70,NCAA_Bets[[Date]:[Version]],2,0),"")</f>
        <v/>
      </c>
      <c r="O70" s="94" t="str">
        <f>COUNTIFS(NCAA_Bets[Date],M70,NCAA_Bets[Result],"W")&amp;"-"&amp;COUNTIFS(NCAA_Bets[Date],M70,NCAA_Bets[Result],"L")&amp;IF(COUNTIFS(NCAA_Bets[Date],M70,NCAA_Bets[Result],"Push")&gt;0,"-"&amp;COUNTIFS(NCAA_Bets[Date],M70,NCAA_Bets[Result],"Push"),"")</f>
        <v>0-0</v>
      </c>
      <c r="P70" s="90">
        <f>SUMIF(NCAA_Bets[Date],M70,NCAA_Bets[Winnings])-SUMIF(NCAA_Bets[Date],M70,NCAA_Bets[Risk])</f>
        <v>0</v>
      </c>
      <c r="Q70" s="89" t="str">
        <f>IFERROR("("&amp;ROUND((SUMIF(NCAA_Bets[Date],M70,NCAA_Bets[Winnings])-SUMIF(NCAA_Bets[Date],M70,NCAA_Bets[Risk]))/SUMIF(NCAA_Bets[Date],M70,NCAA_Bets[Risk]),2)*100&amp;"%)","")</f>
        <v/>
      </c>
    </row>
    <row r="71" spans="2:17" x14ac:dyDescent="0.25">
      <c r="B71" s="101">
        <f t="shared" si="3"/>
        <v>7</v>
      </c>
      <c r="C71" s="6">
        <v>43493</v>
      </c>
      <c r="D71" s="6" t="s">
        <v>298</v>
      </c>
      <c r="E71" s="7" t="s">
        <v>577</v>
      </c>
      <c r="F71" s="8" t="s">
        <v>566</v>
      </c>
      <c r="G71" s="66">
        <v>5</v>
      </c>
      <c r="H71" s="30">
        <v>-105</v>
      </c>
      <c r="I71" s="64" t="s">
        <v>37</v>
      </c>
      <c r="J71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9.7619047619047628</v>
      </c>
      <c r="K7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71"/>
      <c r="M71" s="71">
        <f t="shared" si="2"/>
        <v>0</v>
      </c>
      <c r="N71" s="71" t="str">
        <f>IFERROR(VLOOKUP(M71,NCAA_Bets[[Date]:[Version]],2,0),"")</f>
        <v/>
      </c>
      <c r="O71" s="94" t="str">
        <f>COUNTIFS(NCAA_Bets[Date],M71,NCAA_Bets[Result],"W")&amp;"-"&amp;COUNTIFS(NCAA_Bets[Date],M71,NCAA_Bets[Result],"L")&amp;IF(COUNTIFS(NCAA_Bets[Date],M71,NCAA_Bets[Result],"Push")&gt;0,"-"&amp;COUNTIFS(NCAA_Bets[Date],M71,NCAA_Bets[Result],"Push"),"")</f>
        <v>0-0</v>
      </c>
      <c r="P71" s="90">
        <f>SUMIF(NCAA_Bets[Date],M71,NCAA_Bets[Winnings])-SUMIF(NCAA_Bets[Date],M71,NCAA_Bets[Risk])</f>
        <v>0</v>
      </c>
      <c r="Q71" s="89" t="str">
        <f>IFERROR("("&amp;ROUND((SUMIF(NCAA_Bets[Date],M71,NCAA_Bets[Winnings])-SUMIF(NCAA_Bets[Date],M71,NCAA_Bets[Risk]))/SUMIF(NCAA_Bets[Date],M71,NCAA_Bets[Risk]),2)*100&amp;"%)","")</f>
        <v/>
      </c>
    </row>
    <row r="72" spans="2:17" x14ac:dyDescent="0.25">
      <c r="B72" s="101">
        <f t="shared" si="3"/>
        <v>7</v>
      </c>
      <c r="C72" s="6">
        <v>43493</v>
      </c>
      <c r="D72" s="6" t="s">
        <v>298</v>
      </c>
      <c r="E72" s="7" t="s">
        <v>579</v>
      </c>
      <c r="F72" s="8" t="s">
        <v>540</v>
      </c>
      <c r="G72" s="66">
        <v>5</v>
      </c>
      <c r="H72" s="30">
        <v>-110</v>
      </c>
      <c r="I72" s="64" t="s">
        <v>37</v>
      </c>
      <c r="J72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7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72"/>
      <c r="M72" s="71">
        <f t="shared" si="2"/>
        <v>0</v>
      </c>
      <c r="N72" s="71" t="str">
        <f>IFERROR(VLOOKUP(M72,NCAA_Bets[[Date]:[Version]],2,0),"")</f>
        <v/>
      </c>
      <c r="O72" s="94" t="str">
        <f>COUNTIFS(NCAA_Bets[Date],M72,NCAA_Bets[Result],"W")&amp;"-"&amp;COUNTIFS(NCAA_Bets[Date],M72,NCAA_Bets[Result],"L")&amp;IF(COUNTIFS(NCAA_Bets[Date],M72,NCAA_Bets[Result],"Push")&gt;0,"-"&amp;COUNTIFS(NCAA_Bets[Date],M72,NCAA_Bets[Result],"Push"),"")</f>
        <v>0-0</v>
      </c>
      <c r="P72" s="90">
        <f>SUMIF(NCAA_Bets[Date],M72,NCAA_Bets[Winnings])-SUMIF(NCAA_Bets[Date],M72,NCAA_Bets[Risk])</f>
        <v>0</v>
      </c>
      <c r="Q72" s="89" t="str">
        <f>IFERROR("("&amp;ROUND((SUMIF(NCAA_Bets[Date],M72,NCAA_Bets[Winnings])-SUMIF(NCAA_Bets[Date],M72,NCAA_Bets[Risk]))/SUMIF(NCAA_Bets[Date],M72,NCAA_Bets[Risk]),2)*100&amp;"%)","")</f>
        <v/>
      </c>
    </row>
    <row r="73" spans="2:17" x14ac:dyDescent="0.25">
      <c r="B73" s="101">
        <f t="shared" si="3"/>
        <v>7</v>
      </c>
      <c r="C73" s="6">
        <v>43493</v>
      </c>
      <c r="D73" s="6" t="s">
        <v>298</v>
      </c>
      <c r="E73" s="7" t="s">
        <v>579</v>
      </c>
      <c r="F73" s="8" t="s">
        <v>580</v>
      </c>
      <c r="G73" s="66">
        <v>5</v>
      </c>
      <c r="H73" s="30">
        <v>-110</v>
      </c>
      <c r="I73" s="64" t="s">
        <v>7</v>
      </c>
      <c r="J73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7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73"/>
      <c r="M73" s="71">
        <f t="shared" si="2"/>
        <v>0</v>
      </c>
      <c r="N73" s="71" t="str">
        <f>IFERROR(VLOOKUP(M73,NCAA_Bets[[Date]:[Version]],2,0),"")</f>
        <v/>
      </c>
      <c r="O73" s="94" t="str">
        <f>COUNTIFS(NCAA_Bets[Date],M73,NCAA_Bets[Result],"W")&amp;"-"&amp;COUNTIFS(NCAA_Bets[Date],M73,NCAA_Bets[Result],"L")&amp;IF(COUNTIFS(NCAA_Bets[Date],M73,NCAA_Bets[Result],"Push")&gt;0,"-"&amp;COUNTIFS(NCAA_Bets[Date],M73,NCAA_Bets[Result],"Push"),"")</f>
        <v>0-0</v>
      </c>
      <c r="P73" s="90">
        <f>SUMIF(NCAA_Bets[Date],M73,NCAA_Bets[Winnings])-SUMIF(NCAA_Bets[Date],M73,NCAA_Bets[Risk])</f>
        <v>0</v>
      </c>
      <c r="Q73" s="89" t="str">
        <f>IFERROR("("&amp;ROUND((SUMIF(NCAA_Bets[Date],M73,NCAA_Bets[Winnings])-SUMIF(NCAA_Bets[Date],M73,NCAA_Bets[Risk]))/SUMIF(NCAA_Bets[Date],M73,NCAA_Bets[Risk]),2)*100&amp;"%)","")</f>
        <v/>
      </c>
    </row>
    <row r="74" spans="2:17" x14ac:dyDescent="0.25">
      <c r="B74" s="101">
        <f t="shared" si="3"/>
        <v>7</v>
      </c>
      <c r="C74" s="6">
        <v>43493</v>
      </c>
      <c r="D74" s="6" t="s">
        <v>298</v>
      </c>
      <c r="E74" s="7" t="s">
        <v>581</v>
      </c>
      <c r="F74" s="8" t="s">
        <v>582</v>
      </c>
      <c r="G74" s="66">
        <v>5</v>
      </c>
      <c r="H74" s="30">
        <v>-115</v>
      </c>
      <c r="I74" s="64" t="s">
        <v>7</v>
      </c>
      <c r="J74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7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74"/>
      <c r="M74" s="71">
        <f t="shared" si="2"/>
        <v>0</v>
      </c>
      <c r="N74" s="71" t="str">
        <f>IFERROR(VLOOKUP(M74,NCAA_Bets[[Date]:[Version]],2,0),"")</f>
        <v/>
      </c>
      <c r="O74" s="94" t="str">
        <f>COUNTIFS(NCAA_Bets[Date],M74,NCAA_Bets[Result],"W")&amp;"-"&amp;COUNTIFS(NCAA_Bets[Date],M74,NCAA_Bets[Result],"L")&amp;IF(COUNTIFS(NCAA_Bets[Date],M74,NCAA_Bets[Result],"Push")&gt;0,"-"&amp;COUNTIFS(NCAA_Bets[Date],M74,NCAA_Bets[Result],"Push"),"")</f>
        <v>0-0</v>
      </c>
      <c r="P74" s="90">
        <f>SUMIF(NCAA_Bets[Date],M74,NCAA_Bets[Winnings])-SUMIF(NCAA_Bets[Date],M74,NCAA_Bets[Risk])</f>
        <v>0</v>
      </c>
      <c r="Q74" s="89" t="str">
        <f>IFERROR("("&amp;ROUND((SUMIF(NCAA_Bets[Date],M74,NCAA_Bets[Winnings])-SUMIF(NCAA_Bets[Date],M74,NCAA_Bets[Risk]))/SUMIF(NCAA_Bets[Date],M74,NCAA_Bets[Risk]),2)*100&amp;"%)","")</f>
        <v/>
      </c>
    </row>
    <row r="75" spans="2:17" x14ac:dyDescent="0.25">
      <c r="B75" s="101">
        <f t="shared" si="3"/>
        <v>7</v>
      </c>
      <c r="C75" s="6">
        <v>43493</v>
      </c>
      <c r="D75" s="6" t="s">
        <v>298</v>
      </c>
      <c r="E75" s="7" t="s">
        <v>581</v>
      </c>
      <c r="F75" s="8" t="s">
        <v>583</v>
      </c>
      <c r="G75" s="66">
        <v>5</v>
      </c>
      <c r="H75" s="30">
        <v>-110</v>
      </c>
      <c r="I75" s="64" t="s">
        <v>37</v>
      </c>
      <c r="J75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7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75"/>
      <c r="M75" s="71">
        <f t="shared" si="2"/>
        <v>0</v>
      </c>
      <c r="N75" s="71" t="str">
        <f>IFERROR(VLOOKUP(M75,NCAA_Bets[[Date]:[Version]],2,0),"")</f>
        <v/>
      </c>
      <c r="O75" s="94" t="str">
        <f>COUNTIFS(NCAA_Bets[Date],M75,NCAA_Bets[Result],"W")&amp;"-"&amp;COUNTIFS(NCAA_Bets[Date],M75,NCAA_Bets[Result],"L")&amp;IF(COUNTIFS(NCAA_Bets[Date],M75,NCAA_Bets[Result],"Push")&gt;0,"-"&amp;COUNTIFS(NCAA_Bets[Date],M75,NCAA_Bets[Result],"Push"),"")</f>
        <v>0-0</v>
      </c>
      <c r="P75" s="90">
        <f>SUMIF(NCAA_Bets[Date],M75,NCAA_Bets[Winnings])-SUMIF(NCAA_Bets[Date],M75,NCAA_Bets[Risk])</f>
        <v>0</v>
      </c>
      <c r="Q75" s="89" t="str">
        <f>IFERROR("("&amp;ROUND((SUMIF(NCAA_Bets[Date],M75,NCAA_Bets[Winnings])-SUMIF(NCAA_Bets[Date],M75,NCAA_Bets[Risk]))/SUMIF(NCAA_Bets[Date],M75,NCAA_Bets[Risk]),2)*100&amp;"%)","")</f>
        <v/>
      </c>
    </row>
    <row r="76" spans="2:17" x14ac:dyDescent="0.25">
      <c r="B76" s="101">
        <f t="shared" si="3"/>
        <v>7</v>
      </c>
      <c r="C76" s="6">
        <v>43493</v>
      </c>
      <c r="D76" s="6" t="s">
        <v>298</v>
      </c>
      <c r="E76" s="7" t="s">
        <v>584</v>
      </c>
      <c r="F76" s="8" t="s">
        <v>540</v>
      </c>
      <c r="G76" s="66">
        <v>5</v>
      </c>
      <c r="H76" s="30">
        <v>-110</v>
      </c>
      <c r="I76" s="64" t="s">
        <v>37</v>
      </c>
      <c r="J76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7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76"/>
      <c r="M76" s="71">
        <f t="shared" si="2"/>
        <v>0</v>
      </c>
      <c r="N76" s="71" t="str">
        <f>IFERROR(VLOOKUP(M76,NCAA_Bets[[Date]:[Version]],2,0),"")</f>
        <v/>
      </c>
      <c r="O76" s="94" t="str">
        <f>COUNTIFS(NCAA_Bets[Date],M76,NCAA_Bets[Result],"W")&amp;"-"&amp;COUNTIFS(NCAA_Bets[Date],M76,NCAA_Bets[Result],"L")&amp;IF(COUNTIFS(NCAA_Bets[Date],M76,NCAA_Bets[Result],"Push")&gt;0,"-"&amp;COUNTIFS(NCAA_Bets[Date],M76,NCAA_Bets[Result],"Push"),"")</f>
        <v>0-0</v>
      </c>
      <c r="P76" s="90">
        <f>SUMIF(NCAA_Bets[Date],M76,NCAA_Bets[Winnings])-SUMIF(NCAA_Bets[Date],M76,NCAA_Bets[Risk])</f>
        <v>0</v>
      </c>
      <c r="Q76" s="89" t="str">
        <f>IFERROR("("&amp;ROUND((SUMIF(NCAA_Bets[Date],M76,NCAA_Bets[Winnings])-SUMIF(NCAA_Bets[Date],M76,NCAA_Bets[Risk]))/SUMIF(NCAA_Bets[Date],M76,NCAA_Bets[Risk]),2)*100&amp;"%)","")</f>
        <v/>
      </c>
    </row>
    <row r="77" spans="2:17" x14ac:dyDescent="0.25">
      <c r="B77" s="101">
        <f t="shared" si="3"/>
        <v>7</v>
      </c>
      <c r="C77" s="6">
        <v>43493</v>
      </c>
      <c r="D77" s="6" t="s">
        <v>298</v>
      </c>
      <c r="E77" s="7" t="s">
        <v>585</v>
      </c>
      <c r="F77" s="8" t="s">
        <v>586</v>
      </c>
      <c r="G77" s="66">
        <v>5</v>
      </c>
      <c r="H77" s="30">
        <v>-115</v>
      </c>
      <c r="I77" s="64" t="s">
        <v>37</v>
      </c>
      <c r="J77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7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77"/>
      <c r="M77" s="71">
        <f t="shared" si="2"/>
        <v>0</v>
      </c>
      <c r="N77" s="71" t="str">
        <f>IFERROR(VLOOKUP(M77,NCAA_Bets[[Date]:[Version]],2,0),"")</f>
        <v/>
      </c>
      <c r="O77" s="94" t="str">
        <f>COUNTIFS(NCAA_Bets[Date],M77,NCAA_Bets[Result],"W")&amp;"-"&amp;COUNTIFS(NCAA_Bets[Date],M77,NCAA_Bets[Result],"L")&amp;IF(COUNTIFS(NCAA_Bets[Date],M77,NCAA_Bets[Result],"Push")&gt;0,"-"&amp;COUNTIFS(NCAA_Bets[Date],M77,NCAA_Bets[Result],"Push"),"")</f>
        <v>0-0</v>
      </c>
      <c r="P77" s="90">
        <f>SUMIF(NCAA_Bets[Date],M77,NCAA_Bets[Winnings])-SUMIF(NCAA_Bets[Date],M77,NCAA_Bets[Risk])</f>
        <v>0</v>
      </c>
      <c r="Q77" s="89" t="str">
        <f>IFERROR("("&amp;ROUND((SUMIF(NCAA_Bets[Date],M77,NCAA_Bets[Winnings])-SUMIF(NCAA_Bets[Date],M77,NCAA_Bets[Risk]))/SUMIF(NCAA_Bets[Date],M77,NCAA_Bets[Risk]),2)*100&amp;"%)","")</f>
        <v/>
      </c>
    </row>
    <row r="78" spans="2:17" x14ac:dyDescent="0.25">
      <c r="B78" s="101">
        <f t="shared" si="3"/>
        <v>7</v>
      </c>
      <c r="C78" s="6">
        <v>43493</v>
      </c>
      <c r="D78" s="6" t="s">
        <v>298</v>
      </c>
      <c r="E78" s="7" t="s">
        <v>585</v>
      </c>
      <c r="F78" s="8" t="s">
        <v>587</v>
      </c>
      <c r="G78" s="66">
        <v>5</v>
      </c>
      <c r="H78" s="30">
        <v>-115</v>
      </c>
      <c r="I78" s="64" t="s">
        <v>37</v>
      </c>
      <c r="J78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7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78"/>
      <c r="M78" s="71">
        <f t="shared" si="2"/>
        <v>0</v>
      </c>
      <c r="N78" s="71" t="str">
        <f>IFERROR(VLOOKUP(M78,NCAA_Bets[[Date]:[Version]],2,0),"")</f>
        <v/>
      </c>
      <c r="O78" s="94" t="str">
        <f>COUNTIFS(NCAA_Bets[Date],M78,NCAA_Bets[Result],"W")&amp;"-"&amp;COUNTIFS(NCAA_Bets[Date],M78,NCAA_Bets[Result],"L")&amp;IF(COUNTIFS(NCAA_Bets[Date],M78,NCAA_Bets[Result],"Push")&gt;0,"-"&amp;COUNTIFS(NCAA_Bets[Date],M78,NCAA_Bets[Result],"Push"),"")</f>
        <v>0-0</v>
      </c>
      <c r="P78" s="90">
        <f>SUMIF(NCAA_Bets[Date],M78,NCAA_Bets[Winnings])-SUMIF(NCAA_Bets[Date],M78,NCAA_Bets[Risk])</f>
        <v>0</v>
      </c>
      <c r="Q78" s="89" t="str">
        <f>IFERROR("("&amp;ROUND((SUMIF(NCAA_Bets[Date],M78,NCAA_Bets[Winnings])-SUMIF(NCAA_Bets[Date],M78,NCAA_Bets[Risk]))/SUMIF(NCAA_Bets[Date],M78,NCAA_Bets[Risk]),2)*100&amp;"%)","")</f>
        <v/>
      </c>
    </row>
    <row r="79" spans="2:17" x14ac:dyDescent="0.25">
      <c r="B79" s="101">
        <f t="shared" si="3"/>
        <v>7</v>
      </c>
      <c r="C79" s="6">
        <v>43493</v>
      </c>
      <c r="D79" s="6" t="s">
        <v>298</v>
      </c>
      <c r="E79" s="7" t="s">
        <v>588</v>
      </c>
      <c r="F79" s="8" t="s">
        <v>589</v>
      </c>
      <c r="G79" s="66">
        <v>5</v>
      </c>
      <c r="H79" s="30">
        <v>-110</v>
      </c>
      <c r="I79" s="64" t="s">
        <v>37</v>
      </c>
      <c r="J79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7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79"/>
      <c r="M79" s="71">
        <f t="shared" si="2"/>
        <v>0</v>
      </c>
      <c r="N79" s="71" t="str">
        <f>IFERROR(VLOOKUP(M79,NCAA_Bets[[Date]:[Version]],2,0),"")</f>
        <v/>
      </c>
      <c r="O79" s="94" t="str">
        <f>COUNTIFS(NCAA_Bets[Date],M79,NCAA_Bets[Result],"W")&amp;"-"&amp;COUNTIFS(NCAA_Bets[Date],M79,NCAA_Bets[Result],"L")&amp;IF(COUNTIFS(NCAA_Bets[Date],M79,NCAA_Bets[Result],"Push")&gt;0,"-"&amp;COUNTIFS(NCAA_Bets[Date],M79,NCAA_Bets[Result],"Push"),"")</f>
        <v>0-0</v>
      </c>
      <c r="P79" s="90">
        <f>SUMIF(NCAA_Bets[Date],M79,NCAA_Bets[Winnings])-SUMIF(NCAA_Bets[Date],M79,NCAA_Bets[Risk])</f>
        <v>0</v>
      </c>
      <c r="Q79" s="89" t="str">
        <f>IFERROR("("&amp;ROUND((SUMIF(NCAA_Bets[Date],M79,NCAA_Bets[Winnings])-SUMIF(NCAA_Bets[Date],M79,NCAA_Bets[Risk]))/SUMIF(NCAA_Bets[Date],M79,NCAA_Bets[Risk]),2)*100&amp;"%)","")</f>
        <v/>
      </c>
    </row>
    <row r="80" spans="2:17" x14ac:dyDescent="0.25">
      <c r="B80" s="101">
        <f t="shared" si="3"/>
        <v>7</v>
      </c>
      <c r="C80" s="6">
        <v>43493</v>
      </c>
      <c r="D80" s="6" t="s">
        <v>298</v>
      </c>
      <c r="E80" s="7" t="s">
        <v>588</v>
      </c>
      <c r="F80" s="8" t="s">
        <v>590</v>
      </c>
      <c r="G80" s="66">
        <v>5</v>
      </c>
      <c r="H80" s="30">
        <v>-115</v>
      </c>
      <c r="I80" s="64" t="s">
        <v>7</v>
      </c>
      <c r="J80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8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80"/>
      <c r="M80" s="71">
        <f t="shared" si="2"/>
        <v>0</v>
      </c>
      <c r="N80" s="71" t="str">
        <f>IFERROR(VLOOKUP(M80,NCAA_Bets[[Date]:[Version]],2,0),"")</f>
        <v/>
      </c>
      <c r="O80" s="94" t="str">
        <f>COUNTIFS(NCAA_Bets[Date],M80,NCAA_Bets[Result],"W")&amp;"-"&amp;COUNTIFS(NCAA_Bets[Date],M80,NCAA_Bets[Result],"L")&amp;IF(COUNTIFS(NCAA_Bets[Date],M80,NCAA_Bets[Result],"Push")&gt;0,"-"&amp;COUNTIFS(NCAA_Bets[Date],M80,NCAA_Bets[Result],"Push"),"")</f>
        <v>0-0</v>
      </c>
      <c r="P80" s="90">
        <f>SUMIF(NCAA_Bets[Date],M80,NCAA_Bets[Winnings])-SUMIF(NCAA_Bets[Date],M80,NCAA_Bets[Risk])</f>
        <v>0</v>
      </c>
      <c r="Q80" s="89" t="str">
        <f>IFERROR("("&amp;ROUND((SUMIF(NCAA_Bets[Date],M80,NCAA_Bets[Winnings])-SUMIF(NCAA_Bets[Date],M80,NCAA_Bets[Risk]))/SUMIF(NCAA_Bets[Date],M80,NCAA_Bets[Risk]),2)*100&amp;"%)","")</f>
        <v/>
      </c>
    </row>
    <row r="81" spans="2:17" x14ac:dyDescent="0.25">
      <c r="B81" s="101">
        <f t="shared" si="3"/>
        <v>8</v>
      </c>
      <c r="C81" s="6">
        <v>43494</v>
      </c>
      <c r="D81" s="6" t="s">
        <v>298</v>
      </c>
      <c r="E81" s="7" t="s">
        <v>614</v>
      </c>
      <c r="F81" s="8" t="s">
        <v>615</v>
      </c>
      <c r="G81" s="66">
        <v>5</v>
      </c>
      <c r="H81" s="30">
        <v>-110</v>
      </c>
      <c r="I81" s="64" t="s">
        <v>7</v>
      </c>
      <c r="J81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8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81"/>
      <c r="M81" s="71">
        <f t="shared" si="2"/>
        <v>0</v>
      </c>
      <c r="N81" s="71" t="str">
        <f>IFERROR(VLOOKUP(M81,NCAA_Bets[[Date]:[Version]],2,0),"")</f>
        <v/>
      </c>
      <c r="O81" s="94" t="str">
        <f>COUNTIFS(NCAA_Bets[Date],M81,NCAA_Bets[Result],"W")&amp;"-"&amp;COUNTIFS(NCAA_Bets[Date],M81,NCAA_Bets[Result],"L")&amp;IF(COUNTIFS(NCAA_Bets[Date],M81,NCAA_Bets[Result],"Push")&gt;0,"-"&amp;COUNTIFS(NCAA_Bets[Date],M81,NCAA_Bets[Result],"Push"),"")</f>
        <v>0-0</v>
      </c>
      <c r="P81" s="90">
        <f>SUMIF(NCAA_Bets[Date],M81,NCAA_Bets[Winnings])-SUMIF(NCAA_Bets[Date],M81,NCAA_Bets[Risk])</f>
        <v>0</v>
      </c>
      <c r="Q81" s="89" t="str">
        <f>IFERROR("("&amp;ROUND((SUMIF(NCAA_Bets[Date],M81,NCAA_Bets[Winnings])-SUMIF(NCAA_Bets[Date],M81,NCAA_Bets[Risk]))/SUMIF(NCAA_Bets[Date],M81,NCAA_Bets[Risk]),2)*100&amp;"%)","")</f>
        <v/>
      </c>
    </row>
    <row r="82" spans="2:17" x14ac:dyDescent="0.25">
      <c r="B82" s="101">
        <f t="shared" si="3"/>
        <v>8</v>
      </c>
      <c r="C82" s="6">
        <v>43494</v>
      </c>
      <c r="D82" s="6" t="s">
        <v>298</v>
      </c>
      <c r="E82" s="7" t="s">
        <v>614</v>
      </c>
      <c r="F82" s="8" t="s">
        <v>616</v>
      </c>
      <c r="G82" s="66">
        <v>5</v>
      </c>
      <c r="H82" s="30">
        <v>-110</v>
      </c>
      <c r="I82" s="64" t="s">
        <v>37</v>
      </c>
      <c r="J82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8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82"/>
      <c r="M82" s="71">
        <f t="shared" si="2"/>
        <v>0</v>
      </c>
      <c r="N82" s="71" t="str">
        <f>IFERROR(VLOOKUP(M82,NCAA_Bets[[Date]:[Version]],2,0),"")</f>
        <v/>
      </c>
      <c r="O82" s="94" t="str">
        <f>COUNTIFS(NCAA_Bets[Date],M82,NCAA_Bets[Result],"W")&amp;"-"&amp;COUNTIFS(NCAA_Bets[Date],M82,NCAA_Bets[Result],"L")&amp;IF(COUNTIFS(NCAA_Bets[Date],M82,NCAA_Bets[Result],"Push")&gt;0,"-"&amp;COUNTIFS(NCAA_Bets[Date],M82,NCAA_Bets[Result],"Push"),"")</f>
        <v>0-0</v>
      </c>
      <c r="P82" s="90">
        <f>SUMIF(NCAA_Bets[Date],M82,NCAA_Bets[Winnings])-SUMIF(NCAA_Bets[Date],M82,NCAA_Bets[Risk])</f>
        <v>0</v>
      </c>
      <c r="Q82" s="89" t="str">
        <f>IFERROR("("&amp;ROUND((SUMIF(NCAA_Bets[Date],M82,NCAA_Bets[Winnings])-SUMIF(NCAA_Bets[Date],M82,NCAA_Bets[Risk]))/SUMIF(NCAA_Bets[Date],M82,NCAA_Bets[Risk]),2)*100&amp;"%)","")</f>
        <v/>
      </c>
    </row>
    <row r="83" spans="2:17" x14ac:dyDescent="0.25">
      <c r="B83" s="101">
        <f t="shared" si="3"/>
        <v>8</v>
      </c>
      <c r="C83" s="6">
        <v>43494</v>
      </c>
      <c r="D83" s="6" t="s">
        <v>298</v>
      </c>
      <c r="E83" s="7" t="s">
        <v>617</v>
      </c>
      <c r="F83" s="8" t="s">
        <v>618</v>
      </c>
      <c r="G83" s="66">
        <v>5</v>
      </c>
      <c r="H83" s="30">
        <v>-110</v>
      </c>
      <c r="I83" s="64" t="s">
        <v>37</v>
      </c>
      <c r="J83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8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83"/>
      <c r="M83" s="71">
        <f t="shared" si="2"/>
        <v>0</v>
      </c>
      <c r="N83" s="71" t="str">
        <f>IFERROR(VLOOKUP(M83,NCAA_Bets[[Date]:[Version]],2,0),"")</f>
        <v/>
      </c>
      <c r="O83" s="94" t="str">
        <f>COUNTIFS(NCAA_Bets[Date],M83,NCAA_Bets[Result],"W")&amp;"-"&amp;COUNTIFS(NCAA_Bets[Date],M83,NCAA_Bets[Result],"L")&amp;IF(COUNTIFS(NCAA_Bets[Date],M83,NCAA_Bets[Result],"Push")&gt;0,"-"&amp;COUNTIFS(NCAA_Bets[Date],M83,NCAA_Bets[Result],"Push"),"")</f>
        <v>0-0</v>
      </c>
      <c r="P83" s="90">
        <f>SUMIF(NCAA_Bets[Date],M83,NCAA_Bets[Winnings])-SUMIF(NCAA_Bets[Date],M83,NCAA_Bets[Risk])</f>
        <v>0</v>
      </c>
      <c r="Q83" s="89" t="str">
        <f>IFERROR("("&amp;ROUND((SUMIF(NCAA_Bets[Date],M83,NCAA_Bets[Winnings])-SUMIF(NCAA_Bets[Date],M83,NCAA_Bets[Risk]))/SUMIF(NCAA_Bets[Date],M83,NCAA_Bets[Risk]),2)*100&amp;"%)","")</f>
        <v/>
      </c>
    </row>
    <row r="84" spans="2:17" x14ac:dyDescent="0.25">
      <c r="B84" s="101">
        <f t="shared" si="3"/>
        <v>8</v>
      </c>
      <c r="C84" s="6">
        <v>43494</v>
      </c>
      <c r="D84" s="6" t="s">
        <v>298</v>
      </c>
      <c r="E84" s="7" t="s">
        <v>617</v>
      </c>
      <c r="F84" s="8" t="s">
        <v>619</v>
      </c>
      <c r="G84" s="66">
        <v>5</v>
      </c>
      <c r="H84" s="30">
        <v>-105</v>
      </c>
      <c r="I84" s="64" t="s">
        <v>7</v>
      </c>
      <c r="J84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8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84"/>
      <c r="M84" s="71">
        <f t="shared" si="2"/>
        <v>0</v>
      </c>
      <c r="N84" s="71" t="str">
        <f>IFERROR(VLOOKUP(M84,NCAA_Bets[[Date]:[Version]],2,0),"")</f>
        <v/>
      </c>
      <c r="O84" s="94" t="str">
        <f>COUNTIFS(NCAA_Bets[Date],M84,NCAA_Bets[Result],"W")&amp;"-"&amp;COUNTIFS(NCAA_Bets[Date],M84,NCAA_Bets[Result],"L")&amp;IF(COUNTIFS(NCAA_Bets[Date],M84,NCAA_Bets[Result],"Push")&gt;0,"-"&amp;COUNTIFS(NCAA_Bets[Date],M84,NCAA_Bets[Result],"Push"),"")</f>
        <v>0-0</v>
      </c>
      <c r="P84" s="90">
        <f>SUMIF(NCAA_Bets[Date],M84,NCAA_Bets[Winnings])-SUMIF(NCAA_Bets[Date],M84,NCAA_Bets[Risk])</f>
        <v>0</v>
      </c>
      <c r="Q84" s="89" t="str">
        <f>IFERROR("("&amp;ROUND((SUMIF(NCAA_Bets[Date],M84,NCAA_Bets[Winnings])-SUMIF(NCAA_Bets[Date],M84,NCAA_Bets[Risk]))/SUMIF(NCAA_Bets[Date],M84,NCAA_Bets[Risk]),2)*100&amp;"%)","")</f>
        <v/>
      </c>
    </row>
    <row r="85" spans="2:17" x14ac:dyDescent="0.25">
      <c r="B85" s="101">
        <f t="shared" si="3"/>
        <v>8</v>
      </c>
      <c r="C85" s="6">
        <v>43494</v>
      </c>
      <c r="D85" s="6" t="s">
        <v>298</v>
      </c>
      <c r="E85" s="7" t="s">
        <v>620</v>
      </c>
      <c r="F85" s="8" t="s">
        <v>621</v>
      </c>
      <c r="G85" s="66">
        <v>5</v>
      </c>
      <c r="H85" s="30">
        <v>-105</v>
      </c>
      <c r="I85" s="64" t="s">
        <v>37</v>
      </c>
      <c r="J85" s="65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9.7619047619047628</v>
      </c>
      <c r="K8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85"/>
      <c r="M85" s="71">
        <f t="shared" si="2"/>
        <v>0</v>
      </c>
      <c r="N85" s="71" t="str">
        <f>IFERROR(VLOOKUP(M85,NCAA_Bets[[Date]:[Version]],2,0),"")</f>
        <v/>
      </c>
      <c r="O85" s="94" t="str">
        <f>COUNTIFS(NCAA_Bets[Date],M85,NCAA_Bets[Result],"W")&amp;"-"&amp;COUNTIFS(NCAA_Bets[Date],M85,NCAA_Bets[Result],"L")&amp;IF(COUNTIFS(NCAA_Bets[Date],M85,NCAA_Bets[Result],"Push")&gt;0,"-"&amp;COUNTIFS(NCAA_Bets[Date],M85,NCAA_Bets[Result],"Push"),"")</f>
        <v>0-0</v>
      </c>
      <c r="P85" s="90">
        <f>SUMIF(NCAA_Bets[Date],M85,NCAA_Bets[Winnings])-SUMIF(NCAA_Bets[Date],M85,NCAA_Bets[Risk])</f>
        <v>0</v>
      </c>
      <c r="Q85" s="89" t="str">
        <f>IFERROR("("&amp;ROUND((SUMIF(NCAA_Bets[Date],M85,NCAA_Bets[Winnings])-SUMIF(NCAA_Bets[Date],M85,NCAA_Bets[Risk]))/SUMIF(NCAA_Bets[Date],M85,NCAA_Bets[Risk]),2)*100&amp;"%)","")</f>
        <v/>
      </c>
    </row>
    <row r="86" spans="2:17" x14ac:dyDescent="0.25">
      <c r="B86" s="101">
        <f t="shared" si="3"/>
        <v>8</v>
      </c>
      <c r="C86" s="6">
        <v>43494</v>
      </c>
      <c r="D86" s="6" t="s">
        <v>298</v>
      </c>
      <c r="E86" s="7" t="s">
        <v>620</v>
      </c>
      <c r="F86" s="8" t="s">
        <v>560</v>
      </c>
      <c r="G86" s="66">
        <v>5</v>
      </c>
      <c r="H86" s="30">
        <v>-115</v>
      </c>
      <c r="I86" s="10" t="s">
        <v>37</v>
      </c>
      <c r="J8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8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86"/>
      <c r="M86" s="71">
        <f t="shared" si="2"/>
        <v>0</v>
      </c>
      <c r="N86" s="71" t="str">
        <f>IFERROR(VLOOKUP(M86,NCAA_Bets[[Date]:[Version]],2,0),"")</f>
        <v/>
      </c>
      <c r="O86" s="94" t="str">
        <f>COUNTIFS(NCAA_Bets[Date],M86,NCAA_Bets[Result],"W")&amp;"-"&amp;COUNTIFS(NCAA_Bets[Date],M86,NCAA_Bets[Result],"L")&amp;IF(COUNTIFS(NCAA_Bets[Date],M86,NCAA_Bets[Result],"Push")&gt;0,"-"&amp;COUNTIFS(NCAA_Bets[Date],M86,NCAA_Bets[Result],"Push"),"")</f>
        <v>0-0</v>
      </c>
      <c r="P86" s="90">
        <f>SUMIF(NCAA_Bets[Date],M86,NCAA_Bets[Winnings])-SUMIF(NCAA_Bets[Date],M86,NCAA_Bets[Risk])</f>
        <v>0</v>
      </c>
      <c r="Q86" s="89" t="str">
        <f>IFERROR("("&amp;ROUND((SUMIF(NCAA_Bets[Date],M86,NCAA_Bets[Winnings])-SUMIF(NCAA_Bets[Date],M86,NCAA_Bets[Risk]))/SUMIF(NCAA_Bets[Date],M86,NCAA_Bets[Risk]),2)*100&amp;"%)","")</f>
        <v/>
      </c>
    </row>
    <row r="87" spans="2:17" x14ac:dyDescent="0.25">
      <c r="B87" s="101">
        <f t="shared" si="3"/>
        <v>8</v>
      </c>
      <c r="C87" s="6">
        <v>43494</v>
      </c>
      <c r="D87" s="6" t="s">
        <v>298</v>
      </c>
      <c r="E87" s="7" t="s">
        <v>622</v>
      </c>
      <c r="F87" s="8" t="s">
        <v>623</v>
      </c>
      <c r="G87" s="66">
        <v>5</v>
      </c>
      <c r="H87" s="30">
        <v>-110</v>
      </c>
      <c r="I87" s="10" t="s">
        <v>7</v>
      </c>
      <c r="J8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8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87"/>
      <c r="M87" s="71">
        <f t="shared" si="2"/>
        <v>0</v>
      </c>
      <c r="N87" s="71" t="str">
        <f>IFERROR(VLOOKUP(M87,NCAA_Bets[[Date]:[Version]],2,0),"")</f>
        <v/>
      </c>
      <c r="O87" s="94" t="str">
        <f>COUNTIFS(NCAA_Bets[Date],M87,NCAA_Bets[Result],"W")&amp;"-"&amp;COUNTIFS(NCAA_Bets[Date],M87,NCAA_Bets[Result],"L")&amp;IF(COUNTIFS(NCAA_Bets[Date],M87,NCAA_Bets[Result],"Push")&gt;0,"-"&amp;COUNTIFS(NCAA_Bets[Date],M87,NCAA_Bets[Result],"Push"),"")</f>
        <v>0-0</v>
      </c>
      <c r="P87" s="90">
        <f>SUMIF(NCAA_Bets[Date],M87,NCAA_Bets[Winnings])-SUMIF(NCAA_Bets[Date],M87,NCAA_Bets[Risk])</f>
        <v>0</v>
      </c>
      <c r="Q87" s="89" t="str">
        <f>IFERROR("("&amp;ROUND((SUMIF(NCAA_Bets[Date],M87,NCAA_Bets[Winnings])-SUMIF(NCAA_Bets[Date],M87,NCAA_Bets[Risk]))/SUMIF(NCAA_Bets[Date],M87,NCAA_Bets[Risk]),2)*100&amp;"%)","")</f>
        <v/>
      </c>
    </row>
    <row r="88" spans="2:17" x14ac:dyDescent="0.25">
      <c r="B88" s="101">
        <f t="shared" si="3"/>
        <v>8</v>
      </c>
      <c r="C88" s="6">
        <v>43494</v>
      </c>
      <c r="D88" s="6" t="s">
        <v>298</v>
      </c>
      <c r="E88" s="7" t="s">
        <v>622</v>
      </c>
      <c r="F88" s="8" t="s">
        <v>624</v>
      </c>
      <c r="G88" s="66">
        <v>5</v>
      </c>
      <c r="H88" s="30">
        <v>-115</v>
      </c>
      <c r="I88" s="10" t="s">
        <v>37</v>
      </c>
      <c r="J8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8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88"/>
      <c r="M88" s="71">
        <f t="shared" si="2"/>
        <v>0</v>
      </c>
      <c r="N88" s="71" t="str">
        <f>IFERROR(VLOOKUP(M88,NCAA_Bets[[Date]:[Version]],2,0),"")</f>
        <v/>
      </c>
      <c r="O88" s="94" t="str">
        <f>COUNTIFS(NCAA_Bets[Date],M88,NCAA_Bets[Result],"W")&amp;"-"&amp;COUNTIFS(NCAA_Bets[Date],M88,NCAA_Bets[Result],"L")&amp;IF(COUNTIFS(NCAA_Bets[Date],M88,NCAA_Bets[Result],"Push")&gt;0,"-"&amp;COUNTIFS(NCAA_Bets[Date],M88,NCAA_Bets[Result],"Push"),"")</f>
        <v>0-0</v>
      </c>
      <c r="P88" s="90">
        <f>SUMIF(NCAA_Bets[Date],M88,NCAA_Bets[Winnings])-SUMIF(NCAA_Bets[Date],M88,NCAA_Bets[Risk])</f>
        <v>0</v>
      </c>
      <c r="Q88" s="89" t="str">
        <f>IFERROR("("&amp;ROUND((SUMIF(NCAA_Bets[Date],M88,NCAA_Bets[Winnings])-SUMIF(NCAA_Bets[Date],M88,NCAA_Bets[Risk]))/SUMIF(NCAA_Bets[Date],M88,NCAA_Bets[Risk]),2)*100&amp;"%)","")</f>
        <v/>
      </c>
    </row>
    <row r="89" spans="2:17" x14ac:dyDescent="0.25">
      <c r="B89" s="101">
        <f t="shared" si="3"/>
        <v>8</v>
      </c>
      <c r="C89" s="6">
        <v>43494</v>
      </c>
      <c r="D89" s="6" t="s">
        <v>298</v>
      </c>
      <c r="E89" s="7" t="s">
        <v>625</v>
      </c>
      <c r="F89" s="8" t="s">
        <v>626</v>
      </c>
      <c r="G89" s="66">
        <v>5</v>
      </c>
      <c r="H89" s="30">
        <v>-115</v>
      </c>
      <c r="I89" s="10" t="s">
        <v>37</v>
      </c>
      <c r="J8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8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89"/>
      <c r="M89" s="71">
        <f t="shared" si="2"/>
        <v>0</v>
      </c>
      <c r="N89" s="71" t="str">
        <f>IFERROR(VLOOKUP(M89,NCAA_Bets[[Date]:[Version]],2,0),"")</f>
        <v/>
      </c>
      <c r="O89" s="94" t="str">
        <f>COUNTIFS(NCAA_Bets[Date],M89,NCAA_Bets[Result],"W")&amp;"-"&amp;COUNTIFS(NCAA_Bets[Date],M89,NCAA_Bets[Result],"L")&amp;IF(COUNTIFS(NCAA_Bets[Date],M89,NCAA_Bets[Result],"Push")&gt;0,"-"&amp;COUNTIFS(NCAA_Bets[Date],M89,NCAA_Bets[Result],"Push"),"")</f>
        <v>0-0</v>
      </c>
      <c r="P89" s="90">
        <f>SUMIF(NCAA_Bets[Date],M89,NCAA_Bets[Winnings])-SUMIF(NCAA_Bets[Date],M89,NCAA_Bets[Risk])</f>
        <v>0</v>
      </c>
      <c r="Q89" s="89" t="str">
        <f>IFERROR("("&amp;ROUND((SUMIF(NCAA_Bets[Date],M89,NCAA_Bets[Winnings])-SUMIF(NCAA_Bets[Date],M89,NCAA_Bets[Risk]))/SUMIF(NCAA_Bets[Date],M89,NCAA_Bets[Risk]),2)*100&amp;"%)","")</f>
        <v/>
      </c>
    </row>
    <row r="90" spans="2:17" x14ac:dyDescent="0.25">
      <c r="B90" s="101">
        <f t="shared" si="3"/>
        <v>8</v>
      </c>
      <c r="C90" s="6">
        <v>43494</v>
      </c>
      <c r="D90" s="6" t="s">
        <v>298</v>
      </c>
      <c r="E90" s="7" t="s">
        <v>625</v>
      </c>
      <c r="F90" s="8" t="s">
        <v>627</v>
      </c>
      <c r="G90" s="66">
        <v>5</v>
      </c>
      <c r="H90" s="30">
        <v>-105</v>
      </c>
      <c r="I90" s="10" t="s">
        <v>7</v>
      </c>
      <c r="J9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9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90"/>
      <c r="M90" s="71">
        <f t="shared" ref="M90:M153" si="4">IFERROR(VLOOKUP(ROW()-4,B:C,2,0),0)</f>
        <v>0</v>
      </c>
      <c r="N90" s="71" t="str">
        <f>IFERROR(VLOOKUP(M90,NCAA_Bets[[Date]:[Version]],2,0),"")</f>
        <v/>
      </c>
      <c r="O90" s="94" t="str">
        <f>COUNTIFS(NCAA_Bets[Date],M90,NCAA_Bets[Result],"W")&amp;"-"&amp;COUNTIFS(NCAA_Bets[Date],M90,NCAA_Bets[Result],"L")&amp;IF(COUNTIFS(NCAA_Bets[Date],M90,NCAA_Bets[Result],"Push")&gt;0,"-"&amp;COUNTIFS(NCAA_Bets[Date],M90,NCAA_Bets[Result],"Push"),"")</f>
        <v>0-0</v>
      </c>
      <c r="P90" s="90">
        <f>SUMIF(NCAA_Bets[Date],M90,NCAA_Bets[Winnings])-SUMIF(NCAA_Bets[Date],M90,NCAA_Bets[Risk])</f>
        <v>0</v>
      </c>
      <c r="Q90" s="89" t="str">
        <f>IFERROR("("&amp;ROUND((SUMIF(NCAA_Bets[Date],M90,NCAA_Bets[Winnings])-SUMIF(NCAA_Bets[Date],M90,NCAA_Bets[Risk]))/SUMIF(NCAA_Bets[Date],M90,NCAA_Bets[Risk]),2)*100&amp;"%)","")</f>
        <v/>
      </c>
    </row>
    <row r="91" spans="2:17" x14ac:dyDescent="0.25">
      <c r="B91" s="101">
        <f t="shared" si="3"/>
        <v>8</v>
      </c>
      <c r="C91" s="6">
        <v>43494</v>
      </c>
      <c r="D91" s="6" t="s">
        <v>298</v>
      </c>
      <c r="E91" s="7" t="s">
        <v>628</v>
      </c>
      <c r="F91" s="8" t="s">
        <v>629</v>
      </c>
      <c r="G91" s="66">
        <v>5</v>
      </c>
      <c r="H91" s="30">
        <v>-110</v>
      </c>
      <c r="I91" s="10" t="s">
        <v>69</v>
      </c>
      <c r="J9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5</v>
      </c>
      <c r="K9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91"/>
      <c r="M91" s="71">
        <f t="shared" si="4"/>
        <v>0</v>
      </c>
      <c r="N91" s="71" t="str">
        <f>IFERROR(VLOOKUP(M91,NCAA_Bets[[Date]:[Version]],2,0),"")</f>
        <v/>
      </c>
      <c r="O91" s="94" t="str">
        <f>COUNTIFS(NCAA_Bets[Date],M91,NCAA_Bets[Result],"W")&amp;"-"&amp;COUNTIFS(NCAA_Bets[Date],M91,NCAA_Bets[Result],"L")&amp;IF(COUNTIFS(NCAA_Bets[Date],M91,NCAA_Bets[Result],"Push")&gt;0,"-"&amp;COUNTIFS(NCAA_Bets[Date],M91,NCAA_Bets[Result],"Push"),"")</f>
        <v>0-0</v>
      </c>
      <c r="P91" s="90">
        <f>SUMIF(NCAA_Bets[Date],M91,NCAA_Bets[Winnings])-SUMIF(NCAA_Bets[Date],M91,NCAA_Bets[Risk])</f>
        <v>0</v>
      </c>
      <c r="Q91" s="89" t="str">
        <f>IFERROR("("&amp;ROUND((SUMIF(NCAA_Bets[Date],M91,NCAA_Bets[Winnings])-SUMIF(NCAA_Bets[Date],M91,NCAA_Bets[Risk]))/SUMIF(NCAA_Bets[Date],M91,NCAA_Bets[Risk]),2)*100&amp;"%)","")</f>
        <v/>
      </c>
    </row>
    <row r="92" spans="2:17" x14ac:dyDescent="0.25">
      <c r="B92" s="101">
        <f t="shared" si="3"/>
        <v>8</v>
      </c>
      <c r="C92" s="6">
        <v>43494</v>
      </c>
      <c r="D92" s="6" t="s">
        <v>298</v>
      </c>
      <c r="E92" s="7" t="s">
        <v>630</v>
      </c>
      <c r="F92" s="8" t="s">
        <v>631</v>
      </c>
      <c r="G92" s="66">
        <v>5</v>
      </c>
      <c r="H92" s="30">
        <v>-110</v>
      </c>
      <c r="I92" s="10" t="s">
        <v>37</v>
      </c>
      <c r="J9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9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92"/>
      <c r="M92" s="71">
        <f t="shared" si="4"/>
        <v>0</v>
      </c>
      <c r="N92" s="71" t="str">
        <f>IFERROR(VLOOKUP(M92,NCAA_Bets[[Date]:[Version]],2,0),"")</f>
        <v/>
      </c>
      <c r="O92" s="94" t="str">
        <f>COUNTIFS(NCAA_Bets[Date],M92,NCAA_Bets[Result],"W")&amp;"-"&amp;COUNTIFS(NCAA_Bets[Date],M92,NCAA_Bets[Result],"L")&amp;IF(COUNTIFS(NCAA_Bets[Date],M92,NCAA_Bets[Result],"Push")&gt;0,"-"&amp;COUNTIFS(NCAA_Bets[Date],M92,NCAA_Bets[Result],"Push"),"")</f>
        <v>0-0</v>
      </c>
      <c r="P92" s="90">
        <f>SUMIF(NCAA_Bets[Date],M92,NCAA_Bets[Winnings])-SUMIF(NCAA_Bets[Date],M92,NCAA_Bets[Risk])</f>
        <v>0</v>
      </c>
      <c r="Q92" s="89" t="str">
        <f>IFERROR("("&amp;ROUND((SUMIF(NCAA_Bets[Date],M92,NCAA_Bets[Winnings])-SUMIF(NCAA_Bets[Date],M92,NCAA_Bets[Risk]))/SUMIF(NCAA_Bets[Date],M92,NCAA_Bets[Risk]),2)*100&amp;"%)","")</f>
        <v/>
      </c>
    </row>
    <row r="93" spans="2:17" x14ac:dyDescent="0.25">
      <c r="B93" s="101">
        <f t="shared" si="3"/>
        <v>9</v>
      </c>
      <c r="C93" s="6">
        <v>43495</v>
      </c>
      <c r="D93" s="6" t="s">
        <v>298</v>
      </c>
      <c r="E93" s="7" t="s">
        <v>632</v>
      </c>
      <c r="F93" s="8" t="s">
        <v>633</v>
      </c>
      <c r="G93" s="66">
        <v>5</v>
      </c>
      <c r="H93" s="30">
        <v>-115</v>
      </c>
      <c r="I93" s="10" t="s">
        <v>37</v>
      </c>
      <c r="J9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9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93"/>
      <c r="M93" s="71">
        <f t="shared" si="4"/>
        <v>0</v>
      </c>
      <c r="N93" s="71" t="str">
        <f>IFERROR(VLOOKUP(M93,NCAA_Bets[[Date]:[Version]],2,0),"")</f>
        <v/>
      </c>
      <c r="O93" s="94" t="str">
        <f>COUNTIFS(NCAA_Bets[Date],M93,NCAA_Bets[Result],"W")&amp;"-"&amp;COUNTIFS(NCAA_Bets[Date],M93,NCAA_Bets[Result],"L")&amp;IF(COUNTIFS(NCAA_Bets[Date],M93,NCAA_Bets[Result],"Push")&gt;0,"-"&amp;COUNTIFS(NCAA_Bets[Date],M93,NCAA_Bets[Result],"Push"),"")</f>
        <v>0-0</v>
      </c>
      <c r="P93" s="90">
        <f>SUMIF(NCAA_Bets[Date],M93,NCAA_Bets[Winnings])-SUMIF(NCAA_Bets[Date],M93,NCAA_Bets[Risk])</f>
        <v>0</v>
      </c>
      <c r="Q93" s="89" t="str">
        <f>IFERROR("("&amp;ROUND((SUMIF(NCAA_Bets[Date],M93,NCAA_Bets[Winnings])-SUMIF(NCAA_Bets[Date],M93,NCAA_Bets[Risk]))/SUMIF(NCAA_Bets[Date],M93,NCAA_Bets[Risk]),2)*100&amp;"%)","")</f>
        <v/>
      </c>
    </row>
    <row r="94" spans="2:17" x14ac:dyDescent="0.25">
      <c r="B94" s="101">
        <f t="shared" si="3"/>
        <v>9</v>
      </c>
      <c r="C94" s="6">
        <v>43495</v>
      </c>
      <c r="D94" s="6" t="s">
        <v>298</v>
      </c>
      <c r="E94" s="7" t="s">
        <v>632</v>
      </c>
      <c r="F94" s="8" t="s">
        <v>475</v>
      </c>
      <c r="G94" s="66">
        <v>5</v>
      </c>
      <c r="H94" s="30">
        <v>-110</v>
      </c>
      <c r="I94" s="10" t="s">
        <v>37</v>
      </c>
      <c r="J9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9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94"/>
      <c r="M94" s="71">
        <f t="shared" si="4"/>
        <v>0</v>
      </c>
      <c r="N94" s="71" t="str">
        <f>IFERROR(VLOOKUP(M94,NCAA_Bets[[Date]:[Version]],2,0),"")</f>
        <v/>
      </c>
      <c r="O94" s="94" t="str">
        <f>COUNTIFS(NCAA_Bets[Date],M94,NCAA_Bets[Result],"W")&amp;"-"&amp;COUNTIFS(NCAA_Bets[Date],M94,NCAA_Bets[Result],"L")&amp;IF(COUNTIFS(NCAA_Bets[Date],M94,NCAA_Bets[Result],"Push")&gt;0,"-"&amp;COUNTIFS(NCAA_Bets[Date],M94,NCAA_Bets[Result],"Push"),"")</f>
        <v>0-0</v>
      </c>
      <c r="P94" s="90">
        <f>SUMIF(NCAA_Bets[Date],M94,NCAA_Bets[Winnings])-SUMIF(NCAA_Bets[Date],M94,NCAA_Bets[Risk])</f>
        <v>0</v>
      </c>
      <c r="Q94" s="89" t="str">
        <f>IFERROR("("&amp;ROUND((SUMIF(NCAA_Bets[Date],M94,NCAA_Bets[Winnings])-SUMIF(NCAA_Bets[Date],M94,NCAA_Bets[Risk]))/SUMIF(NCAA_Bets[Date],M94,NCAA_Bets[Risk]),2)*100&amp;"%)","")</f>
        <v/>
      </c>
    </row>
    <row r="95" spans="2:17" x14ac:dyDescent="0.25">
      <c r="B95" s="101">
        <f t="shared" si="3"/>
        <v>9</v>
      </c>
      <c r="C95" s="6">
        <v>43495</v>
      </c>
      <c r="D95" s="6" t="s">
        <v>298</v>
      </c>
      <c r="E95" s="7" t="s">
        <v>634</v>
      </c>
      <c r="F95" s="8" t="s">
        <v>635</v>
      </c>
      <c r="G95" s="66">
        <v>5</v>
      </c>
      <c r="H95" s="30">
        <v>-105</v>
      </c>
      <c r="I95" s="10" t="s">
        <v>7</v>
      </c>
      <c r="J9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9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95"/>
      <c r="M95" s="71">
        <f t="shared" si="4"/>
        <v>0</v>
      </c>
      <c r="N95" s="71" t="str">
        <f>IFERROR(VLOOKUP(M95,NCAA_Bets[[Date]:[Version]],2,0),"")</f>
        <v/>
      </c>
      <c r="O95" s="94" t="str">
        <f>COUNTIFS(NCAA_Bets[Date],M95,NCAA_Bets[Result],"W")&amp;"-"&amp;COUNTIFS(NCAA_Bets[Date],M95,NCAA_Bets[Result],"L")&amp;IF(COUNTIFS(NCAA_Bets[Date],M95,NCAA_Bets[Result],"Push")&gt;0,"-"&amp;COUNTIFS(NCAA_Bets[Date],M95,NCAA_Bets[Result],"Push"),"")</f>
        <v>0-0</v>
      </c>
      <c r="P95" s="90">
        <f>SUMIF(NCAA_Bets[Date],M95,NCAA_Bets[Winnings])-SUMIF(NCAA_Bets[Date],M95,NCAA_Bets[Risk])</f>
        <v>0</v>
      </c>
      <c r="Q95" s="89" t="str">
        <f>IFERROR("("&amp;ROUND((SUMIF(NCAA_Bets[Date],M95,NCAA_Bets[Winnings])-SUMIF(NCAA_Bets[Date],M95,NCAA_Bets[Risk]))/SUMIF(NCAA_Bets[Date],M95,NCAA_Bets[Risk]),2)*100&amp;"%)","")</f>
        <v/>
      </c>
    </row>
    <row r="96" spans="2:17" x14ac:dyDescent="0.25">
      <c r="B96" s="101">
        <f t="shared" si="3"/>
        <v>9</v>
      </c>
      <c r="C96" s="6">
        <v>43495</v>
      </c>
      <c r="D96" s="6" t="s">
        <v>298</v>
      </c>
      <c r="E96" s="7" t="s">
        <v>636</v>
      </c>
      <c r="F96" s="8" t="s">
        <v>637</v>
      </c>
      <c r="G96" s="66">
        <v>5</v>
      </c>
      <c r="H96" s="30">
        <v>-110</v>
      </c>
      <c r="I96" s="10" t="s">
        <v>37</v>
      </c>
      <c r="J9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9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96"/>
      <c r="M96" s="71">
        <f t="shared" si="4"/>
        <v>0</v>
      </c>
      <c r="N96" s="71" t="str">
        <f>IFERROR(VLOOKUP(M96,NCAA_Bets[[Date]:[Version]],2,0),"")</f>
        <v/>
      </c>
      <c r="O96" s="94" t="str">
        <f>COUNTIFS(NCAA_Bets[Date],M96,NCAA_Bets[Result],"W")&amp;"-"&amp;COUNTIFS(NCAA_Bets[Date],M96,NCAA_Bets[Result],"L")&amp;IF(COUNTIFS(NCAA_Bets[Date],M96,NCAA_Bets[Result],"Push")&gt;0,"-"&amp;COUNTIFS(NCAA_Bets[Date],M96,NCAA_Bets[Result],"Push"),"")</f>
        <v>0-0</v>
      </c>
      <c r="P96" s="90">
        <f>SUMIF(NCAA_Bets[Date],M96,NCAA_Bets[Winnings])-SUMIF(NCAA_Bets[Date],M96,NCAA_Bets[Risk])</f>
        <v>0</v>
      </c>
      <c r="Q96" s="89" t="str">
        <f>IFERROR("("&amp;ROUND((SUMIF(NCAA_Bets[Date],M96,NCAA_Bets[Winnings])-SUMIF(NCAA_Bets[Date],M96,NCAA_Bets[Risk]))/SUMIF(NCAA_Bets[Date],M96,NCAA_Bets[Risk]),2)*100&amp;"%)","")</f>
        <v/>
      </c>
    </row>
    <row r="97" spans="2:17" x14ac:dyDescent="0.25">
      <c r="B97" s="101">
        <f t="shared" si="3"/>
        <v>9</v>
      </c>
      <c r="C97" s="6">
        <v>43495</v>
      </c>
      <c r="D97" s="6" t="s">
        <v>298</v>
      </c>
      <c r="E97" s="7" t="s">
        <v>636</v>
      </c>
      <c r="F97" s="8" t="s">
        <v>521</v>
      </c>
      <c r="G97" s="66">
        <v>5</v>
      </c>
      <c r="H97" s="30">
        <v>-105</v>
      </c>
      <c r="I97" s="10" t="s">
        <v>37</v>
      </c>
      <c r="J9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9.7619047619047628</v>
      </c>
      <c r="K9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97"/>
      <c r="M97" s="71">
        <f t="shared" si="4"/>
        <v>0</v>
      </c>
      <c r="N97" s="71" t="str">
        <f>IFERROR(VLOOKUP(M97,NCAA_Bets[[Date]:[Version]],2,0),"")</f>
        <v/>
      </c>
      <c r="O97" s="94" t="str">
        <f>COUNTIFS(NCAA_Bets[Date],M97,NCAA_Bets[Result],"W")&amp;"-"&amp;COUNTIFS(NCAA_Bets[Date],M97,NCAA_Bets[Result],"L")&amp;IF(COUNTIFS(NCAA_Bets[Date],M97,NCAA_Bets[Result],"Push")&gt;0,"-"&amp;COUNTIFS(NCAA_Bets[Date],M97,NCAA_Bets[Result],"Push"),"")</f>
        <v>0-0</v>
      </c>
      <c r="P97" s="90">
        <f>SUMIF(NCAA_Bets[Date],M97,NCAA_Bets[Winnings])-SUMIF(NCAA_Bets[Date],M97,NCAA_Bets[Risk])</f>
        <v>0</v>
      </c>
      <c r="Q97" s="89" t="str">
        <f>IFERROR("("&amp;ROUND((SUMIF(NCAA_Bets[Date],M97,NCAA_Bets[Winnings])-SUMIF(NCAA_Bets[Date],M97,NCAA_Bets[Risk]))/SUMIF(NCAA_Bets[Date],M97,NCAA_Bets[Risk]),2)*100&amp;"%)","")</f>
        <v/>
      </c>
    </row>
    <row r="98" spans="2:17" x14ac:dyDescent="0.25">
      <c r="B98" s="101">
        <f t="shared" si="3"/>
        <v>9</v>
      </c>
      <c r="C98" s="6">
        <v>43495</v>
      </c>
      <c r="D98" s="6" t="s">
        <v>298</v>
      </c>
      <c r="E98" s="7" t="s">
        <v>638</v>
      </c>
      <c r="F98" s="8" t="s">
        <v>639</v>
      </c>
      <c r="G98" s="66">
        <v>5</v>
      </c>
      <c r="H98" s="30">
        <v>-115</v>
      </c>
      <c r="I98" s="10" t="s">
        <v>37</v>
      </c>
      <c r="J9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9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98"/>
      <c r="M98" s="71">
        <f t="shared" si="4"/>
        <v>0</v>
      </c>
      <c r="N98" s="71" t="str">
        <f>IFERROR(VLOOKUP(M98,NCAA_Bets[[Date]:[Version]],2,0),"")</f>
        <v/>
      </c>
      <c r="O98" s="94" t="str">
        <f>COUNTIFS(NCAA_Bets[Date],M98,NCAA_Bets[Result],"W")&amp;"-"&amp;COUNTIFS(NCAA_Bets[Date],M98,NCAA_Bets[Result],"L")&amp;IF(COUNTIFS(NCAA_Bets[Date],M98,NCAA_Bets[Result],"Push")&gt;0,"-"&amp;COUNTIFS(NCAA_Bets[Date],M98,NCAA_Bets[Result],"Push"),"")</f>
        <v>0-0</v>
      </c>
      <c r="P98" s="90">
        <f>SUMIF(NCAA_Bets[Date],M98,NCAA_Bets[Winnings])-SUMIF(NCAA_Bets[Date],M98,NCAA_Bets[Risk])</f>
        <v>0</v>
      </c>
      <c r="Q98" s="89" t="str">
        <f>IFERROR("("&amp;ROUND((SUMIF(NCAA_Bets[Date],M98,NCAA_Bets[Winnings])-SUMIF(NCAA_Bets[Date],M98,NCAA_Bets[Risk]))/SUMIF(NCAA_Bets[Date],M98,NCAA_Bets[Risk]),2)*100&amp;"%)","")</f>
        <v/>
      </c>
    </row>
    <row r="99" spans="2:17" x14ac:dyDescent="0.25">
      <c r="B99" s="101">
        <f t="shared" si="3"/>
        <v>9</v>
      </c>
      <c r="C99" s="6">
        <v>43495</v>
      </c>
      <c r="D99" s="6" t="s">
        <v>298</v>
      </c>
      <c r="E99" s="7" t="s">
        <v>638</v>
      </c>
      <c r="F99" s="8" t="s">
        <v>640</v>
      </c>
      <c r="G99" s="66">
        <v>5</v>
      </c>
      <c r="H99" s="30">
        <v>-115</v>
      </c>
      <c r="I99" s="10" t="s">
        <v>7</v>
      </c>
      <c r="J9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9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99"/>
      <c r="M99" s="71">
        <f t="shared" si="4"/>
        <v>0</v>
      </c>
      <c r="N99" s="71" t="str">
        <f>IFERROR(VLOOKUP(M99,NCAA_Bets[[Date]:[Version]],2,0),"")</f>
        <v/>
      </c>
      <c r="O99" s="94" t="str">
        <f>COUNTIFS(NCAA_Bets[Date],M99,NCAA_Bets[Result],"W")&amp;"-"&amp;COUNTIFS(NCAA_Bets[Date],M99,NCAA_Bets[Result],"L")&amp;IF(COUNTIFS(NCAA_Bets[Date],M99,NCAA_Bets[Result],"Push")&gt;0,"-"&amp;COUNTIFS(NCAA_Bets[Date],M99,NCAA_Bets[Result],"Push"),"")</f>
        <v>0-0</v>
      </c>
      <c r="P99" s="90">
        <f>SUMIF(NCAA_Bets[Date],M99,NCAA_Bets[Winnings])-SUMIF(NCAA_Bets[Date],M99,NCAA_Bets[Risk])</f>
        <v>0</v>
      </c>
      <c r="Q99" s="89" t="str">
        <f>IFERROR("("&amp;ROUND((SUMIF(NCAA_Bets[Date],M99,NCAA_Bets[Winnings])-SUMIF(NCAA_Bets[Date],M99,NCAA_Bets[Risk]))/SUMIF(NCAA_Bets[Date],M99,NCAA_Bets[Risk]),2)*100&amp;"%)","")</f>
        <v/>
      </c>
    </row>
    <row r="100" spans="2:17" x14ac:dyDescent="0.25">
      <c r="B100" s="101">
        <f t="shared" si="3"/>
        <v>9</v>
      </c>
      <c r="C100" s="6">
        <v>43495</v>
      </c>
      <c r="D100" s="6" t="s">
        <v>298</v>
      </c>
      <c r="E100" s="7" t="s">
        <v>641</v>
      </c>
      <c r="F100" s="8" t="s">
        <v>652</v>
      </c>
      <c r="G100" s="66">
        <v>5</v>
      </c>
      <c r="H100" s="30">
        <v>-110</v>
      </c>
      <c r="I100" s="10" t="s">
        <v>7</v>
      </c>
      <c r="J10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0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00"/>
      <c r="M100" s="71">
        <f t="shared" si="4"/>
        <v>0</v>
      </c>
      <c r="N100" s="71" t="str">
        <f>IFERROR(VLOOKUP(M100,NCAA_Bets[[Date]:[Version]],2,0),"")</f>
        <v/>
      </c>
      <c r="O100" s="94" t="str">
        <f>COUNTIFS(NCAA_Bets[Date],M100,NCAA_Bets[Result],"W")&amp;"-"&amp;COUNTIFS(NCAA_Bets[Date],M100,NCAA_Bets[Result],"L")&amp;IF(COUNTIFS(NCAA_Bets[Date],M100,NCAA_Bets[Result],"Push")&gt;0,"-"&amp;COUNTIFS(NCAA_Bets[Date],M100,NCAA_Bets[Result],"Push"),"")</f>
        <v>0-0</v>
      </c>
      <c r="P100" s="90">
        <f>SUMIF(NCAA_Bets[Date],M100,NCAA_Bets[Winnings])-SUMIF(NCAA_Bets[Date],M100,NCAA_Bets[Risk])</f>
        <v>0</v>
      </c>
      <c r="Q100" s="89" t="str">
        <f>IFERROR("("&amp;ROUND((SUMIF(NCAA_Bets[Date],M100,NCAA_Bets[Winnings])-SUMIF(NCAA_Bets[Date],M100,NCAA_Bets[Risk]))/SUMIF(NCAA_Bets[Date],M100,NCAA_Bets[Risk]),2)*100&amp;"%)","")</f>
        <v/>
      </c>
    </row>
    <row r="101" spans="2:17" x14ac:dyDescent="0.25">
      <c r="B101" s="101">
        <f t="shared" si="3"/>
        <v>9</v>
      </c>
      <c r="C101" s="6">
        <v>43495</v>
      </c>
      <c r="D101" s="6" t="s">
        <v>298</v>
      </c>
      <c r="E101" s="7" t="s">
        <v>641</v>
      </c>
      <c r="F101" s="8" t="s">
        <v>566</v>
      </c>
      <c r="G101" s="66">
        <v>5</v>
      </c>
      <c r="H101" s="30">
        <v>-115</v>
      </c>
      <c r="I101" s="10" t="s">
        <v>37</v>
      </c>
      <c r="J10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10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01"/>
      <c r="M101" s="71">
        <f t="shared" si="4"/>
        <v>0</v>
      </c>
      <c r="N101" s="71" t="str">
        <f>IFERROR(VLOOKUP(M101,NCAA_Bets[[Date]:[Version]],2,0),"")</f>
        <v/>
      </c>
      <c r="O101" s="94" t="str">
        <f>COUNTIFS(NCAA_Bets[Date],M101,NCAA_Bets[Result],"W")&amp;"-"&amp;COUNTIFS(NCAA_Bets[Date],M101,NCAA_Bets[Result],"L")&amp;IF(COUNTIFS(NCAA_Bets[Date],M101,NCAA_Bets[Result],"Push")&gt;0,"-"&amp;COUNTIFS(NCAA_Bets[Date],M101,NCAA_Bets[Result],"Push"),"")</f>
        <v>0-0</v>
      </c>
      <c r="P101" s="90">
        <f>SUMIF(NCAA_Bets[Date],M101,NCAA_Bets[Winnings])-SUMIF(NCAA_Bets[Date],M101,NCAA_Bets[Risk])</f>
        <v>0</v>
      </c>
      <c r="Q101" s="89" t="str">
        <f>IFERROR("("&amp;ROUND((SUMIF(NCAA_Bets[Date],M101,NCAA_Bets[Winnings])-SUMIF(NCAA_Bets[Date],M101,NCAA_Bets[Risk]))/SUMIF(NCAA_Bets[Date],M101,NCAA_Bets[Risk]),2)*100&amp;"%)","")</f>
        <v/>
      </c>
    </row>
    <row r="102" spans="2:17" x14ac:dyDescent="0.25">
      <c r="B102" s="101">
        <f t="shared" si="3"/>
        <v>9</v>
      </c>
      <c r="C102" s="6">
        <v>43495</v>
      </c>
      <c r="D102" s="6" t="s">
        <v>298</v>
      </c>
      <c r="E102" s="7" t="s">
        <v>642</v>
      </c>
      <c r="F102" s="8" t="s">
        <v>639</v>
      </c>
      <c r="G102" s="66">
        <v>5</v>
      </c>
      <c r="H102" s="30">
        <v>-110</v>
      </c>
      <c r="I102" s="10" t="s">
        <v>37</v>
      </c>
      <c r="J10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0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02"/>
      <c r="M102" s="71">
        <f t="shared" si="4"/>
        <v>0</v>
      </c>
      <c r="N102" s="71" t="str">
        <f>IFERROR(VLOOKUP(M102,NCAA_Bets[[Date]:[Version]],2,0),"")</f>
        <v/>
      </c>
      <c r="O102" s="94" t="str">
        <f>COUNTIFS(NCAA_Bets[Date],M102,NCAA_Bets[Result],"W")&amp;"-"&amp;COUNTIFS(NCAA_Bets[Date],M102,NCAA_Bets[Result],"L")&amp;IF(COUNTIFS(NCAA_Bets[Date],M102,NCAA_Bets[Result],"Push")&gt;0,"-"&amp;COUNTIFS(NCAA_Bets[Date],M102,NCAA_Bets[Result],"Push"),"")</f>
        <v>0-0</v>
      </c>
      <c r="P102" s="90">
        <f>SUMIF(NCAA_Bets[Date],M102,NCAA_Bets[Winnings])-SUMIF(NCAA_Bets[Date],M102,NCAA_Bets[Risk])</f>
        <v>0</v>
      </c>
      <c r="Q102" s="89" t="str">
        <f>IFERROR("("&amp;ROUND((SUMIF(NCAA_Bets[Date],M102,NCAA_Bets[Winnings])-SUMIF(NCAA_Bets[Date],M102,NCAA_Bets[Risk]))/SUMIF(NCAA_Bets[Date],M102,NCAA_Bets[Risk]),2)*100&amp;"%)","")</f>
        <v/>
      </c>
    </row>
    <row r="103" spans="2:17" x14ac:dyDescent="0.25">
      <c r="B103" s="101">
        <f t="shared" si="3"/>
        <v>9</v>
      </c>
      <c r="C103" s="6">
        <v>43495</v>
      </c>
      <c r="D103" s="6" t="s">
        <v>298</v>
      </c>
      <c r="E103" s="7" t="s">
        <v>642</v>
      </c>
      <c r="F103" s="8" t="s">
        <v>643</v>
      </c>
      <c r="G103" s="66">
        <v>5</v>
      </c>
      <c r="H103" s="30">
        <v>-115</v>
      </c>
      <c r="I103" s="10" t="s">
        <v>7</v>
      </c>
      <c r="J10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0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03"/>
      <c r="M103" s="71">
        <f t="shared" si="4"/>
        <v>0</v>
      </c>
      <c r="N103" s="71" t="str">
        <f>IFERROR(VLOOKUP(M103,NCAA_Bets[[Date]:[Version]],2,0),"")</f>
        <v/>
      </c>
      <c r="O103" s="94" t="str">
        <f>COUNTIFS(NCAA_Bets[Date],M103,NCAA_Bets[Result],"W")&amp;"-"&amp;COUNTIFS(NCAA_Bets[Date],M103,NCAA_Bets[Result],"L")&amp;IF(COUNTIFS(NCAA_Bets[Date],M103,NCAA_Bets[Result],"Push")&gt;0,"-"&amp;COUNTIFS(NCAA_Bets[Date],M103,NCAA_Bets[Result],"Push"),"")</f>
        <v>0-0</v>
      </c>
      <c r="P103" s="90">
        <f>SUMIF(NCAA_Bets[Date],M103,NCAA_Bets[Winnings])-SUMIF(NCAA_Bets[Date],M103,NCAA_Bets[Risk])</f>
        <v>0</v>
      </c>
      <c r="Q103" s="89" t="str">
        <f>IFERROR("("&amp;ROUND((SUMIF(NCAA_Bets[Date],M103,NCAA_Bets[Winnings])-SUMIF(NCAA_Bets[Date],M103,NCAA_Bets[Risk]))/SUMIF(NCAA_Bets[Date],M103,NCAA_Bets[Risk]),2)*100&amp;"%)","")</f>
        <v/>
      </c>
    </row>
    <row r="104" spans="2:17" x14ac:dyDescent="0.25">
      <c r="B104" s="101">
        <f t="shared" si="3"/>
        <v>9</v>
      </c>
      <c r="C104" s="6">
        <v>43495</v>
      </c>
      <c r="D104" s="6" t="s">
        <v>298</v>
      </c>
      <c r="E104" s="7" t="s">
        <v>644</v>
      </c>
      <c r="F104" s="8" t="s">
        <v>645</v>
      </c>
      <c r="G104" s="66">
        <v>5</v>
      </c>
      <c r="H104" s="30">
        <v>-115</v>
      </c>
      <c r="I104" s="10" t="s">
        <v>7</v>
      </c>
      <c r="J10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0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04"/>
      <c r="M104" s="71">
        <f t="shared" si="4"/>
        <v>0</v>
      </c>
      <c r="N104" s="71" t="str">
        <f>IFERROR(VLOOKUP(M104,NCAA_Bets[[Date]:[Version]],2,0),"")</f>
        <v/>
      </c>
      <c r="O104" s="94" t="str">
        <f>COUNTIFS(NCAA_Bets[Date],M104,NCAA_Bets[Result],"W")&amp;"-"&amp;COUNTIFS(NCAA_Bets[Date],M104,NCAA_Bets[Result],"L")&amp;IF(COUNTIFS(NCAA_Bets[Date],M104,NCAA_Bets[Result],"Push")&gt;0,"-"&amp;COUNTIFS(NCAA_Bets[Date],M104,NCAA_Bets[Result],"Push"),"")</f>
        <v>0-0</v>
      </c>
      <c r="P104" s="90">
        <f>SUMIF(NCAA_Bets[Date],M104,NCAA_Bets[Winnings])-SUMIF(NCAA_Bets[Date],M104,NCAA_Bets[Risk])</f>
        <v>0</v>
      </c>
      <c r="Q104" s="89" t="str">
        <f>IFERROR("("&amp;ROUND((SUMIF(NCAA_Bets[Date],M104,NCAA_Bets[Winnings])-SUMIF(NCAA_Bets[Date],M104,NCAA_Bets[Risk]))/SUMIF(NCAA_Bets[Date],M104,NCAA_Bets[Risk]),2)*100&amp;"%)","")</f>
        <v/>
      </c>
    </row>
    <row r="105" spans="2:17" x14ac:dyDescent="0.25">
      <c r="B105" s="101">
        <f t="shared" si="3"/>
        <v>9</v>
      </c>
      <c r="C105" s="6">
        <v>43495</v>
      </c>
      <c r="D105" s="6" t="s">
        <v>298</v>
      </c>
      <c r="E105" s="7" t="s">
        <v>644</v>
      </c>
      <c r="F105" s="8" t="s">
        <v>646</v>
      </c>
      <c r="G105" s="66">
        <v>5</v>
      </c>
      <c r="H105" s="30">
        <v>-110</v>
      </c>
      <c r="I105" s="10" t="s">
        <v>7</v>
      </c>
      <c r="J10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0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05"/>
      <c r="M105" s="71">
        <f t="shared" si="4"/>
        <v>0</v>
      </c>
      <c r="N105" s="71" t="str">
        <f>IFERROR(VLOOKUP(M105,NCAA_Bets[[Date]:[Version]],2,0),"")</f>
        <v/>
      </c>
      <c r="O105" s="94" t="str">
        <f>COUNTIFS(NCAA_Bets[Date],M105,NCAA_Bets[Result],"W")&amp;"-"&amp;COUNTIFS(NCAA_Bets[Date],M105,NCAA_Bets[Result],"L")&amp;IF(COUNTIFS(NCAA_Bets[Date],M105,NCAA_Bets[Result],"Push")&gt;0,"-"&amp;COUNTIFS(NCAA_Bets[Date],M105,NCAA_Bets[Result],"Push"),"")</f>
        <v>0-0</v>
      </c>
      <c r="P105" s="90">
        <f>SUMIF(NCAA_Bets[Date],M105,NCAA_Bets[Winnings])-SUMIF(NCAA_Bets[Date],M105,NCAA_Bets[Risk])</f>
        <v>0</v>
      </c>
      <c r="Q105" s="89" t="str">
        <f>IFERROR("("&amp;ROUND((SUMIF(NCAA_Bets[Date],M105,NCAA_Bets[Winnings])-SUMIF(NCAA_Bets[Date],M105,NCAA_Bets[Risk]))/SUMIF(NCAA_Bets[Date],M105,NCAA_Bets[Risk]),2)*100&amp;"%)","")</f>
        <v/>
      </c>
    </row>
    <row r="106" spans="2:17" x14ac:dyDescent="0.25">
      <c r="B106" s="101">
        <f t="shared" si="3"/>
        <v>9</v>
      </c>
      <c r="C106" s="6">
        <v>43495</v>
      </c>
      <c r="D106" s="6" t="s">
        <v>298</v>
      </c>
      <c r="E106" s="7" t="s">
        <v>647</v>
      </c>
      <c r="F106" s="8" t="s">
        <v>490</v>
      </c>
      <c r="G106" s="66">
        <v>5</v>
      </c>
      <c r="H106" s="30">
        <v>-110</v>
      </c>
      <c r="I106" s="10" t="s">
        <v>37</v>
      </c>
      <c r="J10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0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06"/>
      <c r="M106" s="71">
        <f t="shared" si="4"/>
        <v>0</v>
      </c>
      <c r="N106" s="71" t="str">
        <f>IFERROR(VLOOKUP(M106,NCAA_Bets[[Date]:[Version]],2,0),"")</f>
        <v/>
      </c>
      <c r="O106" s="94" t="str">
        <f>COUNTIFS(NCAA_Bets[Date],M106,NCAA_Bets[Result],"W")&amp;"-"&amp;COUNTIFS(NCAA_Bets[Date],M106,NCAA_Bets[Result],"L")&amp;IF(COUNTIFS(NCAA_Bets[Date],M106,NCAA_Bets[Result],"Push")&gt;0,"-"&amp;COUNTIFS(NCAA_Bets[Date],M106,NCAA_Bets[Result],"Push"),"")</f>
        <v>0-0</v>
      </c>
      <c r="P106" s="90">
        <f>SUMIF(NCAA_Bets[Date],M106,NCAA_Bets[Winnings])-SUMIF(NCAA_Bets[Date],M106,NCAA_Bets[Risk])</f>
        <v>0</v>
      </c>
      <c r="Q106" s="89" t="str">
        <f>IFERROR("("&amp;ROUND((SUMIF(NCAA_Bets[Date],M106,NCAA_Bets[Winnings])-SUMIF(NCAA_Bets[Date],M106,NCAA_Bets[Risk]))/SUMIF(NCAA_Bets[Date],M106,NCAA_Bets[Risk]),2)*100&amp;"%)","")</f>
        <v/>
      </c>
    </row>
    <row r="107" spans="2:17" x14ac:dyDescent="0.25">
      <c r="B107" s="101">
        <f t="shared" si="3"/>
        <v>9</v>
      </c>
      <c r="C107" s="6">
        <v>43495</v>
      </c>
      <c r="D107" s="6" t="s">
        <v>298</v>
      </c>
      <c r="E107" s="7" t="s">
        <v>648</v>
      </c>
      <c r="F107" s="8" t="s">
        <v>649</v>
      </c>
      <c r="G107" s="66">
        <v>5</v>
      </c>
      <c r="H107" s="30">
        <v>-110</v>
      </c>
      <c r="I107" s="10" t="s">
        <v>7</v>
      </c>
      <c r="J10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0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07"/>
      <c r="M107" s="71">
        <f t="shared" si="4"/>
        <v>0</v>
      </c>
      <c r="N107" s="71" t="str">
        <f>IFERROR(VLOOKUP(M107,NCAA_Bets[[Date]:[Version]],2,0),"")</f>
        <v/>
      </c>
      <c r="O107" s="94" t="str">
        <f>COUNTIFS(NCAA_Bets[Date],M107,NCAA_Bets[Result],"W")&amp;"-"&amp;COUNTIFS(NCAA_Bets[Date],M107,NCAA_Bets[Result],"L")&amp;IF(COUNTIFS(NCAA_Bets[Date],M107,NCAA_Bets[Result],"Push")&gt;0,"-"&amp;COUNTIFS(NCAA_Bets[Date],M107,NCAA_Bets[Result],"Push"),"")</f>
        <v>0-0</v>
      </c>
      <c r="P107" s="90">
        <f>SUMIF(NCAA_Bets[Date],M107,NCAA_Bets[Winnings])-SUMIF(NCAA_Bets[Date],M107,NCAA_Bets[Risk])</f>
        <v>0</v>
      </c>
      <c r="Q107" s="89" t="str">
        <f>IFERROR("("&amp;ROUND((SUMIF(NCAA_Bets[Date],M107,NCAA_Bets[Winnings])-SUMIF(NCAA_Bets[Date],M107,NCAA_Bets[Risk]))/SUMIF(NCAA_Bets[Date],M107,NCAA_Bets[Risk]),2)*100&amp;"%)","")</f>
        <v/>
      </c>
    </row>
    <row r="108" spans="2:17" x14ac:dyDescent="0.25">
      <c r="B108" s="101">
        <f t="shared" si="3"/>
        <v>9</v>
      </c>
      <c r="C108" s="6">
        <v>43495</v>
      </c>
      <c r="D108" s="6" t="s">
        <v>298</v>
      </c>
      <c r="E108" s="7" t="s">
        <v>648</v>
      </c>
      <c r="F108" s="8" t="s">
        <v>639</v>
      </c>
      <c r="G108" s="66">
        <v>5</v>
      </c>
      <c r="H108" s="30">
        <v>-105</v>
      </c>
      <c r="I108" s="10" t="s">
        <v>37</v>
      </c>
      <c r="J10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9.7619047619047628</v>
      </c>
      <c r="K10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08"/>
      <c r="M108" s="71">
        <f t="shared" si="4"/>
        <v>0</v>
      </c>
      <c r="N108" s="71" t="str">
        <f>IFERROR(VLOOKUP(M108,NCAA_Bets[[Date]:[Version]],2,0),"")</f>
        <v/>
      </c>
      <c r="O108" s="94" t="str">
        <f>COUNTIFS(NCAA_Bets[Date],M108,NCAA_Bets[Result],"W")&amp;"-"&amp;COUNTIFS(NCAA_Bets[Date],M108,NCAA_Bets[Result],"L")&amp;IF(COUNTIFS(NCAA_Bets[Date],M108,NCAA_Bets[Result],"Push")&gt;0,"-"&amp;COUNTIFS(NCAA_Bets[Date],M108,NCAA_Bets[Result],"Push"),"")</f>
        <v>0-0</v>
      </c>
      <c r="P108" s="90">
        <f>SUMIF(NCAA_Bets[Date],M108,NCAA_Bets[Winnings])-SUMIF(NCAA_Bets[Date],M108,NCAA_Bets[Risk])</f>
        <v>0</v>
      </c>
      <c r="Q108" s="89" t="str">
        <f>IFERROR("("&amp;ROUND((SUMIF(NCAA_Bets[Date],M108,NCAA_Bets[Winnings])-SUMIF(NCAA_Bets[Date],M108,NCAA_Bets[Risk]))/SUMIF(NCAA_Bets[Date],M108,NCAA_Bets[Risk]),2)*100&amp;"%)","")</f>
        <v/>
      </c>
    </row>
    <row r="109" spans="2:17" x14ac:dyDescent="0.25">
      <c r="B109" s="101">
        <f t="shared" si="3"/>
        <v>9</v>
      </c>
      <c r="C109" s="6">
        <v>43495</v>
      </c>
      <c r="D109" s="6" t="s">
        <v>298</v>
      </c>
      <c r="E109" s="7" t="s">
        <v>650</v>
      </c>
      <c r="F109" s="8" t="s">
        <v>651</v>
      </c>
      <c r="G109" s="66">
        <v>5</v>
      </c>
      <c r="H109" s="30">
        <v>-110</v>
      </c>
      <c r="I109" s="10" t="s">
        <v>7</v>
      </c>
      <c r="J10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0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09"/>
      <c r="M109" s="71">
        <f t="shared" si="4"/>
        <v>0</v>
      </c>
      <c r="N109" s="71" t="str">
        <f>IFERROR(VLOOKUP(M109,NCAA_Bets[[Date]:[Version]],2,0),"")</f>
        <v/>
      </c>
      <c r="O109" s="94" t="str">
        <f>COUNTIFS(NCAA_Bets[Date],M109,NCAA_Bets[Result],"W")&amp;"-"&amp;COUNTIFS(NCAA_Bets[Date],M109,NCAA_Bets[Result],"L")&amp;IF(COUNTIFS(NCAA_Bets[Date],M109,NCAA_Bets[Result],"Push")&gt;0,"-"&amp;COUNTIFS(NCAA_Bets[Date],M109,NCAA_Bets[Result],"Push"),"")</f>
        <v>0-0</v>
      </c>
      <c r="P109" s="90">
        <f>SUMIF(NCAA_Bets[Date],M109,NCAA_Bets[Winnings])-SUMIF(NCAA_Bets[Date],M109,NCAA_Bets[Risk])</f>
        <v>0</v>
      </c>
      <c r="Q109" s="89" t="str">
        <f>IFERROR("("&amp;ROUND((SUMIF(NCAA_Bets[Date],M109,NCAA_Bets[Winnings])-SUMIF(NCAA_Bets[Date],M109,NCAA_Bets[Risk]))/SUMIF(NCAA_Bets[Date],M109,NCAA_Bets[Risk]),2)*100&amp;"%)","")</f>
        <v/>
      </c>
    </row>
    <row r="110" spans="2:17" x14ac:dyDescent="0.25">
      <c r="B110" s="101">
        <f t="shared" si="3"/>
        <v>10</v>
      </c>
      <c r="C110" s="6">
        <v>43496</v>
      </c>
      <c r="D110" s="6" t="s">
        <v>298</v>
      </c>
      <c r="E110" s="7" t="s">
        <v>671</v>
      </c>
      <c r="F110" s="8" t="s">
        <v>672</v>
      </c>
      <c r="G110" s="66">
        <v>5</v>
      </c>
      <c r="H110" s="30">
        <v>-110</v>
      </c>
      <c r="I110" s="10" t="s">
        <v>37</v>
      </c>
      <c r="J11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1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10"/>
      <c r="M110" s="71">
        <f t="shared" si="4"/>
        <v>0</v>
      </c>
      <c r="N110" s="71" t="str">
        <f>IFERROR(VLOOKUP(M110,NCAA_Bets[[Date]:[Version]],2,0),"")</f>
        <v/>
      </c>
      <c r="O110" s="94" t="str">
        <f>COUNTIFS(NCAA_Bets[Date],M110,NCAA_Bets[Result],"W")&amp;"-"&amp;COUNTIFS(NCAA_Bets[Date],M110,NCAA_Bets[Result],"L")&amp;IF(COUNTIFS(NCAA_Bets[Date],M110,NCAA_Bets[Result],"Push")&gt;0,"-"&amp;COUNTIFS(NCAA_Bets[Date],M110,NCAA_Bets[Result],"Push"),"")</f>
        <v>0-0</v>
      </c>
      <c r="P110" s="90">
        <f>SUMIF(NCAA_Bets[Date],M110,NCAA_Bets[Winnings])-SUMIF(NCAA_Bets[Date],M110,NCAA_Bets[Risk])</f>
        <v>0</v>
      </c>
      <c r="Q110" s="89" t="str">
        <f>IFERROR("("&amp;ROUND((SUMIF(NCAA_Bets[Date],M110,NCAA_Bets[Winnings])-SUMIF(NCAA_Bets[Date],M110,NCAA_Bets[Risk]))/SUMIF(NCAA_Bets[Date],M110,NCAA_Bets[Risk]),2)*100&amp;"%)","")</f>
        <v/>
      </c>
    </row>
    <row r="111" spans="2:17" x14ac:dyDescent="0.25">
      <c r="B111" s="101">
        <f t="shared" si="3"/>
        <v>10</v>
      </c>
      <c r="C111" s="6">
        <v>43496</v>
      </c>
      <c r="D111" s="6" t="s">
        <v>298</v>
      </c>
      <c r="E111" s="7" t="s">
        <v>671</v>
      </c>
      <c r="F111" s="8" t="s">
        <v>673</v>
      </c>
      <c r="G111" s="66">
        <v>5</v>
      </c>
      <c r="H111" s="30">
        <v>-115</v>
      </c>
      <c r="I111" s="10" t="s">
        <v>7</v>
      </c>
      <c r="J11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1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11"/>
      <c r="M111" s="71">
        <f t="shared" si="4"/>
        <v>0</v>
      </c>
      <c r="N111" s="71" t="str">
        <f>IFERROR(VLOOKUP(M111,NCAA_Bets[[Date]:[Version]],2,0),"")</f>
        <v/>
      </c>
      <c r="O111" s="94" t="str">
        <f>COUNTIFS(NCAA_Bets[Date],M111,NCAA_Bets[Result],"W")&amp;"-"&amp;COUNTIFS(NCAA_Bets[Date],M111,NCAA_Bets[Result],"L")&amp;IF(COUNTIFS(NCAA_Bets[Date],M111,NCAA_Bets[Result],"Push")&gt;0,"-"&amp;COUNTIFS(NCAA_Bets[Date],M111,NCAA_Bets[Result],"Push"),"")</f>
        <v>0-0</v>
      </c>
      <c r="P111" s="90">
        <f>SUMIF(NCAA_Bets[Date],M111,NCAA_Bets[Winnings])-SUMIF(NCAA_Bets[Date],M111,NCAA_Bets[Risk])</f>
        <v>0</v>
      </c>
      <c r="Q111" s="89" t="str">
        <f>IFERROR("("&amp;ROUND((SUMIF(NCAA_Bets[Date],M111,NCAA_Bets[Winnings])-SUMIF(NCAA_Bets[Date],M111,NCAA_Bets[Risk]))/SUMIF(NCAA_Bets[Date],M111,NCAA_Bets[Risk]),2)*100&amp;"%)","")</f>
        <v/>
      </c>
    </row>
    <row r="112" spans="2:17" x14ac:dyDescent="0.25">
      <c r="B112" s="101">
        <f t="shared" si="3"/>
        <v>10</v>
      </c>
      <c r="C112" s="6">
        <v>43496</v>
      </c>
      <c r="D112" s="6" t="s">
        <v>298</v>
      </c>
      <c r="E112" s="7" t="s">
        <v>674</v>
      </c>
      <c r="F112" s="8" t="s">
        <v>688</v>
      </c>
      <c r="G112" s="66">
        <v>5</v>
      </c>
      <c r="H112" s="30">
        <v>-110</v>
      </c>
      <c r="I112" s="10" t="s">
        <v>7</v>
      </c>
      <c r="J11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1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112"/>
      <c r="M112" s="71">
        <f t="shared" si="4"/>
        <v>0</v>
      </c>
      <c r="N112" s="71" t="str">
        <f>IFERROR(VLOOKUP(M112,NCAA_Bets[[Date]:[Version]],2,0),"")</f>
        <v/>
      </c>
      <c r="O112" s="94" t="str">
        <f>COUNTIFS(NCAA_Bets[Date],M112,NCAA_Bets[Result],"W")&amp;"-"&amp;COUNTIFS(NCAA_Bets[Date],M112,NCAA_Bets[Result],"L")&amp;IF(COUNTIFS(NCAA_Bets[Date],M112,NCAA_Bets[Result],"Push")&gt;0,"-"&amp;COUNTIFS(NCAA_Bets[Date],M112,NCAA_Bets[Result],"Push"),"")</f>
        <v>0-0</v>
      </c>
      <c r="P112" s="90">
        <f>SUMIF(NCAA_Bets[Date],M112,NCAA_Bets[Winnings])-SUMIF(NCAA_Bets[Date],M112,NCAA_Bets[Risk])</f>
        <v>0</v>
      </c>
      <c r="Q112" s="89" t="str">
        <f>IFERROR("("&amp;ROUND((SUMIF(NCAA_Bets[Date],M112,NCAA_Bets[Winnings])-SUMIF(NCAA_Bets[Date],M112,NCAA_Bets[Risk]))/SUMIF(NCAA_Bets[Date],M112,NCAA_Bets[Risk]),2)*100&amp;"%)","")</f>
        <v/>
      </c>
    </row>
    <row r="113" spans="2:17" x14ac:dyDescent="0.25">
      <c r="B113" s="101">
        <f t="shared" si="3"/>
        <v>10</v>
      </c>
      <c r="C113" s="6">
        <v>43496</v>
      </c>
      <c r="D113" s="6" t="s">
        <v>298</v>
      </c>
      <c r="E113" s="7" t="s">
        <v>675</v>
      </c>
      <c r="F113" s="8" t="s">
        <v>676</v>
      </c>
      <c r="G113" s="66">
        <v>5</v>
      </c>
      <c r="H113" s="30">
        <v>-110</v>
      </c>
      <c r="I113" s="10" t="s">
        <v>37</v>
      </c>
      <c r="J11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1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13"/>
      <c r="M113" s="71">
        <f t="shared" si="4"/>
        <v>0</v>
      </c>
      <c r="N113" s="71" t="str">
        <f>IFERROR(VLOOKUP(M113,NCAA_Bets[[Date]:[Version]],2,0),"")</f>
        <v/>
      </c>
      <c r="O113" s="94" t="str">
        <f>COUNTIFS(NCAA_Bets[Date],M113,NCAA_Bets[Result],"W")&amp;"-"&amp;COUNTIFS(NCAA_Bets[Date],M113,NCAA_Bets[Result],"L")&amp;IF(COUNTIFS(NCAA_Bets[Date],M113,NCAA_Bets[Result],"Push")&gt;0,"-"&amp;COUNTIFS(NCAA_Bets[Date],M113,NCAA_Bets[Result],"Push"),"")</f>
        <v>0-0</v>
      </c>
      <c r="P113" s="90">
        <f>SUMIF(NCAA_Bets[Date],M113,NCAA_Bets[Winnings])-SUMIF(NCAA_Bets[Date],M113,NCAA_Bets[Risk])</f>
        <v>0</v>
      </c>
      <c r="Q113" s="89" t="str">
        <f>IFERROR("("&amp;ROUND((SUMIF(NCAA_Bets[Date],M113,NCAA_Bets[Winnings])-SUMIF(NCAA_Bets[Date],M113,NCAA_Bets[Risk]))/SUMIF(NCAA_Bets[Date],M113,NCAA_Bets[Risk]),2)*100&amp;"%)","")</f>
        <v/>
      </c>
    </row>
    <row r="114" spans="2:17" x14ac:dyDescent="0.25">
      <c r="B114" s="101">
        <f t="shared" si="3"/>
        <v>10</v>
      </c>
      <c r="C114" s="6">
        <v>43496</v>
      </c>
      <c r="D114" s="6" t="s">
        <v>298</v>
      </c>
      <c r="E114" s="7" t="s">
        <v>675</v>
      </c>
      <c r="F114" s="8" t="s">
        <v>689</v>
      </c>
      <c r="G114" s="66">
        <v>5</v>
      </c>
      <c r="H114" s="30">
        <v>-110</v>
      </c>
      <c r="I114" s="10" t="s">
        <v>37</v>
      </c>
      <c r="J11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1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14"/>
      <c r="M114" s="71">
        <f t="shared" si="4"/>
        <v>0</v>
      </c>
      <c r="N114" s="71" t="str">
        <f>IFERROR(VLOOKUP(M114,NCAA_Bets[[Date]:[Version]],2,0),"")</f>
        <v/>
      </c>
      <c r="O114" s="94" t="str">
        <f>COUNTIFS(NCAA_Bets[Date],M114,NCAA_Bets[Result],"W")&amp;"-"&amp;COUNTIFS(NCAA_Bets[Date],M114,NCAA_Bets[Result],"L")&amp;IF(COUNTIFS(NCAA_Bets[Date],M114,NCAA_Bets[Result],"Push")&gt;0,"-"&amp;COUNTIFS(NCAA_Bets[Date],M114,NCAA_Bets[Result],"Push"),"")</f>
        <v>0-0</v>
      </c>
      <c r="P114" s="90">
        <f>SUMIF(NCAA_Bets[Date],M114,NCAA_Bets[Winnings])-SUMIF(NCAA_Bets[Date],M114,NCAA_Bets[Risk])</f>
        <v>0</v>
      </c>
      <c r="Q114" s="89" t="str">
        <f>IFERROR("("&amp;ROUND((SUMIF(NCAA_Bets[Date],M114,NCAA_Bets[Winnings])-SUMIF(NCAA_Bets[Date],M114,NCAA_Bets[Risk]))/SUMIF(NCAA_Bets[Date],M114,NCAA_Bets[Risk]),2)*100&amp;"%)","")</f>
        <v/>
      </c>
    </row>
    <row r="115" spans="2:17" x14ac:dyDescent="0.25">
      <c r="B115" s="101">
        <f t="shared" si="3"/>
        <v>10</v>
      </c>
      <c r="C115" s="6">
        <v>43496</v>
      </c>
      <c r="D115" s="6" t="s">
        <v>298</v>
      </c>
      <c r="E115" s="7" t="s">
        <v>677</v>
      </c>
      <c r="F115" s="8" t="s">
        <v>678</v>
      </c>
      <c r="G115" s="66">
        <v>5</v>
      </c>
      <c r="H115" s="30">
        <v>-105</v>
      </c>
      <c r="I115" s="10" t="s">
        <v>7</v>
      </c>
      <c r="J11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1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15"/>
      <c r="M115" s="71">
        <f t="shared" si="4"/>
        <v>0</v>
      </c>
      <c r="N115" s="71" t="str">
        <f>IFERROR(VLOOKUP(M115,NCAA_Bets[[Date]:[Version]],2,0),"")</f>
        <v/>
      </c>
      <c r="O115" s="94" t="str">
        <f>COUNTIFS(NCAA_Bets[Date],M115,NCAA_Bets[Result],"W")&amp;"-"&amp;COUNTIFS(NCAA_Bets[Date],M115,NCAA_Bets[Result],"L")&amp;IF(COUNTIFS(NCAA_Bets[Date],M115,NCAA_Bets[Result],"Push")&gt;0,"-"&amp;COUNTIFS(NCAA_Bets[Date],M115,NCAA_Bets[Result],"Push"),"")</f>
        <v>0-0</v>
      </c>
      <c r="P115" s="90">
        <f>SUMIF(NCAA_Bets[Date],M115,NCAA_Bets[Winnings])-SUMIF(NCAA_Bets[Date],M115,NCAA_Bets[Risk])</f>
        <v>0</v>
      </c>
      <c r="Q115" s="89" t="str">
        <f>IFERROR("("&amp;ROUND((SUMIF(NCAA_Bets[Date],M115,NCAA_Bets[Winnings])-SUMIF(NCAA_Bets[Date],M115,NCAA_Bets[Risk]))/SUMIF(NCAA_Bets[Date],M115,NCAA_Bets[Risk]),2)*100&amp;"%)","")</f>
        <v/>
      </c>
    </row>
    <row r="116" spans="2:17" x14ac:dyDescent="0.25">
      <c r="B116" s="101">
        <f t="shared" si="3"/>
        <v>10</v>
      </c>
      <c r="C116" s="6">
        <v>43496</v>
      </c>
      <c r="D116" s="6" t="s">
        <v>298</v>
      </c>
      <c r="E116" s="7" t="s">
        <v>677</v>
      </c>
      <c r="F116" s="8" t="s">
        <v>536</v>
      </c>
      <c r="G116" s="66">
        <v>5</v>
      </c>
      <c r="H116" s="30">
        <v>-110</v>
      </c>
      <c r="I116" s="10" t="s">
        <v>37</v>
      </c>
      <c r="J11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1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16"/>
      <c r="M116" s="71">
        <f t="shared" si="4"/>
        <v>0</v>
      </c>
      <c r="N116" s="71" t="str">
        <f>IFERROR(VLOOKUP(M116,NCAA_Bets[[Date]:[Version]],2,0),"")</f>
        <v/>
      </c>
      <c r="O116" s="94" t="str">
        <f>COUNTIFS(NCAA_Bets[Date],M116,NCAA_Bets[Result],"W")&amp;"-"&amp;COUNTIFS(NCAA_Bets[Date],M116,NCAA_Bets[Result],"L")&amp;IF(COUNTIFS(NCAA_Bets[Date],M116,NCAA_Bets[Result],"Push")&gt;0,"-"&amp;COUNTIFS(NCAA_Bets[Date],M116,NCAA_Bets[Result],"Push"),"")</f>
        <v>0-0</v>
      </c>
      <c r="P116" s="90">
        <f>SUMIF(NCAA_Bets[Date],M116,NCAA_Bets[Winnings])-SUMIF(NCAA_Bets[Date],M116,NCAA_Bets[Risk])</f>
        <v>0</v>
      </c>
      <c r="Q116" s="89" t="str">
        <f>IFERROR("("&amp;ROUND((SUMIF(NCAA_Bets[Date],M116,NCAA_Bets[Winnings])-SUMIF(NCAA_Bets[Date],M116,NCAA_Bets[Risk]))/SUMIF(NCAA_Bets[Date],M116,NCAA_Bets[Risk]),2)*100&amp;"%)","")</f>
        <v/>
      </c>
    </row>
    <row r="117" spans="2:17" x14ac:dyDescent="0.25">
      <c r="B117" s="101">
        <f t="shared" si="3"/>
        <v>10</v>
      </c>
      <c r="C117" s="6">
        <v>43496</v>
      </c>
      <c r="D117" s="6" t="s">
        <v>298</v>
      </c>
      <c r="E117" s="7" t="s">
        <v>679</v>
      </c>
      <c r="F117" s="8" t="s">
        <v>690</v>
      </c>
      <c r="G117" s="66">
        <v>5</v>
      </c>
      <c r="H117" s="30">
        <v>-110</v>
      </c>
      <c r="I117" s="10" t="s">
        <v>37</v>
      </c>
      <c r="J11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1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17"/>
      <c r="M117" s="71">
        <f t="shared" si="4"/>
        <v>0</v>
      </c>
      <c r="N117" s="71" t="str">
        <f>IFERROR(VLOOKUP(M117,NCAA_Bets[[Date]:[Version]],2,0),"")</f>
        <v/>
      </c>
      <c r="O117" s="94" t="str">
        <f>COUNTIFS(NCAA_Bets[Date],M117,NCAA_Bets[Result],"W")&amp;"-"&amp;COUNTIFS(NCAA_Bets[Date],M117,NCAA_Bets[Result],"L")&amp;IF(COUNTIFS(NCAA_Bets[Date],M117,NCAA_Bets[Result],"Push")&gt;0,"-"&amp;COUNTIFS(NCAA_Bets[Date],M117,NCAA_Bets[Result],"Push"),"")</f>
        <v>0-0</v>
      </c>
      <c r="P117" s="90">
        <f>SUMIF(NCAA_Bets[Date],M117,NCAA_Bets[Winnings])-SUMIF(NCAA_Bets[Date],M117,NCAA_Bets[Risk])</f>
        <v>0</v>
      </c>
      <c r="Q117" s="89" t="str">
        <f>IFERROR("("&amp;ROUND((SUMIF(NCAA_Bets[Date],M117,NCAA_Bets[Winnings])-SUMIF(NCAA_Bets[Date],M117,NCAA_Bets[Risk]))/SUMIF(NCAA_Bets[Date],M117,NCAA_Bets[Risk]),2)*100&amp;"%)","")</f>
        <v/>
      </c>
    </row>
    <row r="118" spans="2:17" x14ac:dyDescent="0.25">
      <c r="B118" s="101">
        <f t="shared" si="3"/>
        <v>10</v>
      </c>
      <c r="C118" s="6">
        <v>43496</v>
      </c>
      <c r="D118" s="6" t="s">
        <v>298</v>
      </c>
      <c r="E118" s="7" t="s">
        <v>679</v>
      </c>
      <c r="F118" s="8" t="s">
        <v>680</v>
      </c>
      <c r="G118" s="66">
        <v>5</v>
      </c>
      <c r="H118" s="30">
        <v>-105</v>
      </c>
      <c r="I118" s="10" t="s">
        <v>7</v>
      </c>
      <c r="J11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1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18"/>
      <c r="M118" s="71">
        <f t="shared" si="4"/>
        <v>0</v>
      </c>
      <c r="N118" s="71" t="str">
        <f>IFERROR(VLOOKUP(M118,NCAA_Bets[[Date]:[Version]],2,0),"")</f>
        <v/>
      </c>
      <c r="O118" s="94" t="str">
        <f>COUNTIFS(NCAA_Bets[Date],M118,NCAA_Bets[Result],"W")&amp;"-"&amp;COUNTIFS(NCAA_Bets[Date],M118,NCAA_Bets[Result],"L")&amp;IF(COUNTIFS(NCAA_Bets[Date],M118,NCAA_Bets[Result],"Push")&gt;0,"-"&amp;COUNTIFS(NCAA_Bets[Date],M118,NCAA_Bets[Result],"Push"),"")</f>
        <v>0-0</v>
      </c>
      <c r="P118" s="90">
        <f>SUMIF(NCAA_Bets[Date],M118,NCAA_Bets[Winnings])-SUMIF(NCAA_Bets[Date],M118,NCAA_Bets[Risk])</f>
        <v>0</v>
      </c>
      <c r="Q118" s="89" t="str">
        <f>IFERROR("("&amp;ROUND((SUMIF(NCAA_Bets[Date],M118,NCAA_Bets[Winnings])-SUMIF(NCAA_Bets[Date],M118,NCAA_Bets[Risk]))/SUMIF(NCAA_Bets[Date],M118,NCAA_Bets[Risk]),2)*100&amp;"%)","")</f>
        <v/>
      </c>
    </row>
    <row r="119" spans="2:17" x14ac:dyDescent="0.25">
      <c r="B119" s="101">
        <f t="shared" si="3"/>
        <v>10</v>
      </c>
      <c r="C119" s="6">
        <v>43496</v>
      </c>
      <c r="D119" s="6" t="s">
        <v>298</v>
      </c>
      <c r="E119" s="7" t="s">
        <v>681</v>
      </c>
      <c r="F119" s="8" t="s">
        <v>682</v>
      </c>
      <c r="G119" s="66">
        <v>5</v>
      </c>
      <c r="H119" s="30">
        <v>-110</v>
      </c>
      <c r="I119" s="10" t="s">
        <v>37</v>
      </c>
      <c r="J11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1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19"/>
      <c r="M119" s="71">
        <f t="shared" si="4"/>
        <v>0</v>
      </c>
      <c r="N119" s="71" t="str">
        <f>IFERROR(VLOOKUP(M119,NCAA_Bets[[Date]:[Version]],2,0),"")</f>
        <v/>
      </c>
      <c r="O119" s="94" t="str">
        <f>COUNTIFS(NCAA_Bets[Date],M119,NCAA_Bets[Result],"W")&amp;"-"&amp;COUNTIFS(NCAA_Bets[Date],M119,NCAA_Bets[Result],"L")&amp;IF(COUNTIFS(NCAA_Bets[Date],M119,NCAA_Bets[Result],"Push")&gt;0,"-"&amp;COUNTIFS(NCAA_Bets[Date],M119,NCAA_Bets[Result],"Push"),"")</f>
        <v>0-0</v>
      </c>
      <c r="P119" s="90">
        <f>SUMIF(NCAA_Bets[Date],M119,NCAA_Bets[Winnings])-SUMIF(NCAA_Bets[Date],M119,NCAA_Bets[Risk])</f>
        <v>0</v>
      </c>
      <c r="Q119" s="89" t="str">
        <f>IFERROR("("&amp;ROUND((SUMIF(NCAA_Bets[Date],M119,NCAA_Bets[Winnings])-SUMIF(NCAA_Bets[Date],M119,NCAA_Bets[Risk]))/SUMIF(NCAA_Bets[Date],M119,NCAA_Bets[Risk]),2)*100&amp;"%)","")</f>
        <v/>
      </c>
    </row>
    <row r="120" spans="2:17" x14ac:dyDescent="0.25">
      <c r="B120" s="101">
        <f t="shared" si="3"/>
        <v>10</v>
      </c>
      <c r="C120" s="6">
        <v>43496</v>
      </c>
      <c r="D120" s="6" t="s">
        <v>298</v>
      </c>
      <c r="E120" s="7" t="s">
        <v>681</v>
      </c>
      <c r="F120" s="8" t="s">
        <v>683</v>
      </c>
      <c r="G120" s="66">
        <v>5</v>
      </c>
      <c r="H120" s="30">
        <v>-110</v>
      </c>
      <c r="I120" s="10" t="s">
        <v>7</v>
      </c>
      <c r="J12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2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20"/>
      <c r="M120" s="71">
        <f t="shared" si="4"/>
        <v>0</v>
      </c>
      <c r="N120" s="71" t="str">
        <f>IFERROR(VLOOKUP(M120,NCAA_Bets[[Date]:[Version]],2,0),"")</f>
        <v/>
      </c>
      <c r="O120" s="94" t="str">
        <f>COUNTIFS(NCAA_Bets[Date],M120,NCAA_Bets[Result],"W")&amp;"-"&amp;COUNTIFS(NCAA_Bets[Date],M120,NCAA_Bets[Result],"L")&amp;IF(COUNTIFS(NCAA_Bets[Date],M120,NCAA_Bets[Result],"Push")&gt;0,"-"&amp;COUNTIFS(NCAA_Bets[Date],M120,NCAA_Bets[Result],"Push"),"")</f>
        <v>0-0</v>
      </c>
      <c r="P120" s="90">
        <f>SUMIF(NCAA_Bets[Date],M120,NCAA_Bets[Winnings])-SUMIF(NCAA_Bets[Date],M120,NCAA_Bets[Risk])</f>
        <v>0</v>
      </c>
      <c r="Q120" s="89" t="str">
        <f>IFERROR("("&amp;ROUND((SUMIF(NCAA_Bets[Date],M120,NCAA_Bets[Winnings])-SUMIF(NCAA_Bets[Date],M120,NCAA_Bets[Risk]))/SUMIF(NCAA_Bets[Date],M120,NCAA_Bets[Risk]),2)*100&amp;"%)","")</f>
        <v/>
      </c>
    </row>
    <row r="121" spans="2:17" x14ac:dyDescent="0.25">
      <c r="B121" s="101">
        <f t="shared" si="3"/>
        <v>10</v>
      </c>
      <c r="C121" s="6">
        <v>43496</v>
      </c>
      <c r="D121" s="6" t="s">
        <v>298</v>
      </c>
      <c r="E121" s="7" t="s">
        <v>684</v>
      </c>
      <c r="F121" s="8" t="s">
        <v>685</v>
      </c>
      <c r="G121" s="66">
        <v>5</v>
      </c>
      <c r="H121" s="30">
        <v>-110</v>
      </c>
      <c r="I121" s="10" t="s">
        <v>7</v>
      </c>
      <c r="J12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2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21"/>
      <c r="M121" s="71">
        <f t="shared" si="4"/>
        <v>0</v>
      </c>
      <c r="N121" s="71" t="str">
        <f>IFERROR(VLOOKUP(M121,NCAA_Bets[[Date]:[Version]],2,0),"")</f>
        <v/>
      </c>
      <c r="O121" s="94" t="str">
        <f>COUNTIFS(NCAA_Bets[Date],M121,NCAA_Bets[Result],"W")&amp;"-"&amp;COUNTIFS(NCAA_Bets[Date],M121,NCAA_Bets[Result],"L")&amp;IF(COUNTIFS(NCAA_Bets[Date],M121,NCAA_Bets[Result],"Push")&gt;0,"-"&amp;COUNTIFS(NCAA_Bets[Date],M121,NCAA_Bets[Result],"Push"),"")</f>
        <v>0-0</v>
      </c>
      <c r="P121" s="90">
        <f>SUMIF(NCAA_Bets[Date],M121,NCAA_Bets[Winnings])-SUMIF(NCAA_Bets[Date],M121,NCAA_Bets[Risk])</f>
        <v>0</v>
      </c>
      <c r="Q121" s="89" t="str">
        <f>IFERROR("("&amp;ROUND((SUMIF(NCAA_Bets[Date],M121,NCAA_Bets[Winnings])-SUMIF(NCAA_Bets[Date],M121,NCAA_Bets[Risk]))/SUMIF(NCAA_Bets[Date],M121,NCAA_Bets[Risk]),2)*100&amp;"%)","")</f>
        <v/>
      </c>
    </row>
    <row r="122" spans="2:17" x14ac:dyDescent="0.25">
      <c r="B122" s="101">
        <f t="shared" si="3"/>
        <v>10</v>
      </c>
      <c r="C122" s="6">
        <v>43496</v>
      </c>
      <c r="D122" s="6" t="s">
        <v>298</v>
      </c>
      <c r="E122" s="7" t="s">
        <v>686</v>
      </c>
      <c r="F122" s="8" t="s">
        <v>687</v>
      </c>
      <c r="G122" s="66">
        <v>5</v>
      </c>
      <c r="H122" s="30">
        <v>-110</v>
      </c>
      <c r="I122" s="10" t="s">
        <v>7</v>
      </c>
      <c r="J12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2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122"/>
      <c r="M122" s="71">
        <f t="shared" si="4"/>
        <v>0</v>
      </c>
      <c r="N122" s="71" t="str">
        <f>IFERROR(VLOOKUP(M122,NCAA_Bets[[Date]:[Version]],2,0),"")</f>
        <v/>
      </c>
      <c r="O122" s="94" t="str">
        <f>COUNTIFS(NCAA_Bets[Date],M122,NCAA_Bets[Result],"W")&amp;"-"&amp;COUNTIFS(NCAA_Bets[Date],M122,NCAA_Bets[Result],"L")&amp;IF(COUNTIFS(NCAA_Bets[Date],M122,NCAA_Bets[Result],"Push")&gt;0,"-"&amp;COUNTIFS(NCAA_Bets[Date],M122,NCAA_Bets[Result],"Push"),"")</f>
        <v>0-0</v>
      </c>
      <c r="P122" s="90">
        <f>SUMIF(NCAA_Bets[Date],M122,NCAA_Bets[Winnings])-SUMIF(NCAA_Bets[Date],M122,NCAA_Bets[Risk])</f>
        <v>0</v>
      </c>
      <c r="Q122" s="89" t="str">
        <f>IFERROR("("&amp;ROUND((SUMIF(NCAA_Bets[Date],M122,NCAA_Bets[Winnings])-SUMIF(NCAA_Bets[Date],M122,NCAA_Bets[Risk]))/SUMIF(NCAA_Bets[Date],M122,NCAA_Bets[Risk]),2)*100&amp;"%)","")</f>
        <v/>
      </c>
    </row>
    <row r="123" spans="2:17" x14ac:dyDescent="0.25">
      <c r="B123" s="101">
        <f t="shared" si="3"/>
        <v>10</v>
      </c>
      <c r="C123" s="6">
        <v>43496</v>
      </c>
      <c r="D123" s="6" t="s">
        <v>298</v>
      </c>
      <c r="E123" s="7" t="s">
        <v>686</v>
      </c>
      <c r="F123" s="8" t="s">
        <v>575</v>
      </c>
      <c r="G123" s="66">
        <v>5</v>
      </c>
      <c r="H123" s="30">
        <v>-110</v>
      </c>
      <c r="I123" s="10" t="s">
        <v>69</v>
      </c>
      <c r="J12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5</v>
      </c>
      <c r="K12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23"/>
      <c r="M123" s="71">
        <f t="shared" si="4"/>
        <v>0</v>
      </c>
      <c r="N123" s="71" t="str">
        <f>IFERROR(VLOOKUP(M123,NCAA_Bets[[Date]:[Version]],2,0),"")</f>
        <v/>
      </c>
      <c r="O123" s="94" t="str">
        <f>COUNTIFS(NCAA_Bets[Date],M123,NCAA_Bets[Result],"W")&amp;"-"&amp;COUNTIFS(NCAA_Bets[Date],M123,NCAA_Bets[Result],"L")&amp;IF(COUNTIFS(NCAA_Bets[Date],M123,NCAA_Bets[Result],"Push")&gt;0,"-"&amp;COUNTIFS(NCAA_Bets[Date],M123,NCAA_Bets[Result],"Push"),"")</f>
        <v>0-0</v>
      </c>
      <c r="P123" s="90">
        <f>SUMIF(NCAA_Bets[Date],M123,NCAA_Bets[Winnings])-SUMIF(NCAA_Bets[Date],M123,NCAA_Bets[Risk])</f>
        <v>0</v>
      </c>
      <c r="Q123" s="89" t="str">
        <f>IFERROR("("&amp;ROUND((SUMIF(NCAA_Bets[Date],M123,NCAA_Bets[Winnings])-SUMIF(NCAA_Bets[Date],M123,NCAA_Bets[Risk]))/SUMIF(NCAA_Bets[Date],M123,NCAA_Bets[Risk]),2)*100&amp;"%)","")</f>
        <v/>
      </c>
    </row>
    <row r="124" spans="2:17" x14ac:dyDescent="0.25">
      <c r="B124" s="101">
        <f t="shared" si="3"/>
        <v>11</v>
      </c>
      <c r="C124" s="6">
        <v>43497</v>
      </c>
      <c r="D124" s="6" t="s">
        <v>298</v>
      </c>
      <c r="E124" s="7" t="s">
        <v>708</v>
      </c>
      <c r="F124" s="8" t="s">
        <v>731</v>
      </c>
      <c r="G124" s="66">
        <v>5</v>
      </c>
      <c r="H124" s="30">
        <v>-110</v>
      </c>
      <c r="I124" s="10" t="s">
        <v>7</v>
      </c>
      <c r="J12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2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24"/>
      <c r="M124" s="71">
        <f t="shared" si="4"/>
        <v>0</v>
      </c>
      <c r="N124" s="71" t="str">
        <f>IFERROR(VLOOKUP(M124,NCAA_Bets[[Date]:[Version]],2,0),"")</f>
        <v/>
      </c>
      <c r="O124" s="94" t="str">
        <f>COUNTIFS(NCAA_Bets[Date],M124,NCAA_Bets[Result],"W")&amp;"-"&amp;COUNTIFS(NCAA_Bets[Date],M124,NCAA_Bets[Result],"L")&amp;IF(COUNTIFS(NCAA_Bets[Date],M124,NCAA_Bets[Result],"Push")&gt;0,"-"&amp;COUNTIFS(NCAA_Bets[Date],M124,NCAA_Bets[Result],"Push"),"")</f>
        <v>0-0</v>
      </c>
      <c r="P124" s="90">
        <f>SUMIF(NCAA_Bets[Date],M124,NCAA_Bets[Winnings])-SUMIF(NCAA_Bets[Date],M124,NCAA_Bets[Risk])</f>
        <v>0</v>
      </c>
      <c r="Q124" s="89" t="str">
        <f>IFERROR("("&amp;ROUND((SUMIF(NCAA_Bets[Date],M124,NCAA_Bets[Winnings])-SUMIF(NCAA_Bets[Date],M124,NCAA_Bets[Risk]))/SUMIF(NCAA_Bets[Date],M124,NCAA_Bets[Risk]),2)*100&amp;"%)","")</f>
        <v/>
      </c>
    </row>
    <row r="125" spans="2:17" x14ac:dyDescent="0.25">
      <c r="B125" s="101">
        <f t="shared" si="3"/>
        <v>11</v>
      </c>
      <c r="C125" s="6">
        <v>43497</v>
      </c>
      <c r="D125" s="6" t="s">
        <v>298</v>
      </c>
      <c r="E125" s="7" t="s">
        <v>708</v>
      </c>
      <c r="F125" s="8" t="s">
        <v>709</v>
      </c>
      <c r="G125" s="66">
        <v>5</v>
      </c>
      <c r="H125" s="30">
        <v>-110</v>
      </c>
      <c r="I125" s="10" t="s">
        <v>37</v>
      </c>
      <c r="J12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2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25"/>
      <c r="M125" s="71">
        <f t="shared" si="4"/>
        <v>0</v>
      </c>
      <c r="N125" s="71" t="str">
        <f>IFERROR(VLOOKUP(M125,NCAA_Bets[[Date]:[Version]],2,0),"")</f>
        <v/>
      </c>
      <c r="O125" s="94" t="str">
        <f>COUNTIFS(NCAA_Bets[Date],M125,NCAA_Bets[Result],"W")&amp;"-"&amp;COUNTIFS(NCAA_Bets[Date],M125,NCAA_Bets[Result],"L")&amp;IF(COUNTIFS(NCAA_Bets[Date],M125,NCAA_Bets[Result],"Push")&gt;0,"-"&amp;COUNTIFS(NCAA_Bets[Date],M125,NCAA_Bets[Result],"Push"),"")</f>
        <v>0-0</v>
      </c>
      <c r="P125" s="90">
        <f>SUMIF(NCAA_Bets[Date],M125,NCAA_Bets[Winnings])-SUMIF(NCAA_Bets[Date],M125,NCAA_Bets[Risk])</f>
        <v>0</v>
      </c>
      <c r="Q125" s="89" t="str">
        <f>IFERROR("("&amp;ROUND((SUMIF(NCAA_Bets[Date],M125,NCAA_Bets[Winnings])-SUMIF(NCAA_Bets[Date],M125,NCAA_Bets[Risk]))/SUMIF(NCAA_Bets[Date],M125,NCAA_Bets[Risk]),2)*100&amp;"%)","")</f>
        <v/>
      </c>
    </row>
    <row r="126" spans="2:17" x14ac:dyDescent="0.25">
      <c r="B126" s="101">
        <f t="shared" si="3"/>
        <v>11</v>
      </c>
      <c r="C126" s="6">
        <v>43497</v>
      </c>
      <c r="D126" s="6" t="s">
        <v>298</v>
      </c>
      <c r="E126" s="7" t="s">
        <v>708</v>
      </c>
      <c r="F126" s="8" t="s">
        <v>710</v>
      </c>
      <c r="G126" s="66">
        <v>5</v>
      </c>
      <c r="H126" s="30">
        <v>-260</v>
      </c>
      <c r="I126" s="10" t="s">
        <v>7</v>
      </c>
      <c r="J12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2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26"/>
      <c r="M126" s="71">
        <f t="shared" si="4"/>
        <v>0</v>
      </c>
      <c r="N126" s="71" t="str">
        <f>IFERROR(VLOOKUP(M126,NCAA_Bets[[Date]:[Version]],2,0),"")</f>
        <v/>
      </c>
      <c r="O126" s="94" t="str">
        <f>COUNTIFS(NCAA_Bets[Date],M126,NCAA_Bets[Result],"W")&amp;"-"&amp;COUNTIFS(NCAA_Bets[Date],M126,NCAA_Bets[Result],"L")&amp;IF(COUNTIFS(NCAA_Bets[Date],M126,NCAA_Bets[Result],"Push")&gt;0,"-"&amp;COUNTIFS(NCAA_Bets[Date],M126,NCAA_Bets[Result],"Push"),"")</f>
        <v>0-0</v>
      </c>
      <c r="P126" s="90">
        <f>SUMIF(NCAA_Bets[Date],M126,NCAA_Bets[Winnings])-SUMIF(NCAA_Bets[Date],M126,NCAA_Bets[Risk])</f>
        <v>0</v>
      </c>
      <c r="Q126" s="89" t="str">
        <f>IFERROR("("&amp;ROUND((SUMIF(NCAA_Bets[Date],M126,NCAA_Bets[Winnings])-SUMIF(NCAA_Bets[Date],M126,NCAA_Bets[Risk]))/SUMIF(NCAA_Bets[Date],M126,NCAA_Bets[Risk]),2)*100&amp;"%)","")</f>
        <v/>
      </c>
    </row>
    <row r="127" spans="2:17" x14ac:dyDescent="0.25">
      <c r="B127" s="101">
        <f t="shared" si="3"/>
        <v>11</v>
      </c>
      <c r="C127" s="6">
        <v>43497</v>
      </c>
      <c r="D127" s="6" t="s">
        <v>298</v>
      </c>
      <c r="E127" s="7" t="s">
        <v>711</v>
      </c>
      <c r="F127" s="8" t="s">
        <v>712</v>
      </c>
      <c r="G127" s="66">
        <v>5</v>
      </c>
      <c r="H127" s="30">
        <v>-105</v>
      </c>
      <c r="I127" s="10" t="s">
        <v>37</v>
      </c>
      <c r="J12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9.7619047619047628</v>
      </c>
      <c r="K12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27"/>
      <c r="M127" s="71">
        <f t="shared" si="4"/>
        <v>0</v>
      </c>
      <c r="N127" s="71" t="str">
        <f>IFERROR(VLOOKUP(M127,NCAA_Bets[[Date]:[Version]],2,0),"")</f>
        <v/>
      </c>
      <c r="O127" s="94" t="str">
        <f>COUNTIFS(NCAA_Bets[Date],M127,NCAA_Bets[Result],"W")&amp;"-"&amp;COUNTIFS(NCAA_Bets[Date],M127,NCAA_Bets[Result],"L")&amp;IF(COUNTIFS(NCAA_Bets[Date],M127,NCAA_Bets[Result],"Push")&gt;0,"-"&amp;COUNTIFS(NCAA_Bets[Date],M127,NCAA_Bets[Result],"Push"),"")</f>
        <v>0-0</v>
      </c>
      <c r="P127" s="90">
        <f>SUMIF(NCAA_Bets[Date],M127,NCAA_Bets[Winnings])-SUMIF(NCAA_Bets[Date],M127,NCAA_Bets[Risk])</f>
        <v>0</v>
      </c>
      <c r="Q127" s="89" t="str">
        <f>IFERROR("("&amp;ROUND((SUMIF(NCAA_Bets[Date],M127,NCAA_Bets[Winnings])-SUMIF(NCAA_Bets[Date],M127,NCAA_Bets[Risk]))/SUMIF(NCAA_Bets[Date],M127,NCAA_Bets[Risk]),2)*100&amp;"%)","")</f>
        <v/>
      </c>
    </row>
    <row r="128" spans="2:17" x14ac:dyDescent="0.25">
      <c r="B128" s="101">
        <f t="shared" si="3"/>
        <v>11</v>
      </c>
      <c r="C128" s="6">
        <v>43497</v>
      </c>
      <c r="D128" s="6" t="s">
        <v>298</v>
      </c>
      <c r="E128" s="7" t="s">
        <v>713</v>
      </c>
      <c r="F128" s="8" t="s">
        <v>714</v>
      </c>
      <c r="G128" s="66">
        <v>5</v>
      </c>
      <c r="H128" s="30">
        <v>-110</v>
      </c>
      <c r="I128" s="10" t="s">
        <v>37</v>
      </c>
      <c r="J12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2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28"/>
      <c r="M128" s="71">
        <f t="shared" si="4"/>
        <v>0</v>
      </c>
      <c r="N128" s="71" t="str">
        <f>IFERROR(VLOOKUP(M128,NCAA_Bets[[Date]:[Version]],2,0),"")</f>
        <v/>
      </c>
      <c r="O128" s="94" t="str">
        <f>COUNTIFS(NCAA_Bets[Date],M128,NCAA_Bets[Result],"W")&amp;"-"&amp;COUNTIFS(NCAA_Bets[Date],M128,NCAA_Bets[Result],"L")&amp;IF(COUNTIFS(NCAA_Bets[Date],M128,NCAA_Bets[Result],"Push")&gt;0,"-"&amp;COUNTIFS(NCAA_Bets[Date],M128,NCAA_Bets[Result],"Push"),"")</f>
        <v>0-0</v>
      </c>
      <c r="P128" s="90">
        <f>SUMIF(NCAA_Bets[Date],M128,NCAA_Bets[Winnings])-SUMIF(NCAA_Bets[Date],M128,NCAA_Bets[Risk])</f>
        <v>0</v>
      </c>
      <c r="Q128" s="89" t="str">
        <f>IFERROR("("&amp;ROUND((SUMIF(NCAA_Bets[Date],M128,NCAA_Bets[Winnings])-SUMIF(NCAA_Bets[Date],M128,NCAA_Bets[Risk]))/SUMIF(NCAA_Bets[Date],M128,NCAA_Bets[Risk]),2)*100&amp;"%)","")</f>
        <v/>
      </c>
    </row>
    <row r="129" spans="2:17" x14ac:dyDescent="0.25">
      <c r="B129" s="101">
        <f t="shared" si="3"/>
        <v>11</v>
      </c>
      <c r="C129" s="6">
        <v>43497</v>
      </c>
      <c r="D129" s="6" t="s">
        <v>298</v>
      </c>
      <c r="E129" s="7" t="s">
        <v>713</v>
      </c>
      <c r="F129" s="8" t="s">
        <v>540</v>
      </c>
      <c r="G129" s="66">
        <v>5</v>
      </c>
      <c r="H129" s="30">
        <v>-105</v>
      </c>
      <c r="I129" s="10" t="s">
        <v>37</v>
      </c>
      <c r="J12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9.7619047619047628</v>
      </c>
      <c r="K12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29"/>
      <c r="M129" s="71">
        <f t="shared" si="4"/>
        <v>0</v>
      </c>
      <c r="N129" s="71" t="str">
        <f>IFERROR(VLOOKUP(M129,NCAA_Bets[[Date]:[Version]],2,0),"")</f>
        <v/>
      </c>
      <c r="O129" s="94" t="str">
        <f>COUNTIFS(NCAA_Bets[Date],M129,NCAA_Bets[Result],"W")&amp;"-"&amp;COUNTIFS(NCAA_Bets[Date],M129,NCAA_Bets[Result],"L")&amp;IF(COUNTIFS(NCAA_Bets[Date],M129,NCAA_Bets[Result],"Push")&gt;0,"-"&amp;COUNTIFS(NCAA_Bets[Date],M129,NCAA_Bets[Result],"Push"),"")</f>
        <v>0-0</v>
      </c>
      <c r="P129" s="90">
        <f>SUMIF(NCAA_Bets[Date],M129,NCAA_Bets[Winnings])-SUMIF(NCAA_Bets[Date],M129,NCAA_Bets[Risk])</f>
        <v>0</v>
      </c>
      <c r="Q129" s="89" t="str">
        <f>IFERROR("("&amp;ROUND((SUMIF(NCAA_Bets[Date],M129,NCAA_Bets[Winnings])-SUMIF(NCAA_Bets[Date],M129,NCAA_Bets[Risk]))/SUMIF(NCAA_Bets[Date],M129,NCAA_Bets[Risk]),2)*100&amp;"%)","")</f>
        <v/>
      </c>
    </row>
    <row r="130" spans="2:17" x14ac:dyDescent="0.25">
      <c r="B130" s="101">
        <f t="shared" si="3"/>
        <v>11</v>
      </c>
      <c r="C130" s="6">
        <v>43497</v>
      </c>
      <c r="D130" s="6" t="s">
        <v>298</v>
      </c>
      <c r="E130" s="7" t="s">
        <v>713</v>
      </c>
      <c r="F130" s="8" t="s">
        <v>715</v>
      </c>
      <c r="G130" s="66">
        <v>5</v>
      </c>
      <c r="H130" s="30">
        <v>-125</v>
      </c>
      <c r="I130" s="10" t="s">
        <v>37</v>
      </c>
      <c r="J13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</v>
      </c>
      <c r="K13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30"/>
      <c r="M130" s="71">
        <f t="shared" si="4"/>
        <v>0</v>
      </c>
      <c r="N130" s="71" t="str">
        <f>IFERROR(VLOOKUP(M130,NCAA_Bets[[Date]:[Version]],2,0),"")</f>
        <v/>
      </c>
      <c r="O130" s="94" t="str">
        <f>COUNTIFS(NCAA_Bets[Date],M130,NCAA_Bets[Result],"W")&amp;"-"&amp;COUNTIFS(NCAA_Bets[Date],M130,NCAA_Bets[Result],"L")&amp;IF(COUNTIFS(NCAA_Bets[Date],M130,NCAA_Bets[Result],"Push")&gt;0,"-"&amp;COUNTIFS(NCAA_Bets[Date],M130,NCAA_Bets[Result],"Push"),"")</f>
        <v>0-0</v>
      </c>
      <c r="P130" s="90">
        <f>SUMIF(NCAA_Bets[Date],M130,NCAA_Bets[Winnings])-SUMIF(NCAA_Bets[Date],M130,NCAA_Bets[Risk])</f>
        <v>0</v>
      </c>
      <c r="Q130" s="89" t="str">
        <f>IFERROR("("&amp;ROUND((SUMIF(NCAA_Bets[Date],M130,NCAA_Bets[Winnings])-SUMIF(NCAA_Bets[Date],M130,NCAA_Bets[Risk]))/SUMIF(NCAA_Bets[Date],M130,NCAA_Bets[Risk]),2)*100&amp;"%)","")</f>
        <v/>
      </c>
    </row>
    <row r="131" spans="2:17" x14ac:dyDescent="0.25">
      <c r="B131" s="101">
        <f t="shared" si="3"/>
        <v>11</v>
      </c>
      <c r="C131" s="6">
        <v>43497</v>
      </c>
      <c r="D131" s="6" t="s">
        <v>298</v>
      </c>
      <c r="E131" s="7" t="s">
        <v>716</v>
      </c>
      <c r="F131" s="8" t="s">
        <v>717</v>
      </c>
      <c r="G131" s="66">
        <v>5</v>
      </c>
      <c r="H131" s="30">
        <v>-110</v>
      </c>
      <c r="I131" s="10" t="s">
        <v>7</v>
      </c>
      <c r="J13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3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31"/>
      <c r="M131" s="71">
        <f t="shared" si="4"/>
        <v>0</v>
      </c>
      <c r="N131" s="71" t="str">
        <f>IFERROR(VLOOKUP(M131,NCAA_Bets[[Date]:[Version]],2,0),"")</f>
        <v/>
      </c>
      <c r="O131" s="94" t="str">
        <f>COUNTIFS(NCAA_Bets[Date],M131,NCAA_Bets[Result],"W")&amp;"-"&amp;COUNTIFS(NCAA_Bets[Date],M131,NCAA_Bets[Result],"L")&amp;IF(COUNTIFS(NCAA_Bets[Date],M131,NCAA_Bets[Result],"Push")&gt;0,"-"&amp;COUNTIFS(NCAA_Bets[Date],M131,NCAA_Bets[Result],"Push"),"")</f>
        <v>0-0</v>
      </c>
      <c r="P131" s="90">
        <f>SUMIF(NCAA_Bets[Date],M131,NCAA_Bets[Winnings])-SUMIF(NCAA_Bets[Date],M131,NCAA_Bets[Risk])</f>
        <v>0</v>
      </c>
      <c r="Q131" s="89" t="str">
        <f>IFERROR("("&amp;ROUND((SUMIF(NCAA_Bets[Date],M131,NCAA_Bets[Winnings])-SUMIF(NCAA_Bets[Date],M131,NCAA_Bets[Risk]))/SUMIF(NCAA_Bets[Date],M131,NCAA_Bets[Risk]),2)*100&amp;"%)","")</f>
        <v/>
      </c>
    </row>
    <row r="132" spans="2:17" x14ac:dyDescent="0.25">
      <c r="B132" s="101">
        <f t="shared" si="3"/>
        <v>11</v>
      </c>
      <c r="C132" s="6">
        <v>43497</v>
      </c>
      <c r="D132" s="6" t="s">
        <v>298</v>
      </c>
      <c r="E132" s="7" t="s">
        <v>716</v>
      </c>
      <c r="F132" s="8" t="s">
        <v>718</v>
      </c>
      <c r="G132" s="66">
        <v>5</v>
      </c>
      <c r="H132" s="30">
        <v>-210</v>
      </c>
      <c r="I132" s="10" t="s">
        <v>7</v>
      </c>
      <c r="J13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3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32"/>
      <c r="M132" s="71">
        <f t="shared" si="4"/>
        <v>0</v>
      </c>
      <c r="N132" s="71" t="str">
        <f>IFERROR(VLOOKUP(M132,NCAA_Bets[[Date]:[Version]],2,0),"")</f>
        <v/>
      </c>
      <c r="O132" s="94" t="str">
        <f>COUNTIFS(NCAA_Bets[Date],M132,NCAA_Bets[Result],"W")&amp;"-"&amp;COUNTIFS(NCAA_Bets[Date],M132,NCAA_Bets[Result],"L")&amp;IF(COUNTIFS(NCAA_Bets[Date],M132,NCAA_Bets[Result],"Push")&gt;0,"-"&amp;COUNTIFS(NCAA_Bets[Date],M132,NCAA_Bets[Result],"Push"),"")</f>
        <v>0-0</v>
      </c>
      <c r="P132" s="90">
        <f>SUMIF(NCAA_Bets[Date],M132,NCAA_Bets[Winnings])-SUMIF(NCAA_Bets[Date],M132,NCAA_Bets[Risk])</f>
        <v>0</v>
      </c>
      <c r="Q132" s="89" t="str">
        <f>IFERROR("("&amp;ROUND((SUMIF(NCAA_Bets[Date],M132,NCAA_Bets[Winnings])-SUMIF(NCAA_Bets[Date],M132,NCAA_Bets[Risk]))/SUMIF(NCAA_Bets[Date],M132,NCAA_Bets[Risk]),2)*100&amp;"%)","")</f>
        <v/>
      </c>
    </row>
    <row r="133" spans="2:17" x14ac:dyDescent="0.25">
      <c r="B133" s="101">
        <f t="shared" si="3"/>
        <v>11</v>
      </c>
      <c r="C133" s="6">
        <v>43497</v>
      </c>
      <c r="D133" s="6" t="s">
        <v>298</v>
      </c>
      <c r="E133" s="7" t="s">
        <v>716</v>
      </c>
      <c r="F133" s="8" t="s">
        <v>528</v>
      </c>
      <c r="G133" s="66">
        <v>5</v>
      </c>
      <c r="H133" s="30">
        <v>-110</v>
      </c>
      <c r="I133" s="10" t="s">
        <v>37</v>
      </c>
      <c r="J13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3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33"/>
      <c r="M133" s="71">
        <f t="shared" si="4"/>
        <v>0</v>
      </c>
      <c r="N133" s="71" t="str">
        <f>IFERROR(VLOOKUP(M133,NCAA_Bets[[Date]:[Version]],2,0),"")</f>
        <v/>
      </c>
      <c r="O133" s="94" t="str">
        <f>COUNTIFS(NCAA_Bets[Date],M133,NCAA_Bets[Result],"W")&amp;"-"&amp;COUNTIFS(NCAA_Bets[Date],M133,NCAA_Bets[Result],"L")&amp;IF(COUNTIFS(NCAA_Bets[Date],M133,NCAA_Bets[Result],"Push")&gt;0,"-"&amp;COUNTIFS(NCAA_Bets[Date],M133,NCAA_Bets[Result],"Push"),"")</f>
        <v>0-0</v>
      </c>
      <c r="P133" s="90">
        <f>SUMIF(NCAA_Bets[Date],M133,NCAA_Bets[Winnings])-SUMIF(NCAA_Bets[Date],M133,NCAA_Bets[Risk])</f>
        <v>0</v>
      </c>
      <c r="Q133" s="89" t="str">
        <f>IFERROR("("&amp;ROUND((SUMIF(NCAA_Bets[Date],M133,NCAA_Bets[Winnings])-SUMIF(NCAA_Bets[Date],M133,NCAA_Bets[Risk]))/SUMIF(NCAA_Bets[Date],M133,NCAA_Bets[Risk]),2)*100&amp;"%)","")</f>
        <v/>
      </c>
    </row>
    <row r="134" spans="2:17" x14ac:dyDescent="0.25">
      <c r="B134" s="101">
        <f t="shared" ref="B134:B197" si="5">IF(C134=C133,B133,B133+1)</f>
        <v>11</v>
      </c>
      <c r="C134" s="6">
        <v>43497</v>
      </c>
      <c r="D134" s="6" t="s">
        <v>298</v>
      </c>
      <c r="E134" s="7" t="s">
        <v>719</v>
      </c>
      <c r="F134" s="8" t="s">
        <v>720</v>
      </c>
      <c r="G134" s="66">
        <v>5</v>
      </c>
      <c r="H134" s="30">
        <v>-115</v>
      </c>
      <c r="I134" s="10" t="s">
        <v>7</v>
      </c>
      <c r="J13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3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134"/>
      <c r="M134" s="71">
        <f t="shared" si="4"/>
        <v>0</v>
      </c>
      <c r="N134" s="71" t="str">
        <f>IFERROR(VLOOKUP(M134,NCAA_Bets[[Date]:[Version]],2,0),"")</f>
        <v/>
      </c>
      <c r="O134" s="94" t="str">
        <f>COUNTIFS(NCAA_Bets[Date],M134,NCAA_Bets[Result],"W")&amp;"-"&amp;COUNTIFS(NCAA_Bets[Date],M134,NCAA_Bets[Result],"L")&amp;IF(COUNTIFS(NCAA_Bets[Date],M134,NCAA_Bets[Result],"Push")&gt;0,"-"&amp;COUNTIFS(NCAA_Bets[Date],M134,NCAA_Bets[Result],"Push"),"")</f>
        <v>0-0</v>
      </c>
      <c r="P134" s="90">
        <f>SUMIF(NCAA_Bets[Date],M134,NCAA_Bets[Winnings])-SUMIF(NCAA_Bets[Date],M134,NCAA_Bets[Risk])</f>
        <v>0</v>
      </c>
      <c r="Q134" s="89" t="str">
        <f>IFERROR("("&amp;ROUND((SUMIF(NCAA_Bets[Date],M134,NCAA_Bets[Winnings])-SUMIF(NCAA_Bets[Date],M134,NCAA_Bets[Risk]))/SUMIF(NCAA_Bets[Date],M134,NCAA_Bets[Risk]),2)*100&amp;"%)","")</f>
        <v/>
      </c>
    </row>
    <row r="135" spans="2:17" x14ac:dyDescent="0.25">
      <c r="B135" s="101">
        <f t="shared" si="5"/>
        <v>11</v>
      </c>
      <c r="C135" s="6">
        <v>43497</v>
      </c>
      <c r="D135" s="6" t="s">
        <v>298</v>
      </c>
      <c r="E135" s="7" t="s">
        <v>719</v>
      </c>
      <c r="F135" s="8" t="s">
        <v>721</v>
      </c>
      <c r="G135" s="66">
        <v>5</v>
      </c>
      <c r="H135" s="30">
        <v>145</v>
      </c>
      <c r="I135" s="10" t="s">
        <v>7</v>
      </c>
      <c r="J13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3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MD</v>
      </c>
      <c r="L135"/>
      <c r="M135" s="71">
        <f t="shared" si="4"/>
        <v>0</v>
      </c>
      <c r="N135" s="71" t="str">
        <f>IFERROR(VLOOKUP(M135,NCAA_Bets[[Date]:[Version]],2,0),"")</f>
        <v/>
      </c>
      <c r="O135" s="94" t="str">
        <f>COUNTIFS(NCAA_Bets[Date],M135,NCAA_Bets[Result],"W")&amp;"-"&amp;COUNTIFS(NCAA_Bets[Date],M135,NCAA_Bets[Result],"L")&amp;IF(COUNTIFS(NCAA_Bets[Date],M135,NCAA_Bets[Result],"Push")&gt;0,"-"&amp;COUNTIFS(NCAA_Bets[Date],M135,NCAA_Bets[Result],"Push"),"")</f>
        <v>0-0</v>
      </c>
      <c r="P135" s="90">
        <f>SUMIF(NCAA_Bets[Date],M135,NCAA_Bets[Winnings])-SUMIF(NCAA_Bets[Date],M135,NCAA_Bets[Risk])</f>
        <v>0</v>
      </c>
      <c r="Q135" s="89" t="str">
        <f>IFERROR("("&amp;ROUND((SUMIF(NCAA_Bets[Date],M135,NCAA_Bets[Winnings])-SUMIF(NCAA_Bets[Date],M135,NCAA_Bets[Risk]))/SUMIF(NCAA_Bets[Date],M135,NCAA_Bets[Risk]),2)*100&amp;"%)","")</f>
        <v/>
      </c>
    </row>
    <row r="136" spans="2:17" x14ac:dyDescent="0.25">
      <c r="B136" s="101">
        <f t="shared" si="5"/>
        <v>11</v>
      </c>
      <c r="C136" s="6">
        <v>43497</v>
      </c>
      <c r="D136" s="6" t="s">
        <v>298</v>
      </c>
      <c r="E136" s="7" t="s">
        <v>722</v>
      </c>
      <c r="F136" s="8" t="s">
        <v>530</v>
      </c>
      <c r="G136" s="66">
        <v>5</v>
      </c>
      <c r="H136" s="30">
        <v>-110</v>
      </c>
      <c r="I136" s="10" t="s">
        <v>7</v>
      </c>
      <c r="J13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3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36"/>
      <c r="M136" s="71">
        <f t="shared" si="4"/>
        <v>0</v>
      </c>
      <c r="N136" s="71" t="str">
        <f>IFERROR(VLOOKUP(M136,NCAA_Bets[[Date]:[Version]],2,0),"")</f>
        <v/>
      </c>
      <c r="O136" s="94" t="str">
        <f>COUNTIFS(NCAA_Bets[Date],M136,NCAA_Bets[Result],"W")&amp;"-"&amp;COUNTIFS(NCAA_Bets[Date],M136,NCAA_Bets[Result],"L")&amp;IF(COUNTIFS(NCAA_Bets[Date],M136,NCAA_Bets[Result],"Push")&gt;0,"-"&amp;COUNTIFS(NCAA_Bets[Date],M136,NCAA_Bets[Result],"Push"),"")</f>
        <v>0-0</v>
      </c>
      <c r="P136" s="90">
        <f>SUMIF(NCAA_Bets[Date],M136,NCAA_Bets[Winnings])-SUMIF(NCAA_Bets[Date],M136,NCAA_Bets[Risk])</f>
        <v>0</v>
      </c>
      <c r="Q136" s="89" t="str">
        <f>IFERROR("("&amp;ROUND((SUMIF(NCAA_Bets[Date],M136,NCAA_Bets[Winnings])-SUMIF(NCAA_Bets[Date],M136,NCAA_Bets[Risk]))/SUMIF(NCAA_Bets[Date],M136,NCAA_Bets[Risk]),2)*100&amp;"%)","")</f>
        <v/>
      </c>
    </row>
    <row r="137" spans="2:17" x14ac:dyDescent="0.25">
      <c r="B137" s="101">
        <f t="shared" si="5"/>
        <v>11</v>
      </c>
      <c r="C137" s="6">
        <v>43497</v>
      </c>
      <c r="D137" s="6" t="s">
        <v>298</v>
      </c>
      <c r="E137" s="7" t="s">
        <v>722</v>
      </c>
      <c r="F137" s="8" t="s">
        <v>723</v>
      </c>
      <c r="G137" s="66">
        <v>5</v>
      </c>
      <c r="H137" s="30">
        <v>-380</v>
      </c>
      <c r="I137" s="10" t="s">
        <v>7</v>
      </c>
      <c r="J13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3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37"/>
      <c r="M137" s="71">
        <f t="shared" si="4"/>
        <v>0</v>
      </c>
      <c r="N137" s="71" t="str">
        <f>IFERROR(VLOOKUP(M137,NCAA_Bets[[Date]:[Version]],2,0),"")</f>
        <v/>
      </c>
      <c r="O137" s="94" t="str">
        <f>COUNTIFS(NCAA_Bets[Date],M137,NCAA_Bets[Result],"W")&amp;"-"&amp;COUNTIFS(NCAA_Bets[Date],M137,NCAA_Bets[Result],"L")&amp;IF(COUNTIFS(NCAA_Bets[Date],M137,NCAA_Bets[Result],"Push")&gt;0,"-"&amp;COUNTIFS(NCAA_Bets[Date],M137,NCAA_Bets[Result],"Push"),"")</f>
        <v>0-0</v>
      </c>
      <c r="P137" s="90">
        <f>SUMIF(NCAA_Bets[Date],M137,NCAA_Bets[Winnings])-SUMIF(NCAA_Bets[Date],M137,NCAA_Bets[Risk])</f>
        <v>0</v>
      </c>
      <c r="Q137" s="89" t="str">
        <f>IFERROR("("&amp;ROUND((SUMIF(NCAA_Bets[Date],M137,NCAA_Bets[Winnings])-SUMIF(NCAA_Bets[Date],M137,NCAA_Bets[Risk]))/SUMIF(NCAA_Bets[Date],M137,NCAA_Bets[Risk]),2)*100&amp;"%)","")</f>
        <v/>
      </c>
    </row>
    <row r="138" spans="2:17" x14ac:dyDescent="0.25">
      <c r="B138" s="101">
        <f t="shared" si="5"/>
        <v>11</v>
      </c>
      <c r="C138" s="6">
        <v>43497</v>
      </c>
      <c r="D138" s="6" t="s">
        <v>298</v>
      </c>
      <c r="E138" s="7" t="s">
        <v>722</v>
      </c>
      <c r="F138" s="8" t="s">
        <v>536</v>
      </c>
      <c r="G138" s="66">
        <v>5</v>
      </c>
      <c r="H138" s="30">
        <v>-115</v>
      </c>
      <c r="I138" s="10" t="s">
        <v>7</v>
      </c>
      <c r="J13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3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38"/>
      <c r="M138" s="71">
        <f t="shared" si="4"/>
        <v>0</v>
      </c>
      <c r="N138" s="71" t="str">
        <f>IFERROR(VLOOKUP(M138,NCAA_Bets[[Date]:[Version]],2,0),"")</f>
        <v/>
      </c>
      <c r="O138" s="94" t="str">
        <f>COUNTIFS(NCAA_Bets[Date],M138,NCAA_Bets[Result],"W")&amp;"-"&amp;COUNTIFS(NCAA_Bets[Date],M138,NCAA_Bets[Result],"L")&amp;IF(COUNTIFS(NCAA_Bets[Date],M138,NCAA_Bets[Result],"Push")&gt;0,"-"&amp;COUNTIFS(NCAA_Bets[Date],M138,NCAA_Bets[Result],"Push"),"")</f>
        <v>0-0</v>
      </c>
      <c r="P138" s="90">
        <f>SUMIF(NCAA_Bets[Date],M138,NCAA_Bets[Winnings])-SUMIF(NCAA_Bets[Date],M138,NCAA_Bets[Risk])</f>
        <v>0</v>
      </c>
      <c r="Q138" s="89" t="str">
        <f>IFERROR("("&amp;ROUND((SUMIF(NCAA_Bets[Date],M138,NCAA_Bets[Winnings])-SUMIF(NCAA_Bets[Date],M138,NCAA_Bets[Risk]))/SUMIF(NCAA_Bets[Date],M138,NCAA_Bets[Risk]),2)*100&amp;"%)","")</f>
        <v/>
      </c>
    </row>
    <row r="139" spans="2:17" x14ac:dyDescent="0.25">
      <c r="B139" s="101">
        <f t="shared" si="5"/>
        <v>11</v>
      </c>
      <c r="C139" s="6">
        <v>43497</v>
      </c>
      <c r="D139" s="6" t="s">
        <v>298</v>
      </c>
      <c r="E139" s="7" t="s">
        <v>724</v>
      </c>
      <c r="F139" s="8" t="s">
        <v>725</v>
      </c>
      <c r="G139" s="66">
        <v>5</v>
      </c>
      <c r="H139" s="30">
        <v>-110</v>
      </c>
      <c r="I139" s="10" t="s">
        <v>37</v>
      </c>
      <c r="J13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3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39"/>
      <c r="M139" s="71">
        <f t="shared" si="4"/>
        <v>0</v>
      </c>
      <c r="N139" s="71" t="str">
        <f>IFERROR(VLOOKUP(M139,NCAA_Bets[[Date]:[Version]],2,0),"")</f>
        <v/>
      </c>
      <c r="O139" s="94" t="str">
        <f>COUNTIFS(NCAA_Bets[Date],M139,NCAA_Bets[Result],"W")&amp;"-"&amp;COUNTIFS(NCAA_Bets[Date],M139,NCAA_Bets[Result],"L")&amp;IF(COUNTIFS(NCAA_Bets[Date],M139,NCAA_Bets[Result],"Push")&gt;0,"-"&amp;COUNTIFS(NCAA_Bets[Date],M139,NCAA_Bets[Result],"Push"),"")</f>
        <v>0-0</v>
      </c>
      <c r="P139" s="90">
        <f>SUMIF(NCAA_Bets[Date],M139,NCAA_Bets[Winnings])-SUMIF(NCAA_Bets[Date],M139,NCAA_Bets[Risk])</f>
        <v>0</v>
      </c>
      <c r="Q139" s="89" t="str">
        <f>IFERROR("("&amp;ROUND((SUMIF(NCAA_Bets[Date],M139,NCAA_Bets[Winnings])-SUMIF(NCAA_Bets[Date],M139,NCAA_Bets[Risk]))/SUMIF(NCAA_Bets[Date],M139,NCAA_Bets[Risk]),2)*100&amp;"%)","")</f>
        <v/>
      </c>
    </row>
    <row r="140" spans="2:17" x14ac:dyDescent="0.25">
      <c r="B140" s="101">
        <f t="shared" si="5"/>
        <v>11</v>
      </c>
      <c r="C140" s="6">
        <v>43497</v>
      </c>
      <c r="D140" s="6" t="s">
        <v>298</v>
      </c>
      <c r="E140" s="7" t="s">
        <v>726</v>
      </c>
      <c r="F140" s="8" t="s">
        <v>540</v>
      </c>
      <c r="G140" s="66">
        <v>5</v>
      </c>
      <c r="H140" s="30">
        <v>-105</v>
      </c>
      <c r="I140" s="10" t="s">
        <v>7</v>
      </c>
      <c r="J14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4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40"/>
      <c r="M140" s="71">
        <f t="shared" si="4"/>
        <v>0</v>
      </c>
      <c r="N140" s="71" t="str">
        <f>IFERROR(VLOOKUP(M140,NCAA_Bets[[Date]:[Version]],2,0),"")</f>
        <v/>
      </c>
      <c r="O140" s="94" t="str">
        <f>COUNTIFS(NCAA_Bets[Date],M140,NCAA_Bets[Result],"W")&amp;"-"&amp;COUNTIFS(NCAA_Bets[Date],M140,NCAA_Bets[Result],"L")&amp;IF(COUNTIFS(NCAA_Bets[Date],M140,NCAA_Bets[Result],"Push")&gt;0,"-"&amp;COUNTIFS(NCAA_Bets[Date],M140,NCAA_Bets[Result],"Push"),"")</f>
        <v>0-0</v>
      </c>
      <c r="P140" s="90">
        <f>SUMIF(NCAA_Bets[Date],M140,NCAA_Bets[Winnings])-SUMIF(NCAA_Bets[Date],M140,NCAA_Bets[Risk])</f>
        <v>0</v>
      </c>
      <c r="Q140" s="89" t="str">
        <f>IFERROR("("&amp;ROUND((SUMIF(NCAA_Bets[Date],M140,NCAA_Bets[Winnings])-SUMIF(NCAA_Bets[Date],M140,NCAA_Bets[Risk]))/SUMIF(NCAA_Bets[Date],M140,NCAA_Bets[Risk]),2)*100&amp;"%)","")</f>
        <v/>
      </c>
    </row>
    <row r="141" spans="2:17" x14ac:dyDescent="0.25">
      <c r="B141" s="101">
        <f t="shared" si="5"/>
        <v>11</v>
      </c>
      <c r="C141" s="6">
        <v>43497</v>
      </c>
      <c r="D141" s="6" t="s">
        <v>298</v>
      </c>
      <c r="E141" s="7" t="s">
        <v>726</v>
      </c>
      <c r="F141" s="8" t="s">
        <v>727</v>
      </c>
      <c r="G141" s="66">
        <v>5</v>
      </c>
      <c r="H141" s="30">
        <v>-110</v>
      </c>
      <c r="I141" s="10" t="s">
        <v>37</v>
      </c>
      <c r="J14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4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41"/>
      <c r="M141" s="71">
        <f t="shared" si="4"/>
        <v>0</v>
      </c>
      <c r="N141" s="71" t="str">
        <f>IFERROR(VLOOKUP(M141,NCAA_Bets[[Date]:[Version]],2,0),"")</f>
        <v/>
      </c>
      <c r="O141" s="94" t="str">
        <f>COUNTIFS(NCAA_Bets[Date],M141,NCAA_Bets[Result],"W")&amp;"-"&amp;COUNTIFS(NCAA_Bets[Date],M141,NCAA_Bets[Result],"L")&amp;IF(COUNTIFS(NCAA_Bets[Date],M141,NCAA_Bets[Result],"Push")&gt;0,"-"&amp;COUNTIFS(NCAA_Bets[Date],M141,NCAA_Bets[Result],"Push"),"")</f>
        <v>0-0</v>
      </c>
      <c r="P141" s="90">
        <f>SUMIF(NCAA_Bets[Date],M141,NCAA_Bets[Winnings])-SUMIF(NCAA_Bets[Date],M141,NCAA_Bets[Risk])</f>
        <v>0</v>
      </c>
      <c r="Q141" s="89" t="str">
        <f>IFERROR("("&amp;ROUND((SUMIF(NCAA_Bets[Date],M141,NCAA_Bets[Winnings])-SUMIF(NCAA_Bets[Date],M141,NCAA_Bets[Risk]))/SUMIF(NCAA_Bets[Date],M141,NCAA_Bets[Risk]),2)*100&amp;"%)","")</f>
        <v/>
      </c>
    </row>
    <row r="142" spans="2:17" x14ac:dyDescent="0.25">
      <c r="B142" s="101">
        <f t="shared" si="5"/>
        <v>11</v>
      </c>
      <c r="C142" s="6">
        <v>43497</v>
      </c>
      <c r="D142" s="6" t="s">
        <v>298</v>
      </c>
      <c r="E142" s="7" t="s">
        <v>728</v>
      </c>
      <c r="F142" s="8" t="s">
        <v>729</v>
      </c>
      <c r="G142" s="66">
        <v>5</v>
      </c>
      <c r="H142" s="30">
        <v>-110</v>
      </c>
      <c r="I142" s="10" t="s">
        <v>7</v>
      </c>
      <c r="J14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4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42"/>
      <c r="M142" s="71">
        <f t="shared" si="4"/>
        <v>0</v>
      </c>
      <c r="N142" s="71" t="str">
        <f>IFERROR(VLOOKUP(M142,NCAA_Bets[[Date]:[Version]],2,0),"")</f>
        <v/>
      </c>
      <c r="O142" s="94" t="str">
        <f>COUNTIFS(NCAA_Bets[Date],M142,NCAA_Bets[Result],"W")&amp;"-"&amp;COUNTIFS(NCAA_Bets[Date],M142,NCAA_Bets[Result],"L")&amp;IF(COUNTIFS(NCAA_Bets[Date],M142,NCAA_Bets[Result],"Push")&gt;0,"-"&amp;COUNTIFS(NCAA_Bets[Date],M142,NCAA_Bets[Result],"Push"),"")</f>
        <v>0-0</v>
      </c>
      <c r="P142" s="90">
        <f>SUMIF(NCAA_Bets[Date],M142,NCAA_Bets[Winnings])-SUMIF(NCAA_Bets[Date],M142,NCAA_Bets[Risk])</f>
        <v>0</v>
      </c>
      <c r="Q142" s="89" t="str">
        <f>IFERROR("("&amp;ROUND((SUMIF(NCAA_Bets[Date],M142,NCAA_Bets[Winnings])-SUMIF(NCAA_Bets[Date],M142,NCAA_Bets[Risk]))/SUMIF(NCAA_Bets[Date],M142,NCAA_Bets[Risk]),2)*100&amp;"%)","")</f>
        <v/>
      </c>
    </row>
    <row r="143" spans="2:17" x14ac:dyDescent="0.25">
      <c r="B143" s="101">
        <f t="shared" si="5"/>
        <v>11</v>
      </c>
      <c r="C143" s="6">
        <v>43497</v>
      </c>
      <c r="D143" s="6" t="s">
        <v>298</v>
      </c>
      <c r="E143" s="7" t="s">
        <v>728</v>
      </c>
      <c r="F143" s="8" t="s">
        <v>645</v>
      </c>
      <c r="G143" s="66">
        <v>5</v>
      </c>
      <c r="H143" s="30">
        <v>-105</v>
      </c>
      <c r="I143" s="10" t="s">
        <v>7</v>
      </c>
      <c r="J14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4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43"/>
      <c r="M143" s="71">
        <f t="shared" si="4"/>
        <v>0</v>
      </c>
      <c r="N143" s="71" t="str">
        <f>IFERROR(VLOOKUP(M143,NCAA_Bets[[Date]:[Version]],2,0),"")</f>
        <v/>
      </c>
      <c r="O143" s="94" t="str">
        <f>COUNTIFS(NCAA_Bets[Date],M143,NCAA_Bets[Result],"W")&amp;"-"&amp;COUNTIFS(NCAA_Bets[Date],M143,NCAA_Bets[Result],"L")&amp;IF(COUNTIFS(NCAA_Bets[Date],M143,NCAA_Bets[Result],"Push")&gt;0,"-"&amp;COUNTIFS(NCAA_Bets[Date],M143,NCAA_Bets[Result],"Push"),"")</f>
        <v>0-0</v>
      </c>
      <c r="P143" s="90">
        <f>SUMIF(NCAA_Bets[Date],M143,NCAA_Bets[Winnings])-SUMIF(NCAA_Bets[Date],M143,NCAA_Bets[Risk])</f>
        <v>0</v>
      </c>
      <c r="Q143" s="89" t="str">
        <f>IFERROR("("&amp;ROUND((SUMIF(NCAA_Bets[Date],M143,NCAA_Bets[Winnings])-SUMIF(NCAA_Bets[Date],M143,NCAA_Bets[Risk]))/SUMIF(NCAA_Bets[Date],M143,NCAA_Bets[Risk]),2)*100&amp;"%)","")</f>
        <v/>
      </c>
    </row>
    <row r="144" spans="2:17" x14ac:dyDescent="0.25">
      <c r="B144" s="101">
        <f t="shared" si="5"/>
        <v>11</v>
      </c>
      <c r="C144" s="6">
        <v>43497</v>
      </c>
      <c r="D144" s="6" t="s">
        <v>298</v>
      </c>
      <c r="E144" s="7" t="s">
        <v>728</v>
      </c>
      <c r="F144" s="8" t="s">
        <v>730</v>
      </c>
      <c r="G144" s="66">
        <v>5</v>
      </c>
      <c r="H144" s="30">
        <v>-135</v>
      </c>
      <c r="I144" s="10" t="s">
        <v>7</v>
      </c>
      <c r="J14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4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44"/>
      <c r="M144" s="71">
        <f t="shared" si="4"/>
        <v>0</v>
      </c>
      <c r="N144" s="71" t="str">
        <f>IFERROR(VLOOKUP(M144,NCAA_Bets[[Date]:[Version]],2,0),"")</f>
        <v/>
      </c>
      <c r="O144" s="94" t="str">
        <f>COUNTIFS(NCAA_Bets[Date],M144,NCAA_Bets[Result],"W")&amp;"-"&amp;COUNTIFS(NCAA_Bets[Date],M144,NCAA_Bets[Result],"L")&amp;IF(COUNTIFS(NCAA_Bets[Date],M144,NCAA_Bets[Result],"Push")&gt;0,"-"&amp;COUNTIFS(NCAA_Bets[Date],M144,NCAA_Bets[Result],"Push"),"")</f>
        <v>0-0</v>
      </c>
      <c r="P144" s="90">
        <f>SUMIF(NCAA_Bets[Date],M144,NCAA_Bets[Winnings])-SUMIF(NCAA_Bets[Date],M144,NCAA_Bets[Risk])</f>
        <v>0</v>
      </c>
      <c r="Q144" s="89" t="str">
        <f>IFERROR("("&amp;ROUND((SUMIF(NCAA_Bets[Date],M144,NCAA_Bets[Winnings])-SUMIF(NCAA_Bets[Date],M144,NCAA_Bets[Risk]))/SUMIF(NCAA_Bets[Date],M144,NCAA_Bets[Risk]),2)*100&amp;"%)","")</f>
        <v/>
      </c>
    </row>
    <row r="145" spans="2:17" x14ac:dyDescent="0.25">
      <c r="B145" s="101">
        <f t="shared" si="5"/>
        <v>12</v>
      </c>
      <c r="C145" s="6">
        <v>43500</v>
      </c>
      <c r="D145" s="6" t="s">
        <v>298</v>
      </c>
      <c r="E145" s="7" t="s">
        <v>737</v>
      </c>
      <c r="F145" s="8" t="s">
        <v>534</v>
      </c>
      <c r="G145" s="66">
        <v>5</v>
      </c>
      <c r="H145" s="30">
        <v>-110</v>
      </c>
      <c r="I145" s="10" t="s">
        <v>37</v>
      </c>
      <c r="J14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4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45"/>
      <c r="M145" s="71">
        <f t="shared" si="4"/>
        <v>0</v>
      </c>
      <c r="N145" s="71" t="str">
        <f>IFERROR(VLOOKUP(M145,NCAA_Bets[[Date]:[Version]],2,0),"")</f>
        <v/>
      </c>
      <c r="O145" s="94" t="str">
        <f>COUNTIFS(NCAA_Bets[Date],M145,NCAA_Bets[Result],"W")&amp;"-"&amp;COUNTIFS(NCAA_Bets[Date],M145,NCAA_Bets[Result],"L")&amp;IF(COUNTIFS(NCAA_Bets[Date],M145,NCAA_Bets[Result],"Push")&gt;0,"-"&amp;COUNTIFS(NCAA_Bets[Date],M145,NCAA_Bets[Result],"Push"),"")</f>
        <v>0-0</v>
      </c>
      <c r="P145" s="90">
        <f>SUMIF(NCAA_Bets[Date],M145,NCAA_Bets[Winnings])-SUMIF(NCAA_Bets[Date],M145,NCAA_Bets[Risk])</f>
        <v>0</v>
      </c>
      <c r="Q145" s="89" t="str">
        <f>IFERROR("("&amp;ROUND((SUMIF(NCAA_Bets[Date],M145,NCAA_Bets[Winnings])-SUMIF(NCAA_Bets[Date],M145,NCAA_Bets[Risk]))/SUMIF(NCAA_Bets[Date],M145,NCAA_Bets[Risk]),2)*100&amp;"%)","")</f>
        <v/>
      </c>
    </row>
    <row r="146" spans="2:17" x14ac:dyDescent="0.25">
      <c r="B146" s="101">
        <f t="shared" si="5"/>
        <v>12</v>
      </c>
      <c r="C146" s="6">
        <v>43500</v>
      </c>
      <c r="D146" s="6" t="s">
        <v>298</v>
      </c>
      <c r="E146" s="7" t="s">
        <v>738</v>
      </c>
      <c r="F146" s="8" t="s">
        <v>615</v>
      </c>
      <c r="G146" s="66">
        <v>5</v>
      </c>
      <c r="H146" s="30">
        <v>-105</v>
      </c>
      <c r="I146" s="10" t="s">
        <v>69</v>
      </c>
      <c r="J14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5</v>
      </c>
      <c r="K14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46"/>
      <c r="M146" s="71">
        <f t="shared" si="4"/>
        <v>0</v>
      </c>
      <c r="N146" s="71" t="str">
        <f>IFERROR(VLOOKUP(M146,NCAA_Bets[[Date]:[Version]],2,0),"")</f>
        <v/>
      </c>
      <c r="O146" s="94" t="str">
        <f>COUNTIFS(NCAA_Bets[Date],M146,NCAA_Bets[Result],"W")&amp;"-"&amp;COUNTIFS(NCAA_Bets[Date],M146,NCAA_Bets[Result],"L")&amp;IF(COUNTIFS(NCAA_Bets[Date],M146,NCAA_Bets[Result],"Push")&gt;0,"-"&amp;COUNTIFS(NCAA_Bets[Date],M146,NCAA_Bets[Result],"Push"),"")</f>
        <v>0-0</v>
      </c>
      <c r="P146" s="90">
        <f>SUMIF(NCAA_Bets[Date],M146,NCAA_Bets[Winnings])-SUMIF(NCAA_Bets[Date],M146,NCAA_Bets[Risk])</f>
        <v>0</v>
      </c>
      <c r="Q146" s="89" t="str">
        <f>IFERROR("("&amp;ROUND((SUMIF(NCAA_Bets[Date],M146,NCAA_Bets[Winnings])-SUMIF(NCAA_Bets[Date],M146,NCAA_Bets[Risk]))/SUMIF(NCAA_Bets[Date],M146,NCAA_Bets[Risk]),2)*100&amp;"%)","")</f>
        <v/>
      </c>
    </row>
    <row r="147" spans="2:17" x14ac:dyDescent="0.25">
      <c r="B147" s="101">
        <f t="shared" si="5"/>
        <v>12</v>
      </c>
      <c r="C147" s="6">
        <v>43500</v>
      </c>
      <c r="D147" s="6" t="s">
        <v>298</v>
      </c>
      <c r="E147" s="7" t="s">
        <v>738</v>
      </c>
      <c r="F147" s="8" t="s">
        <v>739</v>
      </c>
      <c r="G147" s="66">
        <v>5</v>
      </c>
      <c r="H147" s="30">
        <v>-105</v>
      </c>
      <c r="I147" s="10" t="s">
        <v>7</v>
      </c>
      <c r="J14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4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47"/>
      <c r="M147" s="71">
        <f t="shared" si="4"/>
        <v>0</v>
      </c>
      <c r="N147" s="71" t="str">
        <f>IFERROR(VLOOKUP(M147,NCAA_Bets[[Date]:[Version]],2,0),"")</f>
        <v/>
      </c>
      <c r="O147" s="94" t="str">
        <f>COUNTIFS(NCAA_Bets[Date],M147,NCAA_Bets[Result],"W")&amp;"-"&amp;COUNTIFS(NCAA_Bets[Date],M147,NCAA_Bets[Result],"L")&amp;IF(COUNTIFS(NCAA_Bets[Date],M147,NCAA_Bets[Result],"Push")&gt;0,"-"&amp;COUNTIFS(NCAA_Bets[Date],M147,NCAA_Bets[Result],"Push"),"")</f>
        <v>0-0</v>
      </c>
      <c r="P147" s="90">
        <f>SUMIF(NCAA_Bets[Date],M147,NCAA_Bets[Winnings])-SUMIF(NCAA_Bets[Date],M147,NCAA_Bets[Risk])</f>
        <v>0</v>
      </c>
      <c r="Q147" s="89" t="str">
        <f>IFERROR("("&amp;ROUND((SUMIF(NCAA_Bets[Date],M147,NCAA_Bets[Winnings])-SUMIF(NCAA_Bets[Date],M147,NCAA_Bets[Risk]))/SUMIF(NCAA_Bets[Date],M147,NCAA_Bets[Risk]),2)*100&amp;"%)","")</f>
        <v/>
      </c>
    </row>
    <row r="148" spans="2:17" x14ac:dyDescent="0.25">
      <c r="B148" s="101">
        <f t="shared" si="5"/>
        <v>12</v>
      </c>
      <c r="C148" s="6">
        <v>43500</v>
      </c>
      <c r="D148" s="6" t="s">
        <v>298</v>
      </c>
      <c r="E148" s="7" t="s">
        <v>740</v>
      </c>
      <c r="F148" s="8" t="s">
        <v>627</v>
      </c>
      <c r="G148" s="66">
        <v>5</v>
      </c>
      <c r="H148" s="30">
        <v>-115</v>
      </c>
      <c r="I148" s="10" t="s">
        <v>37</v>
      </c>
      <c r="J14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14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48"/>
      <c r="M148" s="71">
        <f t="shared" si="4"/>
        <v>0</v>
      </c>
      <c r="N148" s="71" t="str">
        <f>IFERROR(VLOOKUP(M148,NCAA_Bets[[Date]:[Version]],2,0),"")</f>
        <v/>
      </c>
      <c r="O148" s="94" t="str">
        <f>COUNTIFS(NCAA_Bets[Date],M148,NCAA_Bets[Result],"W")&amp;"-"&amp;COUNTIFS(NCAA_Bets[Date],M148,NCAA_Bets[Result],"L")&amp;IF(COUNTIFS(NCAA_Bets[Date],M148,NCAA_Bets[Result],"Push")&gt;0,"-"&amp;COUNTIFS(NCAA_Bets[Date],M148,NCAA_Bets[Result],"Push"),"")</f>
        <v>0-0</v>
      </c>
      <c r="P148" s="90">
        <f>SUMIF(NCAA_Bets[Date],M148,NCAA_Bets[Winnings])-SUMIF(NCAA_Bets[Date],M148,NCAA_Bets[Risk])</f>
        <v>0</v>
      </c>
      <c r="Q148" s="89" t="str">
        <f>IFERROR("("&amp;ROUND((SUMIF(NCAA_Bets[Date],M148,NCAA_Bets[Winnings])-SUMIF(NCAA_Bets[Date],M148,NCAA_Bets[Risk]))/SUMIF(NCAA_Bets[Date],M148,NCAA_Bets[Risk]),2)*100&amp;"%)","")</f>
        <v/>
      </c>
    </row>
    <row r="149" spans="2:17" x14ac:dyDescent="0.25">
      <c r="B149" s="101">
        <f t="shared" si="5"/>
        <v>12</v>
      </c>
      <c r="C149" s="6">
        <v>43500</v>
      </c>
      <c r="D149" s="6" t="s">
        <v>298</v>
      </c>
      <c r="E149" s="7" t="s">
        <v>740</v>
      </c>
      <c r="F149" s="8" t="s">
        <v>741</v>
      </c>
      <c r="G149" s="66">
        <v>5</v>
      </c>
      <c r="H149" s="30">
        <v>-110</v>
      </c>
      <c r="I149" s="10" t="s">
        <v>7</v>
      </c>
      <c r="J14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4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49"/>
      <c r="M149" s="71">
        <f t="shared" si="4"/>
        <v>0</v>
      </c>
      <c r="N149" s="71" t="str">
        <f>IFERROR(VLOOKUP(M149,NCAA_Bets[[Date]:[Version]],2,0),"")</f>
        <v/>
      </c>
      <c r="O149" s="94" t="str">
        <f>COUNTIFS(NCAA_Bets[Date],M149,NCAA_Bets[Result],"W")&amp;"-"&amp;COUNTIFS(NCAA_Bets[Date],M149,NCAA_Bets[Result],"L")&amp;IF(COUNTIFS(NCAA_Bets[Date],M149,NCAA_Bets[Result],"Push")&gt;0,"-"&amp;COUNTIFS(NCAA_Bets[Date],M149,NCAA_Bets[Result],"Push"),"")</f>
        <v>0-0</v>
      </c>
      <c r="P149" s="90">
        <f>SUMIF(NCAA_Bets[Date],M149,NCAA_Bets[Winnings])-SUMIF(NCAA_Bets[Date],M149,NCAA_Bets[Risk])</f>
        <v>0</v>
      </c>
      <c r="Q149" s="89" t="str">
        <f>IFERROR("("&amp;ROUND((SUMIF(NCAA_Bets[Date],M149,NCAA_Bets[Winnings])-SUMIF(NCAA_Bets[Date],M149,NCAA_Bets[Risk]))/SUMIF(NCAA_Bets[Date],M149,NCAA_Bets[Risk]),2)*100&amp;"%)","")</f>
        <v/>
      </c>
    </row>
    <row r="150" spans="2:17" x14ac:dyDescent="0.25">
      <c r="B150" s="101">
        <f t="shared" si="5"/>
        <v>12</v>
      </c>
      <c r="C150" s="6">
        <v>43500</v>
      </c>
      <c r="D150" s="6" t="s">
        <v>298</v>
      </c>
      <c r="E150" s="7" t="s">
        <v>742</v>
      </c>
      <c r="F150" s="8" t="s">
        <v>743</v>
      </c>
      <c r="G150" s="66">
        <v>5</v>
      </c>
      <c r="H150" s="30">
        <v>-110</v>
      </c>
      <c r="I150" s="10" t="s">
        <v>7</v>
      </c>
      <c r="J15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5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50"/>
      <c r="M150" s="71">
        <f t="shared" si="4"/>
        <v>0</v>
      </c>
      <c r="N150" s="71" t="str">
        <f>IFERROR(VLOOKUP(M150,NCAA_Bets[[Date]:[Version]],2,0),"")</f>
        <v/>
      </c>
      <c r="O150" s="94" t="str">
        <f>COUNTIFS(NCAA_Bets[Date],M150,NCAA_Bets[Result],"W")&amp;"-"&amp;COUNTIFS(NCAA_Bets[Date],M150,NCAA_Bets[Result],"L")&amp;IF(COUNTIFS(NCAA_Bets[Date],M150,NCAA_Bets[Result],"Push")&gt;0,"-"&amp;COUNTIFS(NCAA_Bets[Date],M150,NCAA_Bets[Result],"Push"),"")</f>
        <v>0-0</v>
      </c>
      <c r="P150" s="90">
        <f>SUMIF(NCAA_Bets[Date],M150,NCAA_Bets[Winnings])-SUMIF(NCAA_Bets[Date],M150,NCAA_Bets[Risk])</f>
        <v>0</v>
      </c>
      <c r="Q150" s="89" t="str">
        <f>IFERROR("("&amp;ROUND((SUMIF(NCAA_Bets[Date],M150,NCAA_Bets[Winnings])-SUMIF(NCAA_Bets[Date],M150,NCAA_Bets[Risk]))/SUMIF(NCAA_Bets[Date],M150,NCAA_Bets[Risk]),2)*100&amp;"%)","")</f>
        <v/>
      </c>
    </row>
    <row r="151" spans="2:17" x14ac:dyDescent="0.25">
      <c r="B151" s="101">
        <f t="shared" si="5"/>
        <v>12</v>
      </c>
      <c r="C151" s="6">
        <v>43500</v>
      </c>
      <c r="D151" s="6" t="s">
        <v>298</v>
      </c>
      <c r="E151" s="7" t="s">
        <v>742</v>
      </c>
      <c r="F151" s="8" t="s">
        <v>744</v>
      </c>
      <c r="G151" s="66">
        <v>5</v>
      </c>
      <c r="H151" s="30">
        <v>-110</v>
      </c>
      <c r="I151" s="10" t="s">
        <v>37</v>
      </c>
      <c r="J15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5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51"/>
      <c r="M151" s="71">
        <f t="shared" si="4"/>
        <v>0</v>
      </c>
      <c r="N151" s="71" t="str">
        <f>IFERROR(VLOOKUP(M151,NCAA_Bets[[Date]:[Version]],2,0),"")</f>
        <v/>
      </c>
      <c r="O151" s="94" t="str">
        <f>COUNTIFS(NCAA_Bets[Date],M151,NCAA_Bets[Result],"W")&amp;"-"&amp;COUNTIFS(NCAA_Bets[Date],M151,NCAA_Bets[Result],"L")&amp;IF(COUNTIFS(NCAA_Bets[Date],M151,NCAA_Bets[Result],"Push")&gt;0,"-"&amp;COUNTIFS(NCAA_Bets[Date],M151,NCAA_Bets[Result],"Push"),"")</f>
        <v>0-0</v>
      </c>
      <c r="P151" s="90">
        <f>SUMIF(NCAA_Bets[Date],M151,NCAA_Bets[Winnings])-SUMIF(NCAA_Bets[Date],M151,NCAA_Bets[Risk])</f>
        <v>0</v>
      </c>
      <c r="Q151" s="89" t="str">
        <f>IFERROR("("&amp;ROUND((SUMIF(NCAA_Bets[Date],M151,NCAA_Bets[Winnings])-SUMIF(NCAA_Bets[Date],M151,NCAA_Bets[Risk]))/SUMIF(NCAA_Bets[Date],M151,NCAA_Bets[Risk]),2)*100&amp;"%)","")</f>
        <v/>
      </c>
    </row>
    <row r="152" spans="2:17" x14ac:dyDescent="0.25">
      <c r="B152" s="101">
        <f t="shared" si="5"/>
        <v>12</v>
      </c>
      <c r="C152" s="6">
        <v>43500</v>
      </c>
      <c r="D152" s="6" t="s">
        <v>298</v>
      </c>
      <c r="E152" s="7" t="s">
        <v>745</v>
      </c>
      <c r="F152" s="8" t="s">
        <v>746</v>
      </c>
      <c r="G152" s="66">
        <v>5</v>
      </c>
      <c r="H152" s="30">
        <v>-115</v>
      </c>
      <c r="I152" s="10" t="s">
        <v>7</v>
      </c>
      <c r="J15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5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52"/>
      <c r="M152" s="71">
        <f t="shared" si="4"/>
        <v>0</v>
      </c>
      <c r="N152" s="71" t="str">
        <f>IFERROR(VLOOKUP(M152,NCAA_Bets[[Date]:[Version]],2,0),"")</f>
        <v/>
      </c>
      <c r="O152" s="94" t="str">
        <f>COUNTIFS(NCAA_Bets[Date],M152,NCAA_Bets[Result],"W")&amp;"-"&amp;COUNTIFS(NCAA_Bets[Date],M152,NCAA_Bets[Result],"L")&amp;IF(COUNTIFS(NCAA_Bets[Date],M152,NCAA_Bets[Result],"Push")&gt;0,"-"&amp;COUNTIFS(NCAA_Bets[Date],M152,NCAA_Bets[Result],"Push"),"")</f>
        <v>0-0</v>
      </c>
      <c r="P152" s="90">
        <f>SUMIF(NCAA_Bets[Date],M152,NCAA_Bets[Winnings])-SUMIF(NCAA_Bets[Date],M152,NCAA_Bets[Risk])</f>
        <v>0</v>
      </c>
      <c r="Q152" s="89" t="str">
        <f>IFERROR("("&amp;ROUND((SUMIF(NCAA_Bets[Date],M152,NCAA_Bets[Winnings])-SUMIF(NCAA_Bets[Date],M152,NCAA_Bets[Risk]))/SUMIF(NCAA_Bets[Date],M152,NCAA_Bets[Risk]),2)*100&amp;"%)","")</f>
        <v/>
      </c>
    </row>
    <row r="153" spans="2:17" x14ac:dyDescent="0.25">
      <c r="B153" s="101">
        <f t="shared" si="5"/>
        <v>12</v>
      </c>
      <c r="C153" s="6">
        <v>43500</v>
      </c>
      <c r="D153" s="6" t="s">
        <v>298</v>
      </c>
      <c r="E153" s="7" t="s">
        <v>745</v>
      </c>
      <c r="F153" s="8" t="s">
        <v>747</v>
      </c>
      <c r="G153" s="66">
        <v>5</v>
      </c>
      <c r="H153" s="30">
        <v>-110</v>
      </c>
      <c r="I153" s="10" t="s">
        <v>37</v>
      </c>
      <c r="J15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5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53"/>
      <c r="M153" s="71">
        <f t="shared" si="4"/>
        <v>0</v>
      </c>
      <c r="N153" s="71" t="str">
        <f>IFERROR(VLOOKUP(M153,NCAA_Bets[[Date]:[Version]],2,0),"")</f>
        <v/>
      </c>
      <c r="O153" s="94" t="str">
        <f>COUNTIFS(NCAA_Bets[Date],M153,NCAA_Bets[Result],"W")&amp;"-"&amp;COUNTIFS(NCAA_Bets[Date],M153,NCAA_Bets[Result],"L")&amp;IF(COUNTIFS(NCAA_Bets[Date],M153,NCAA_Bets[Result],"Push")&gt;0,"-"&amp;COUNTIFS(NCAA_Bets[Date],M153,NCAA_Bets[Result],"Push"),"")</f>
        <v>0-0</v>
      </c>
      <c r="P153" s="90">
        <f>SUMIF(NCAA_Bets[Date],M153,NCAA_Bets[Winnings])-SUMIF(NCAA_Bets[Date],M153,NCAA_Bets[Risk])</f>
        <v>0</v>
      </c>
      <c r="Q153" s="89" t="str">
        <f>IFERROR("("&amp;ROUND((SUMIF(NCAA_Bets[Date],M153,NCAA_Bets[Winnings])-SUMIF(NCAA_Bets[Date],M153,NCAA_Bets[Risk]))/SUMIF(NCAA_Bets[Date],M153,NCAA_Bets[Risk]),2)*100&amp;"%)","")</f>
        <v/>
      </c>
    </row>
    <row r="154" spans="2:17" x14ac:dyDescent="0.25">
      <c r="B154" s="101">
        <f t="shared" si="5"/>
        <v>12</v>
      </c>
      <c r="C154" s="6">
        <v>43500</v>
      </c>
      <c r="D154" s="6" t="s">
        <v>298</v>
      </c>
      <c r="E154" s="7" t="s">
        <v>748</v>
      </c>
      <c r="F154" s="8" t="s">
        <v>749</v>
      </c>
      <c r="G154" s="66">
        <v>5</v>
      </c>
      <c r="H154" s="30">
        <v>-105</v>
      </c>
      <c r="I154" s="10" t="s">
        <v>7</v>
      </c>
      <c r="J15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5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54"/>
      <c r="M154" s="71">
        <f t="shared" ref="M154:M217" si="6">IFERROR(VLOOKUP(ROW()-4,B:C,2,0),0)</f>
        <v>0</v>
      </c>
      <c r="N154" s="71" t="str">
        <f>IFERROR(VLOOKUP(M154,NCAA_Bets[[Date]:[Version]],2,0),"")</f>
        <v/>
      </c>
      <c r="O154" s="94" t="str">
        <f>COUNTIFS(NCAA_Bets[Date],M154,NCAA_Bets[Result],"W")&amp;"-"&amp;COUNTIFS(NCAA_Bets[Date],M154,NCAA_Bets[Result],"L")&amp;IF(COUNTIFS(NCAA_Bets[Date],M154,NCAA_Bets[Result],"Push")&gt;0,"-"&amp;COUNTIFS(NCAA_Bets[Date],M154,NCAA_Bets[Result],"Push"),"")</f>
        <v>0-0</v>
      </c>
      <c r="P154" s="90">
        <f>SUMIF(NCAA_Bets[Date],M154,NCAA_Bets[Winnings])-SUMIF(NCAA_Bets[Date],M154,NCAA_Bets[Risk])</f>
        <v>0</v>
      </c>
      <c r="Q154" s="89" t="str">
        <f>IFERROR("("&amp;ROUND((SUMIF(NCAA_Bets[Date],M154,NCAA_Bets[Winnings])-SUMIF(NCAA_Bets[Date],M154,NCAA_Bets[Risk]))/SUMIF(NCAA_Bets[Date],M154,NCAA_Bets[Risk]),2)*100&amp;"%)","")</f>
        <v/>
      </c>
    </row>
    <row r="155" spans="2:17" x14ac:dyDescent="0.25">
      <c r="B155" s="101">
        <f t="shared" si="5"/>
        <v>12</v>
      </c>
      <c r="C155" s="6">
        <v>43500</v>
      </c>
      <c r="D155" s="6" t="s">
        <v>298</v>
      </c>
      <c r="E155" s="7" t="s">
        <v>748</v>
      </c>
      <c r="F155" s="8" t="s">
        <v>750</v>
      </c>
      <c r="G155" s="66">
        <v>5</v>
      </c>
      <c r="H155" s="30">
        <v>-150</v>
      </c>
      <c r="I155" s="10" t="s">
        <v>37</v>
      </c>
      <c r="J15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8.3333333333333339</v>
      </c>
      <c r="K15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55"/>
      <c r="M155" s="71">
        <f t="shared" si="6"/>
        <v>0</v>
      </c>
      <c r="N155" s="71" t="str">
        <f>IFERROR(VLOOKUP(M155,NCAA_Bets[[Date]:[Version]],2,0),"")</f>
        <v/>
      </c>
      <c r="O155" s="94" t="str">
        <f>COUNTIFS(NCAA_Bets[Date],M155,NCAA_Bets[Result],"W")&amp;"-"&amp;COUNTIFS(NCAA_Bets[Date],M155,NCAA_Bets[Result],"L")&amp;IF(COUNTIFS(NCAA_Bets[Date],M155,NCAA_Bets[Result],"Push")&gt;0,"-"&amp;COUNTIFS(NCAA_Bets[Date],M155,NCAA_Bets[Result],"Push"),"")</f>
        <v>0-0</v>
      </c>
      <c r="P155" s="90">
        <f>SUMIF(NCAA_Bets[Date],M155,NCAA_Bets[Winnings])-SUMIF(NCAA_Bets[Date],M155,NCAA_Bets[Risk])</f>
        <v>0</v>
      </c>
      <c r="Q155" s="89" t="str">
        <f>IFERROR("("&amp;ROUND((SUMIF(NCAA_Bets[Date],M155,NCAA_Bets[Winnings])-SUMIF(NCAA_Bets[Date],M155,NCAA_Bets[Risk]))/SUMIF(NCAA_Bets[Date],M155,NCAA_Bets[Risk]),2)*100&amp;"%)","")</f>
        <v/>
      </c>
    </row>
    <row r="156" spans="2:17" x14ac:dyDescent="0.25">
      <c r="B156" s="101">
        <f t="shared" si="5"/>
        <v>12</v>
      </c>
      <c r="C156" s="6">
        <v>43500</v>
      </c>
      <c r="D156" s="6" t="s">
        <v>298</v>
      </c>
      <c r="E156" s="7" t="s">
        <v>748</v>
      </c>
      <c r="F156" s="8" t="s">
        <v>751</v>
      </c>
      <c r="G156" s="66">
        <v>5</v>
      </c>
      <c r="H156" s="30">
        <v>-110</v>
      </c>
      <c r="I156" s="10" t="s">
        <v>7</v>
      </c>
      <c r="J15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5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56"/>
      <c r="M156" s="71">
        <f t="shared" si="6"/>
        <v>0</v>
      </c>
      <c r="N156" s="71" t="str">
        <f>IFERROR(VLOOKUP(M156,NCAA_Bets[[Date]:[Version]],2,0),"")</f>
        <v/>
      </c>
      <c r="O156" s="94" t="str">
        <f>COUNTIFS(NCAA_Bets[Date],M156,NCAA_Bets[Result],"W")&amp;"-"&amp;COUNTIFS(NCAA_Bets[Date],M156,NCAA_Bets[Result],"L")&amp;IF(COUNTIFS(NCAA_Bets[Date],M156,NCAA_Bets[Result],"Push")&gt;0,"-"&amp;COUNTIFS(NCAA_Bets[Date],M156,NCAA_Bets[Result],"Push"),"")</f>
        <v>0-0</v>
      </c>
      <c r="P156" s="90">
        <f>SUMIF(NCAA_Bets[Date],M156,NCAA_Bets[Winnings])-SUMIF(NCAA_Bets[Date],M156,NCAA_Bets[Risk])</f>
        <v>0</v>
      </c>
      <c r="Q156" s="89" t="str">
        <f>IFERROR("("&amp;ROUND((SUMIF(NCAA_Bets[Date],M156,NCAA_Bets[Winnings])-SUMIF(NCAA_Bets[Date],M156,NCAA_Bets[Risk]))/SUMIF(NCAA_Bets[Date],M156,NCAA_Bets[Risk]),2)*100&amp;"%)","")</f>
        <v/>
      </c>
    </row>
    <row r="157" spans="2:17" x14ac:dyDescent="0.25">
      <c r="B157" s="101">
        <f t="shared" si="5"/>
        <v>12</v>
      </c>
      <c r="C157" s="6">
        <v>43500</v>
      </c>
      <c r="D157" s="6" t="s">
        <v>298</v>
      </c>
      <c r="E157" s="7" t="s">
        <v>752</v>
      </c>
      <c r="F157" s="8" t="s">
        <v>753</v>
      </c>
      <c r="G157" s="66">
        <v>5</v>
      </c>
      <c r="H157" s="30">
        <v>-110</v>
      </c>
      <c r="I157" s="10" t="s">
        <v>37</v>
      </c>
      <c r="J15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5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57"/>
      <c r="M157" s="71">
        <f t="shared" si="6"/>
        <v>0</v>
      </c>
      <c r="N157" s="71" t="str">
        <f>IFERROR(VLOOKUP(M157,NCAA_Bets[[Date]:[Version]],2,0),"")</f>
        <v/>
      </c>
      <c r="O157" s="94" t="str">
        <f>COUNTIFS(NCAA_Bets[Date],M157,NCAA_Bets[Result],"W")&amp;"-"&amp;COUNTIFS(NCAA_Bets[Date],M157,NCAA_Bets[Result],"L")&amp;IF(COUNTIFS(NCAA_Bets[Date],M157,NCAA_Bets[Result],"Push")&gt;0,"-"&amp;COUNTIFS(NCAA_Bets[Date],M157,NCAA_Bets[Result],"Push"),"")</f>
        <v>0-0</v>
      </c>
      <c r="P157" s="90">
        <f>SUMIF(NCAA_Bets[Date],M157,NCAA_Bets[Winnings])-SUMIF(NCAA_Bets[Date],M157,NCAA_Bets[Risk])</f>
        <v>0</v>
      </c>
      <c r="Q157" s="89" t="str">
        <f>IFERROR("("&amp;ROUND((SUMIF(NCAA_Bets[Date],M157,NCAA_Bets[Winnings])-SUMIF(NCAA_Bets[Date],M157,NCAA_Bets[Risk]))/SUMIF(NCAA_Bets[Date],M157,NCAA_Bets[Risk]),2)*100&amp;"%)","")</f>
        <v/>
      </c>
    </row>
    <row r="158" spans="2:17" x14ac:dyDescent="0.25">
      <c r="B158" s="101">
        <f t="shared" si="5"/>
        <v>12</v>
      </c>
      <c r="C158" s="6">
        <v>43500</v>
      </c>
      <c r="D158" s="6" t="s">
        <v>298</v>
      </c>
      <c r="E158" s="7" t="s">
        <v>752</v>
      </c>
      <c r="F158" s="8" t="s">
        <v>754</v>
      </c>
      <c r="G158" s="66">
        <v>5</v>
      </c>
      <c r="H158" s="30">
        <v>-110</v>
      </c>
      <c r="I158" s="10" t="s">
        <v>7</v>
      </c>
      <c r="J15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5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58"/>
      <c r="M158" s="71">
        <f t="shared" si="6"/>
        <v>0</v>
      </c>
      <c r="N158" s="71" t="str">
        <f>IFERROR(VLOOKUP(M158,NCAA_Bets[[Date]:[Version]],2,0),"")</f>
        <v/>
      </c>
      <c r="O158" s="94" t="str">
        <f>COUNTIFS(NCAA_Bets[Date],M158,NCAA_Bets[Result],"W")&amp;"-"&amp;COUNTIFS(NCAA_Bets[Date],M158,NCAA_Bets[Result],"L")&amp;IF(COUNTIFS(NCAA_Bets[Date],M158,NCAA_Bets[Result],"Push")&gt;0,"-"&amp;COUNTIFS(NCAA_Bets[Date],M158,NCAA_Bets[Result],"Push"),"")</f>
        <v>0-0</v>
      </c>
      <c r="P158" s="90">
        <f>SUMIF(NCAA_Bets[Date],M158,NCAA_Bets[Winnings])-SUMIF(NCAA_Bets[Date],M158,NCAA_Bets[Risk])</f>
        <v>0</v>
      </c>
      <c r="Q158" s="89" t="str">
        <f>IFERROR("("&amp;ROUND((SUMIF(NCAA_Bets[Date],M158,NCAA_Bets[Winnings])-SUMIF(NCAA_Bets[Date],M158,NCAA_Bets[Risk]))/SUMIF(NCAA_Bets[Date],M158,NCAA_Bets[Risk]),2)*100&amp;"%)","")</f>
        <v/>
      </c>
    </row>
    <row r="159" spans="2:17" x14ac:dyDescent="0.25">
      <c r="B159" s="101">
        <f t="shared" si="5"/>
        <v>12</v>
      </c>
      <c r="C159" s="6">
        <v>43500</v>
      </c>
      <c r="D159" s="6" t="s">
        <v>298</v>
      </c>
      <c r="E159" s="7" t="s">
        <v>752</v>
      </c>
      <c r="F159" s="8" t="s">
        <v>755</v>
      </c>
      <c r="G159" s="66">
        <v>5</v>
      </c>
      <c r="H159" s="30">
        <v>-225</v>
      </c>
      <c r="I159" s="10" t="s">
        <v>37</v>
      </c>
      <c r="J15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7.2222222222222223</v>
      </c>
      <c r="K15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59"/>
      <c r="M159" s="71">
        <f t="shared" si="6"/>
        <v>0</v>
      </c>
      <c r="N159" s="71" t="str">
        <f>IFERROR(VLOOKUP(M159,NCAA_Bets[[Date]:[Version]],2,0),"")</f>
        <v/>
      </c>
      <c r="O159" s="94" t="str">
        <f>COUNTIFS(NCAA_Bets[Date],M159,NCAA_Bets[Result],"W")&amp;"-"&amp;COUNTIFS(NCAA_Bets[Date],M159,NCAA_Bets[Result],"L")&amp;IF(COUNTIFS(NCAA_Bets[Date],M159,NCAA_Bets[Result],"Push")&gt;0,"-"&amp;COUNTIFS(NCAA_Bets[Date],M159,NCAA_Bets[Result],"Push"),"")</f>
        <v>0-0</v>
      </c>
      <c r="P159" s="90">
        <f>SUMIF(NCAA_Bets[Date],M159,NCAA_Bets[Winnings])-SUMIF(NCAA_Bets[Date],M159,NCAA_Bets[Risk])</f>
        <v>0</v>
      </c>
      <c r="Q159" s="89" t="str">
        <f>IFERROR("("&amp;ROUND((SUMIF(NCAA_Bets[Date],M159,NCAA_Bets[Winnings])-SUMIF(NCAA_Bets[Date],M159,NCAA_Bets[Risk]))/SUMIF(NCAA_Bets[Date],M159,NCAA_Bets[Risk]),2)*100&amp;"%)","")</f>
        <v/>
      </c>
    </row>
    <row r="160" spans="2:17" x14ac:dyDescent="0.25">
      <c r="B160" s="101">
        <f t="shared" si="5"/>
        <v>13</v>
      </c>
      <c r="C160" s="6">
        <v>43502</v>
      </c>
      <c r="D160" s="6" t="s">
        <v>299</v>
      </c>
      <c r="E160" s="7" t="s">
        <v>771</v>
      </c>
      <c r="F160" s="8" t="s">
        <v>772</v>
      </c>
      <c r="G160" s="66">
        <v>5</v>
      </c>
      <c r="H160" s="30">
        <v>-115</v>
      </c>
      <c r="I160" s="10" t="s">
        <v>7</v>
      </c>
      <c r="J16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6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160"/>
      <c r="M160" s="71">
        <f t="shared" si="6"/>
        <v>0</v>
      </c>
      <c r="N160" s="71" t="str">
        <f>IFERROR(VLOOKUP(M160,NCAA_Bets[[Date]:[Version]],2,0),"")</f>
        <v/>
      </c>
      <c r="O160" s="94" t="str">
        <f>COUNTIFS(NCAA_Bets[Date],M160,NCAA_Bets[Result],"W")&amp;"-"&amp;COUNTIFS(NCAA_Bets[Date],M160,NCAA_Bets[Result],"L")&amp;IF(COUNTIFS(NCAA_Bets[Date],M160,NCAA_Bets[Result],"Push")&gt;0,"-"&amp;COUNTIFS(NCAA_Bets[Date],M160,NCAA_Bets[Result],"Push"),"")</f>
        <v>0-0</v>
      </c>
      <c r="P160" s="90">
        <f>SUMIF(NCAA_Bets[Date],M160,NCAA_Bets[Winnings])-SUMIF(NCAA_Bets[Date],M160,NCAA_Bets[Risk])</f>
        <v>0</v>
      </c>
      <c r="Q160" s="89" t="str">
        <f>IFERROR("("&amp;ROUND((SUMIF(NCAA_Bets[Date],M160,NCAA_Bets[Winnings])-SUMIF(NCAA_Bets[Date],M160,NCAA_Bets[Risk]))/SUMIF(NCAA_Bets[Date],M160,NCAA_Bets[Risk]),2)*100&amp;"%)","")</f>
        <v/>
      </c>
    </row>
    <row r="161" spans="2:17" x14ac:dyDescent="0.25">
      <c r="B161" s="101">
        <f t="shared" si="5"/>
        <v>13</v>
      </c>
      <c r="C161" s="6">
        <v>43502</v>
      </c>
      <c r="D161" s="6" t="s">
        <v>299</v>
      </c>
      <c r="E161" s="7" t="s">
        <v>771</v>
      </c>
      <c r="F161" s="8" t="s">
        <v>773</v>
      </c>
      <c r="G161" s="66">
        <v>5</v>
      </c>
      <c r="H161" s="30">
        <v>160</v>
      </c>
      <c r="I161" s="10" t="s">
        <v>7</v>
      </c>
      <c r="J16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6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MD</v>
      </c>
      <c r="L161"/>
      <c r="M161" s="71">
        <f t="shared" si="6"/>
        <v>0</v>
      </c>
      <c r="N161" s="71" t="str">
        <f>IFERROR(VLOOKUP(M161,NCAA_Bets[[Date]:[Version]],2,0),"")</f>
        <v/>
      </c>
      <c r="O161" s="94" t="str">
        <f>COUNTIFS(NCAA_Bets[Date],M161,NCAA_Bets[Result],"W")&amp;"-"&amp;COUNTIFS(NCAA_Bets[Date],M161,NCAA_Bets[Result],"L")&amp;IF(COUNTIFS(NCAA_Bets[Date],M161,NCAA_Bets[Result],"Push")&gt;0,"-"&amp;COUNTIFS(NCAA_Bets[Date],M161,NCAA_Bets[Result],"Push"),"")</f>
        <v>0-0</v>
      </c>
      <c r="P161" s="90">
        <f>SUMIF(NCAA_Bets[Date],M161,NCAA_Bets[Winnings])-SUMIF(NCAA_Bets[Date],M161,NCAA_Bets[Risk])</f>
        <v>0</v>
      </c>
      <c r="Q161" s="89" t="str">
        <f>IFERROR("("&amp;ROUND((SUMIF(NCAA_Bets[Date],M161,NCAA_Bets[Winnings])-SUMIF(NCAA_Bets[Date],M161,NCAA_Bets[Risk]))/SUMIF(NCAA_Bets[Date],M161,NCAA_Bets[Risk]),2)*100&amp;"%)","")</f>
        <v/>
      </c>
    </row>
    <row r="162" spans="2:17" x14ac:dyDescent="0.25">
      <c r="B162" s="101">
        <f t="shared" si="5"/>
        <v>13</v>
      </c>
      <c r="C162" s="6">
        <v>43502</v>
      </c>
      <c r="D162" s="6" t="s">
        <v>299</v>
      </c>
      <c r="E162" s="7" t="s">
        <v>771</v>
      </c>
      <c r="F162" s="8" t="s">
        <v>774</v>
      </c>
      <c r="G162" s="66">
        <v>5</v>
      </c>
      <c r="H162" s="30">
        <v>-115</v>
      </c>
      <c r="I162" s="10" t="s">
        <v>37</v>
      </c>
      <c r="J16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16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62"/>
      <c r="M162" s="71">
        <f t="shared" si="6"/>
        <v>0</v>
      </c>
      <c r="N162" s="71" t="str">
        <f>IFERROR(VLOOKUP(M162,NCAA_Bets[[Date]:[Version]],2,0),"")</f>
        <v/>
      </c>
      <c r="O162" s="94" t="str">
        <f>COUNTIFS(NCAA_Bets[Date],M162,NCAA_Bets[Result],"W")&amp;"-"&amp;COUNTIFS(NCAA_Bets[Date],M162,NCAA_Bets[Result],"L")&amp;IF(COUNTIFS(NCAA_Bets[Date],M162,NCAA_Bets[Result],"Push")&gt;0,"-"&amp;COUNTIFS(NCAA_Bets[Date],M162,NCAA_Bets[Result],"Push"),"")</f>
        <v>0-0</v>
      </c>
      <c r="P162" s="90">
        <f>SUMIF(NCAA_Bets[Date],M162,NCAA_Bets[Winnings])-SUMIF(NCAA_Bets[Date],M162,NCAA_Bets[Risk])</f>
        <v>0</v>
      </c>
      <c r="Q162" s="89" t="str">
        <f>IFERROR("("&amp;ROUND((SUMIF(NCAA_Bets[Date],M162,NCAA_Bets[Winnings])-SUMIF(NCAA_Bets[Date],M162,NCAA_Bets[Risk]))/SUMIF(NCAA_Bets[Date],M162,NCAA_Bets[Risk]),2)*100&amp;"%)","")</f>
        <v/>
      </c>
    </row>
    <row r="163" spans="2:17" x14ac:dyDescent="0.25">
      <c r="B163" s="101">
        <f t="shared" si="5"/>
        <v>13</v>
      </c>
      <c r="C163" s="6">
        <v>43502</v>
      </c>
      <c r="D163" s="6" t="s">
        <v>299</v>
      </c>
      <c r="E163" s="7" t="s">
        <v>775</v>
      </c>
      <c r="F163" s="8" t="s">
        <v>776</v>
      </c>
      <c r="G163" s="66">
        <v>5</v>
      </c>
      <c r="H163" s="30">
        <v>-110</v>
      </c>
      <c r="I163" s="10" t="s">
        <v>37</v>
      </c>
      <c r="J16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6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63"/>
      <c r="M163" s="71">
        <f t="shared" si="6"/>
        <v>0</v>
      </c>
      <c r="N163" s="71" t="str">
        <f>IFERROR(VLOOKUP(M163,NCAA_Bets[[Date]:[Version]],2,0),"")</f>
        <v/>
      </c>
      <c r="O163" s="94" t="str">
        <f>COUNTIFS(NCAA_Bets[Date],M163,NCAA_Bets[Result],"W")&amp;"-"&amp;COUNTIFS(NCAA_Bets[Date],M163,NCAA_Bets[Result],"L")&amp;IF(COUNTIFS(NCAA_Bets[Date],M163,NCAA_Bets[Result],"Push")&gt;0,"-"&amp;COUNTIFS(NCAA_Bets[Date],M163,NCAA_Bets[Result],"Push"),"")</f>
        <v>0-0</v>
      </c>
      <c r="P163" s="90">
        <f>SUMIF(NCAA_Bets[Date],M163,NCAA_Bets[Winnings])-SUMIF(NCAA_Bets[Date],M163,NCAA_Bets[Risk])</f>
        <v>0</v>
      </c>
      <c r="Q163" s="89" t="str">
        <f>IFERROR("("&amp;ROUND((SUMIF(NCAA_Bets[Date],M163,NCAA_Bets[Winnings])-SUMIF(NCAA_Bets[Date],M163,NCAA_Bets[Risk]))/SUMIF(NCAA_Bets[Date],M163,NCAA_Bets[Risk]),2)*100&amp;"%)","")</f>
        <v/>
      </c>
    </row>
    <row r="164" spans="2:17" x14ac:dyDescent="0.25">
      <c r="B164" s="101">
        <f t="shared" si="5"/>
        <v>13</v>
      </c>
      <c r="C164" s="6">
        <v>43502</v>
      </c>
      <c r="D164" s="6" t="s">
        <v>299</v>
      </c>
      <c r="E164" s="7" t="s">
        <v>777</v>
      </c>
      <c r="F164" s="8" t="s">
        <v>778</v>
      </c>
      <c r="G164" s="66">
        <v>5</v>
      </c>
      <c r="H164" s="30">
        <v>-115</v>
      </c>
      <c r="I164" s="10" t="s">
        <v>37</v>
      </c>
      <c r="J16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16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64" s="71">
        <f t="shared" ref="L164:L227" si="7">IFERROR(VLOOKUP(ROW()-4,B:C,2,0),0)</f>
        <v>0</v>
      </c>
      <c r="M164" s="71">
        <f t="shared" si="6"/>
        <v>0</v>
      </c>
      <c r="N164" s="71" t="str">
        <f>IFERROR(VLOOKUP(M164,NCAA_Bets[[Date]:[Version]],2,0),"")</f>
        <v/>
      </c>
      <c r="O164" s="94" t="str">
        <f>COUNTIFS(NCAA_Bets[Date],M164,NCAA_Bets[Result],"W")&amp;"-"&amp;COUNTIFS(NCAA_Bets[Date],M164,NCAA_Bets[Result],"L")&amp;IF(COUNTIFS(NCAA_Bets[Date],M164,NCAA_Bets[Result],"Push")&gt;0,"-"&amp;COUNTIFS(NCAA_Bets[Date],M164,NCAA_Bets[Result],"Push"),"")</f>
        <v>0-0</v>
      </c>
      <c r="P164" s="90">
        <f>SUMIF(NCAA_Bets[Date],M164,NCAA_Bets[Winnings])-SUMIF(NCAA_Bets[Date],M164,NCAA_Bets[Risk])</f>
        <v>0</v>
      </c>
    </row>
    <row r="165" spans="2:17" x14ac:dyDescent="0.25">
      <c r="B165" s="101">
        <f t="shared" si="5"/>
        <v>13</v>
      </c>
      <c r="C165" s="6">
        <v>43502</v>
      </c>
      <c r="D165" s="6" t="s">
        <v>299</v>
      </c>
      <c r="E165" s="7" t="s">
        <v>777</v>
      </c>
      <c r="F165" s="8" t="s">
        <v>779</v>
      </c>
      <c r="G165" s="66">
        <v>5</v>
      </c>
      <c r="H165" s="30">
        <v>-115</v>
      </c>
      <c r="I165" s="10" t="s">
        <v>7</v>
      </c>
      <c r="J16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6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65" s="71">
        <f t="shared" si="7"/>
        <v>0</v>
      </c>
      <c r="M165" s="71">
        <f t="shared" si="6"/>
        <v>0</v>
      </c>
      <c r="N165" s="71" t="str">
        <f>IFERROR(VLOOKUP(M165,NCAA_Bets[[Date]:[Version]],2,0),"")</f>
        <v/>
      </c>
      <c r="O165" s="94" t="str">
        <f>COUNTIFS(NCAA_Bets[Date],M165,NCAA_Bets[Result],"W")&amp;"-"&amp;COUNTIFS(NCAA_Bets[Date],M165,NCAA_Bets[Result],"L")&amp;IF(COUNTIFS(NCAA_Bets[Date],M165,NCAA_Bets[Result],"Push")&gt;0,"-"&amp;COUNTIFS(NCAA_Bets[Date],M165,NCAA_Bets[Result],"Push"),"")</f>
        <v>0-0</v>
      </c>
      <c r="P165" s="90">
        <f>SUMIF(NCAA_Bets[Date],M165,NCAA_Bets[Winnings])-SUMIF(NCAA_Bets[Date],M165,NCAA_Bets[Risk])</f>
        <v>0</v>
      </c>
    </row>
    <row r="166" spans="2:17" x14ac:dyDescent="0.25">
      <c r="B166" s="101">
        <f t="shared" si="5"/>
        <v>13</v>
      </c>
      <c r="C166" s="6">
        <v>43502</v>
      </c>
      <c r="D166" s="6" t="s">
        <v>299</v>
      </c>
      <c r="E166" s="7" t="s">
        <v>780</v>
      </c>
      <c r="F166" s="8" t="s">
        <v>781</v>
      </c>
      <c r="G166" s="66">
        <v>5</v>
      </c>
      <c r="H166" s="30">
        <v>-110</v>
      </c>
      <c r="I166" s="10" t="s">
        <v>7</v>
      </c>
      <c r="J16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6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66" s="71">
        <f t="shared" si="7"/>
        <v>0</v>
      </c>
      <c r="M166" s="71">
        <f t="shared" si="6"/>
        <v>0</v>
      </c>
      <c r="N166" s="71" t="str">
        <f>IFERROR(VLOOKUP(M166,NCAA_Bets[[Date]:[Version]],2,0),"")</f>
        <v/>
      </c>
      <c r="O166" s="94" t="str">
        <f>COUNTIFS(NCAA_Bets[Date],M166,NCAA_Bets[Result],"W")&amp;"-"&amp;COUNTIFS(NCAA_Bets[Date],M166,NCAA_Bets[Result],"L")&amp;IF(COUNTIFS(NCAA_Bets[Date],M166,NCAA_Bets[Result],"Push")&gt;0,"-"&amp;COUNTIFS(NCAA_Bets[Date],M166,NCAA_Bets[Result],"Push"),"")</f>
        <v>0-0</v>
      </c>
      <c r="P166" s="90">
        <f>SUMIF(NCAA_Bets[Date],M166,NCAA_Bets[Winnings])-SUMIF(NCAA_Bets[Date],M166,NCAA_Bets[Risk])</f>
        <v>0</v>
      </c>
    </row>
    <row r="167" spans="2:17" x14ac:dyDescent="0.25">
      <c r="B167" s="101">
        <f t="shared" si="5"/>
        <v>13</v>
      </c>
      <c r="C167" s="6">
        <v>43502</v>
      </c>
      <c r="D167" s="6" t="s">
        <v>299</v>
      </c>
      <c r="E167" s="7" t="s">
        <v>780</v>
      </c>
      <c r="F167" s="8" t="s">
        <v>782</v>
      </c>
      <c r="G167" s="66">
        <v>5</v>
      </c>
      <c r="H167" s="30">
        <v>-125</v>
      </c>
      <c r="I167" s="10" t="s">
        <v>7</v>
      </c>
      <c r="J16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6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67" s="71">
        <f t="shared" si="7"/>
        <v>0</v>
      </c>
      <c r="M167" s="71">
        <f t="shared" si="6"/>
        <v>0</v>
      </c>
      <c r="N167" s="71" t="str">
        <f>IFERROR(VLOOKUP(M167,NCAA_Bets[[Date]:[Version]],2,0),"")</f>
        <v/>
      </c>
      <c r="O167" s="94" t="str">
        <f>COUNTIFS(NCAA_Bets[Date],M167,NCAA_Bets[Result],"W")&amp;"-"&amp;COUNTIFS(NCAA_Bets[Date],M167,NCAA_Bets[Result],"L")&amp;IF(COUNTIFS(NCAA_Bets[Date],M167,NCAA_Bets[Result],"Push")&gt;0,"-"&amp;COUNTIFS(NCAA_Bets[Date],M167,NCAA_Bets[Result],"Push"),"")</f>
        <v>0-0</v>
      </c>
      <c r="P167" s="90">
        <f>SUMIF(NCAA_Bets[Date],M167,NCAA_Bets[Winnings])-SUMIF(NCAA_Bets[Date],M167,NCAA_Bets[Risk])</f>
        <v>0</v>
      </c>
    </row>
    <row r="168" spans="2:17" x14ac:dyDescent="0.25">
      <c r="B168" s="101">
        <f t="shared" si="5"/>
        <v>13</v>
      </c>
      <c r="C168" s="6">
        <v>43502</v>
      </c>
      <c r="D168" s="6" t="s">
        <v>299</v>
      </c>
      <c r="E168" s="7" t="s">
        <v>783</v>
      </c>
      <c r="F168" s="8" t="s">
        <v>784</v>
      </c>
      <c r="G168" s="66">
        <v>5</v>
      </c>
      <c r="H168" s="30">
        <v>-110</v>
      </c>
      <c r="I168" s="10" t="s">
        <v>7</v>
      </c>
      <c r="J16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6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68" s="71">
        <f t="shared" si="7"/>
        <v>0</v>
      </c>
      <c r="M168" s="71">
        <f t="shared" si="6"/>
        <v>0</v>
      </c>
      <c r="N168" s="71" t="str">
        <f>IFERROR(VLOOKUP(M168,NCAA_Bets[[Date]:[Version]],2,0),"")</f>
        <v/>
      </c>
      <c r="O168" s="94" t="str">
        <f>COUNTIFS(NCAA_Bets[Date],M168,NCAA_Bets[Result],"W")&amp;"-"&amp;COUNTIFS(NCAA_Bets[Date],M168,NCAA_Bets[Result],"L")&amp;IF(COUNTIFS(NCAA_Bets[Date],M168,NCAA_Bets[Result],"Push")&gt;0,"-"&amp;COUNTIFS(NCAA_Bets[Date],M168,NCAA_Bets[Result],"Push"),"")</f>
        <v>0-0</v>
      </c>
      <c r="P168" s="90">
        <f>SUMIF(NCAA_Bets[Date],M168,NCAA_Bets[Winnings])-SUMIF(NCAA_Bets[Date],M168,NCAA_Bets[Risk])</f>
        <v>0</v>
      </c>
    </row>
    <row r="169" spans="2:17" x14ac:dyDescent="0.25">
      <c r="B169" s="101">
        <f t="shared" si="5"/>
        <v>13</v>
      </c>
      <c r="C169" s="6">
        <v>43502</v>
      </c>
      <c r="D169" s="6" t="s">
        <v>299</v>
      </c>
      <c r="E169" s="7" t="s">
        <v>785</v>
      </c>
      <c r="F169" s="8" t="s">
        <v>786</v>
      </c>
      <c r="G169" s="66">
        <v>5</v>
      </c>
      <c r="H169" s="30">
        <v>-105</v>
      </c>
      <c r="I169" s="10" t="s">
        <v>7</v>
      </c>
      <c r="J16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6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169" s="71">
        <f t="shared" si="7"/>
        <v>0</v>
      </c>
      <c r="M169" s="71">
        <f t="shared" si="6"/>
        <v>0</v>
      </c>
      <c r="N169" s="71" t="str">
        <f>IFERROR(VLOOKUP(M169,NCAA_Bets[[Date]:[Version]],2,0),"")</f>
        <v/>
      </c>
      <c r="O169" s="94" t="str">
        <f>COUNTIFS(NCAA_Bets[Date],M169,NCAA_Bets[Result],"W")&amp;"-"&amp;COUNTIFS(NCAA_Bets[Date],M169,NCAA_Bets[Result],"L")&amp;IF(COUNTIFS(NCAA_Bets[Date],M169,NCAA_Bets[Result],"Push")&gt;0,"-"&amp;COUNTIFS(NCAA_Bets[Date],M169,NCAA_Bets[Result],"Push"),"")</f>
        <v>0-0</v>
      </c>
      <c r="P169" s="90">
        <f>SUMIF(NCAA_Bets[Date],M169,NCAA_Bets[Winnings])-SUMIF(NCAA_Bets[Date],M169,NCAA_Bets[Risk])</f>
        <v>0</v>
      </c>
    </row>
    <row r="170" spans="2:17" x14ac:dyDescent="0.25">
      <c r="B170" s="101">
        <f t="shared" si="5"/>
        <v>13</v>
      </c>
      <c r="C170" s="6">
        <v>43502</v>
      </c>
      <c r="D170" s="6" t="s">
        <v>299</v>
      </c>
      <c r="E170" s="7" t="s">
        <v>785</v>
      </c>
      <c r="F170" s="8" t="s">
        <v>751</v>
      </c>
      <c r="G170" s="66">
        <v>5</v>
      </c>
      <c r="H170" s="30">
        <v>-115</v>
      </c>
      <c r="I170" s="10" t="s">
        <v>37</v>
      </c>
      <c r="J17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9.3478260869565215</v>
      </c>
      <c r="K17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70" s="71">
        <f t="shared" si="7"/>
        <v>0</v>
      </c>
      <c r="M170" s="71">
        <f t="shared" si="6"/>
        <v>0</v>
      </c>
      <c r="N170" s="71" t="str">
        <f>IFERROR(VLOOKUP(M170,NCAA_Bets[[Date]:[Version]],2,0),"")</f>
        <v/>
      </c>
      <c r="O170" s="94" t="str">
        <f>COUNTIFS(NCAA_Bets[Date],M170,NCAA_Bets[Result],"W")&amp;"-"&amp;COUNTIFS(NCAA_Bets[Date],M170,NCAA_Bets[Result],"L")&amp;IF(COUNTIFS(NCAA_Bets[Date],M170,NCAA_Bets[Result],"Push")&gt;0,"-"&amp;COUNTIFS(NCAA_Bets[Date],M170,NCAA_Bets[Result],"Push"),"")</f>
        <v>0-0</v>
      </c>
      <c r="P170" s="90">
        <f>SUMIF(NCAA_Bets[Date],M170,NCAA_Bets[Winnings])-SUMIF(NCAA_Bets[Date],M170,NCAA_Bets[Risk])</f>
        <v>0</v>
      </c>
    </row>
    <row r="171" spans="2:17" x14ac:dyDescent="0.25">
      <c r="B171" s="101">
        <f t="shared" si="5"/>
        <v>13</v>
      </c>
      <c r="C171" s="6">
        <v>43502</v>
      </c>
      <c r="D171" s="6" t="s">
        <v>299</v>
      </c>
      <c r="E171" s="7" t="s">
        <v>787</v>
      </c>
      <c r="F171" s="8" t="s">
        <v>715</v>
      </c>
      <c r="G171" s="66">
        <v>5</v>
      </c>
      <c r="H171" s="30">
        <v>-225</v>
      </c>
      <c r="I171" s="10" t="s">
        <v>37</v>
      </c>
      <c r="J17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7.2222222222222223</v>
      </c>
      <c r="K17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71" s="71">
        <f t="shared" si="7"/>
        <v>0</v>
      </c>
      <c r="M171" s="71">
        <f t="shared" si="6"/>
        <v>0</v>
      </c>
      <c r="N171" s="71" t="str">
        <f>IFERROR(VLOOKUP(M171,NCAA_Bets[[Date]:[Version]],2,0),"")</f>
        <v/>
      </c>
      <c r="O171" s="94" t="str">
        <f>COUNTIFS(NCAA_Bets[Date],M171,NCAA_Bets[Result],"W")&amp;"-"&amp;COUNTIFS(NCAA_Bets[Date],M171,NCAA_Bets[Result],"L")&amp;IF(COUNTIFS(NCAA_Bets[Date],M171,NCAA_Bets[Result],"Push")&gt;0,"-"&amp;COUNTIFS(NCAA_Bets[Date],M171,NCAA_Bets[Result],"Push"),"")</f>
        <v>0-0</v>
      </c>
      <c r="P171" s="90">
        <f>SUMIF(NCAA_Bets[Date],M171,NCAA_Bets[Winnings])-SUMIF(NCAA_Bets[Date],M171,NCAA_Bets[Risk])</f>
        <v>0</v>
      </c>
    </row>
    <row r="172" spans="2:17" x14ac:dyDescent="0.25">
      <c r="B172" s="101">
        <f t="shared" si="5"/>
        <v>13</v>
      </c>
      <c r="C172" s="6">
        <v>43502</v>
      </c>
      <c r="D172" s="6" t="s">
        <v>299</v>
      </c>
      <c r="E172" s="7" t="s">
        <v>787</v>
      </c>
      <c r="F172" s="8" t="s">
        <v>788</v>
      </c>
      <c r="G172" s="66">
        <v>5</v>
      </c>
      <c r="H172" s="30">
        <v>-110</v>
      </c>
      <c r="I172" s="10" t="s">
        <v>37</v>
      </c>
      <c r="J17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9.5454545454545467</v>
      </c>
      <c r="K17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72" s="71">
        <f t="shared" si="7"/>
        <v>0</v>
      </c>
      <c r="M172" s="71">
        <f t="shared" si="6"/>
        <v>0</v>
      </c>
      <c r="N172" s="71" t="str">
        <f>IFERROR(VLOOKUP(M172,NCAA_Bets[[Date]:[Version]],2,0),"")</f>
        <v/>
      </c>
      <c r="O172" s="94" t="str">
        <f>COUNTIFS(NCAA_Bets[Date],M172,NCAA_Bets[Result],"W")&amp;"-"&amp;COUNTIFS(NCAA_Bets[Date],M172,NCAA_Bets[Result],"L")&amp;IF(COUNTIFS(NCAA_Bets[Date],M172,NCAA_Bets[Result],"Push")&gt;0,"-"&amp;COUNTIFS(NCAA_Bets[Date],M172,NCAA_Bets[Result],"Push"),"")</f>
        <v>0-0</v>
      </c>
      <c r="P172" s="90">
        <f>SUMIF(NCAA_Bets[Date],M172,NCAA_Bets[Winnings])-SUMIF(NCAA_Bets[Date],M172,NCAA_Bets[Risk])</f>
        <v>0</v>
      </c>
    </row>
    <row r="173" spans="2:17" x14ac:dyDescent="0.25">
      <c r="B173" s="101">
        <f t="shared" si="5"/>
        <v>13</v>
      </c>
      <c r="C173" s="6">
        <v>43502</v>
      </c>
      <c r="D173" s="6" t="s">
        <v>299</v>
      </c>
      <c r="E173" s="7" t="s">
        <v>789</v>
      </c>
      <c r="F173" s="8" t="s">
        <v>790</v>
      </c>
      <c r="G173" s="66">
        <v>5</v>
      </c>
      <c r="H173" s="30">
        <v>-110</v>
      </c>
      <c r="I173" s="10" t="s">
        <v>7</v>
      </c>
      <c r="J17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7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73" s="71">
        <f t="shared" si="7"/>
        <v>0</v>
      </c>
      <c r="M173" s="71">
        <f t="shared" si="6"/>
        <v>0</v>
      </c>
      <c r="N173" s="71" t="str">
        <f>IFERROR(VLOOKUP(M173,NCAA_Bets[[Date]:[Version]],2,0),"")</f>
        <v/>
      </c>
      <c r="O173" s="94" t="str">
        <f>COUNTIFS(NCAA_Bets[Date],M173,NCAA_Bets[Result],"W")&amp;"-"&amp;COUNTIFS(NCAA_Bets[Date],M173,NCAA_Bets[Result],"L")&amp;IF(COUNTIFS(NCAA_Bets[Date],M173,NCAA_Bets[Result],"Push")&gt;0,"-"&amp;COUNTIFS(NCAA_Bets[Date],M173,NCAA_Bets[Result],"Push"),"")</f>
        <v>0-0</v>
      </c>
      <c r="P173" s="90">
        <f>SUMIF(NCAA_Bets[Date],M173,NCAA_Bets[Winnings])-SUMIF(NCAA_Bets[Date],M173,NCAA_Bets[Risk])</f>
        <v>0</v>
      </c>
    </row>
    <row r="174" spans="2:17" x14ac:dyDescent="0.25">
      <c r="B174" s="101">
        <f t="shared" si="5"/>
        <v>13</v>
      </c>
      <c r="C174" s="6">
        <v>43502</v>
      </c>
      <c r="D174" s="6" t="s">
        <v>299</v>
      </c>
      <c r="E174" s="7" t="s">
        <v>791</v>
      </c>
      <c r="F174" s="8" t="s">
        <v>792</v>
      </c>
      <c r="G174" s="66">
        <v>5</v>
      </c>
      <c r="H174" s="30">
        <v>-105</v>
      </c>
      <c r="I174" s="10" t="s">
        <v>37</v>
      </c>
      <c r="J17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9.7619047619047628</v>
      </c>
      <c r="K17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74" s="71">
        <f t="shared" si="7"/>
        <v>0</v>
      </c>
      <c r="M174" s="71">
        <f t="shared" si="6"/>
        <v>0</v>
      </c>
      <c r="N174" s="71" t="str">
        <f>IFERROR(VLOOKUP(M174,NCAA_Bets[[Date]:[Version]],2,0),"")</f>
        <v/>
      </c>
      <c r="O174" s="94" t="str">
        <f>COUNTIFS(NCAA_Bets[Date],M174,NCAA_Bets[Result],"W")&amp;"-"&amp;COUNTIFS(NCAA_Bets[Date],M174,NCAA_Bets[Result],"L")&amp;IF(COUNTIFS(NCAA_Bets[Date],M174,NCAA_Bets[Result],"Push")&gt;0,"-"&amp;COUNTIFS(NCAA_Bets[Date],M174,NCAA_Bets[Result],"Push"),"")</f>
        <v>0-0</v>
      </c>
      <c r="P174" s="90">
        <f>SUMIF(NCAA_Bets[Date],M174,NCAA_Bets[Winnings])-SUMIF(NCAA_Bets[Date],M174,NCAA_Bets[Risk])</f>
        <v>0</v>
      </c>
    </row>
    <row r="175" spans="2:17" x14ac:dyDescent="0.25">
      <c r="B175" s="101">
        <f t="shared" si="5"/>
        <v>13</v>
      </c>
      <c r="C175" s="6">
        <v>43502</v>
      </c>
      <c r="D175" s="6" t="s">
        <v>299</v>
      </c>
      <c r="E175" s="7" t="s">
        <v>791</v>
      </c>
      <c r="F175" s="8" t="s">
        <v>793</v>
      </c>
      <c r="G175" s="66">
        <v>5</v>
      </c>
      <c r="H175" s="30">
        <v>-150</v>
      </c>
      <c r="I175" s="10" t="s">
        <v>37</v>
      </c>
      <c r="J17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8.3333333333333339</v>
      </c>
      <c r="K17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75" s="71">
        <f t="shared" si="7"/>
        <v>0</v>
      </c>
      <c r="M175" s="71">
        <f t="shared" si="6"/>
        <v>0</v>
      </c>
      <c r="N175" s="71" t="str">
        <f>IFERROR(VLOOKUP(M175,NCAA_Bets[[Date]:[Version]],2,0),"")</f>
        <v/>
      </c>
      <c r="O175" s="94" t="str">
        <f>COUNTIFS(NCAA_Bets[Date],M175,NCAA_Bets[Result],"W")&amp;"-"&amp;COUNTIFS(NCAA_Bets[Date],M175,NCAA_Bets[Result],"L")&amp;IF(COUNTIFS(NCAA_Bets[Date],M175,NCAA_Bets[Result],"Push")&gt;0,"-"&amp;COUNTIFS(NCAA_Bets[Date],M175,NCAA_Bets[Result],"Push"),"")</f>
        <v>0-0</v>
      </c>
      <c r="P175" s="90">
        <f>SUMIF(NCAA_Bets[Date],M175,NCAA_Bets[Winnings])-SUMIF(NCAA_Bets[Date],M175,NCAA_Bets[Risk])</f>
        <v>0</v>
      </c>
    </row>
    <row r="176" spans="2:17" x14ac:dyDescent="0.25">
      <c r="B176" s="101">
        <f t="shared" si="5"/>
        <v>14</v>
      </c>
      <c r="C176" s="6">
        <v>43504</v>
      </c>
      <c r="D176" s="6" t="s">
        <v>299</v>
      </c>
      <c r="E176" s="7" t="s">
        <v>838</v>
      </c>
      <c r="F176" s="8" t="s">
        <v>839</v>
      </c>
      <c r="G176" s="66">
        <v>2</v>
      </c>
      <c r="H176" s="30">
        <v>-115</v>
      </c>
      <c r="I176" s="10" t="s">
        <v>37</v>
      </c>
      <c r="J17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17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76" s="71">
        <f t="shared" si="7"/>
        <v>0</v>
      </c>
      <c r="M176" s="71">
        <f t="shared" si="6"/>
        <v>0</v>
      </c>
      <c r="N176" s="71" t="str">
        <f>IFERROR(VLOOKUP(M176,NCAA_Bets[[Date]:[Version]],2,0),"")</f>
        <v/>
      </c>
      <c r="O176" s="94" t="str">
        <f>COUNTIFS(NCAA_Bets[Date],M176,NCAA_Bets[Result],"W")&amp;"-"&amp;COUNTIFS(NCAA_Bets[Date],M176,NCAA_Bets[Result],"L")&amp;IF(COUNTIFS(NCAA_Bets[Date],M176,NCAA_Bets[Result],"Push")&gt;0,"-"&amp;COUNTIFS(NCAA_Bets[Date],M176,NCAA_Bets[Result],"Push"),"")</f>
        <v>0-0</v>
      </c>
      <c r="P176" s="90">
        <f>SUMIF(NCAA_Bets[Date],M176,NCAA_Bets[Winnings])-SUMIF(NCAA_Bets[Date],M176,NCAA_Bets[Risk])</f>
        <v>0</v>
      </c>
    </row>
    <row r="177" spans="2:16" x14ac:dyDescent="0.25">
      <c r="B177" s="101">
        <f t="shared" si="5"/>
        <v>14</v>
      </c>
      <c r="C177" s="6">
        <v>43504</v>
      </c>
      <c r="D177" s="6" t="s">
        <v>299</v>
      </c>
      <c r="E177" s="7" t="s">
        <v>838</v>
      </c>
      <c r="F177" s="8" t="s">
        <v>840</v>
      </c>
      <c r="G177" s="66">
        <v>2</v>
      </c>
      <c r="H177" s="30">
        <v>-105</v>
      </c>
      <c r="I177" s="10" t="s">
        <v>7</v>
      </c>
      <c r="J17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7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77" s="71">
        <f t="shared" si="7"/>
        <v>0</v>
      </c>
      <c r="M177" s="71">
        <f t="shared" si="6"/>
        <v>0</v>
      </c>
      <c r="N177" s="71" t="str">
        <f>IFERROR(VLOOKUP(M177,NCAA_Bets[[Date]:[Version]],2,0),"")</f>
        <v/>
      </c>
      <c r="O177" s="94" t="str">
        <f>COUNTIFS(NCAA_Bets[Date],M177,NCAA_Bets[Result],"W")&amp;"-"&amp;COUNTIFS(NCAA_Bets[Date],M177,NCAA_Bets[Result],"L")&amp;IF(COUNTIFS(NCAA_Bets[Date],M177,NCAA_Bets[Result],"Push")&gt;0,"-"&amp;COUNTIFS(NCAA_Bets[Date],M177,NCAA_Bets[Result],"Push"),"")</f>
        <v>0-0</v>
      </c>
      <c r="P177" s="90">
        <f>SUMIF(NCAA_Bets[Date],M177,NCAA_Bets[Winnings])-SUMIF(NCAA_Bets[Date],M177,NCAA_Bets[Risk])</f>
        <v>0</v>
      </c>
    </row>
    <row r="178" spans="2:16" x14ac:dyDescent="0.25">
      <c r="B178" s="101">
        <f t="shared" si="5"/>
        <v>14</v>
      </c>
      <c r="C178" s="6">
        <v>43504</v>
      </c>
      <c r="D178" s="6" t="s">
        <v>299</v>
      </c>
      <c r="E178" s="7" t="s">
        <v>841</v>
      </c>
      <c r="F178" s="8" t="s">
        <v>842</v>
      </c>
      <c r="G178" s="66">
        <v>2</v>
      </c>
      <c r="H178" s="30">
        <v>-115</v>
      </c>
      <c r="I178" s="10" t="s">
        <v>37</v>
      </c>
      <c r="J17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17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78" s="71">
        <f t="shared" si="7"/>
        <v>0</v>
      </c>
      <c r="M178" s="71">
        <f t="shared" si="6"/>
        <v>0</v>
      </c>
      <c r="N178" s="71" t="str">
        <f>IFERROR(VLOOKUP(M178,NCAA_Bets[[Date]:[Version]],2,0),"")</f>
        <v/>
      </c>
      <c r="O178" s="94" t="str">
        <f>COUNTIFS(NCAA_Bets[Date],M178,NCAA_Bets[Result],"W")&amp;"-"&amp;COUNTIFS(NCAA_Bets[Date],M178,NCAA_Bets[Result],"L")&amp;IF(COUNTIFS(NCAA_Bets[Date],M178,NCAA_Bets[Result],"Push")&gt;0,"-"&amp;COUNTIFS(NCAA_Bets[Date],M178,NCAA_Bets[Result],"Push"),"")</f>
        <v>0-0</v>
      </c>
      <c r="P178" s="90">
        <f>SUMIF(NCAA_Bets[Date],M178,NCAA_Bets[Winnings])-SUMIF(NCAA_Bets[Date],M178,NCAA_Bets[Risk])</f>
        <v>0</v>
      </c>
    </row>
    <row r="179" spans="2:16" x14ac:dyDescent="0.25">
      <c r="B179" s="101">
        <f t="shared" si="5"/>
        <v>14</v>
      </c>
      <c r="C179" s="6">
        <v>43504</v>
      </c>
      <c r="D179" s="6" t="s">
        <v>299</v>
      </c>
      <c r="E179" s="7" t="s">
        <v>841</v>
      </c>
      <c r="F179" s="8" t="s">
        <v>843</v>
      </c>
      <c r="G179" s="66">
        <v>2</v>
      </c>
      <c r="H179" s="30">
        <v>-115</v>
      </c>
      <c r="I179" s="10" t="s">
        <v>7</v>
      </c>
      <c r="J17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7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79" s="71">
        <f t="shared" si="7"/>
        <v>0</v>
      </c>
      <c r="M179" s="71">
        <f t="shared" si="6"/>
        <v>0</v>
      </c>
      <c r="N179" s="71" t="str">
        <f>IFERROR(VLOOKUP(M179,NCAA_Bets[[Date]:[Version]],2,0),"")</f>
        <v/>
      </c>
      <c r="O179" s="94" t="str">
        <f>COUNTIFS(NCAA_Bets[Date],M179,NCAA_Bets[Result],"W")&amp;"-"&amp;COUNTIFS(NCAA_Bets[Date],M179,NCAA_Bets[Result],"L")&amp;IF(COUNTIFS(NCAA_Bets[Date],M179,NCAA_Bets[Result],"Push")&gt;0,"-"&amp;COUNTIFS(NCAA_Bets[Date],M179,NCAA_Bets[Result],"Push"),"")</f>
        <v>0-0</v>
      </c>
      <c r="P179" s="90">
        <f>SUMIF(NCAA_Bets[Date],M179,NCAA_Bets[Winnings])-SUMIF(NCAA_Bets[Date],M179,NCAA_Bets[Risk])</f>
        <v>0</v>
      </c>
    </row>
    <row r="180" spans="2:16" x14ac:dyDescent="0.25">
      <c r="B180" s="101">
        <f t="shared" si="5"/>
        <v>14</v>
      </c>
      <c r="C180" s="6">
        <v>43504</v>
      </c>
      <c r="D180" s="6" t="s">
        <v>299</v>
      </c>
      <c r="E180" s="7" t="s">
        <v>844</v>
      </c>
      <c r="F180" s="8" t="s">
        <v>845</v>
      </c>
      <c r="G180" s="66">
        <v>2</v>
      </c>
      <c r="H180" s="30">
        <v>-105</v>
      </c>
      <c r="I180" s="10" t="s">
        <v>37</v>
      </c>
      <c r="J18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18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80" s="71">
        <f t="shared" si="7"/>
        <v>0</v>
      </c>
      <c r="M180" s="71">
        <f t="shared" si="6"/>
        <v>0</v>
      </c>
      <c r="N180" s="71" t="str">
        <f>IFERROR(VLOOKUP(M180,NCAA_Bets[[Date]:[Version]],2,0),"")</f>
        <v/>
      </c>
      <c r="O180" s="94" t="str">
        <f>COUNTIFS(NCAA_Bets[Date],M180,NCAA_Bets[Result],"W")&amp;"-"&amp;COUNTIFS(NCAA_Bets[Date],M180,NCAA_Bets[Result],"L")&amp;IF(COUNTIFS(NCAA_Bets[Date],M180,NCAA_Bets[Result],"Push")&gt;0,"-"&amp;COUNTIFS(NCAA_Bets[Date],M180,NCAA_Bets[Result],"Push"),"")</f>
        <v>0-0</v>
      </c>
      <c r="P180" s="90">
        <f>SUMIF(NCAA_Bets[Date],M180,NCAA_Bets[Winnings])-SUMIF(NCAA_Bets[Date],M180,NCAA_Bets[Risk])</f>
        <v>0</v>
      </c>
    </row>
    <row r="181" spans="2:16" x14ac:dyDescent="0.25">
      <c r="B181" s="101">
        <f t="shared" si="5"/>
        <v>14</v>
      </c>
      <c r="C181" s="6">
        <v>43504</v>
      </c>
      <c r="D181" s="6" t="s">
        <v>299</v>
      </c>
      <c r="E181" s="7" t="s">
        <v>846</v>
      </c>
      <c r="F181" s="8" t="s">
        <v>569</v>
      </c>
      <c r="G181" s="66">
        <v>2</v>
      </c>
      <c r="H181" s="30">
        <v>-105</v>
      </c>
      <c r="I181" s="10" t="s">
        <v>7</v>
      </c>
      <c r="J18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8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81" s="71">
        <f t="shared" si="7"/>
        <v>0</v>
      </c>
      <c r="M181" s="71">
        <f t="shared" si="6"/>
        <v>0</v>
      </c>
      <c r="N181" s="71" t="str">
        <f>IFERROR(VLOOKUP(M181,NCAA_Bets[[Date]:[Version]],2,0),"")</f>
        <v/>
      </c>
      <c r="O181" s="94" t="str">
        <f>COUNTIFS(NCAA_Bets[Date],M181,NCAA_Bets[Result],"W")&amp;"-"&amp;COUNTIFS(NCAA_Bets[Date],M181,NCAA_Bets[Result],"L")&amp;IF(COUNTIFS(NCAA_Bets[Date],M181,NCAA_Bets[Result],"Push")&gt;0,"-"&amp;COUNTIFS(NCAA_Bets[Date],M181,NCAA_Bets[Result],"Push"),"")</f>
        <v>0-0</v>
      </c>
      <c r="P181" s="90">
        <f>SUMIF(NCAA_Bets[Date],M181,NCAA_Bets[Winnings])-SUMIF(NCAA_Bets[Date],M181,NCAA_Bets[Risk])</f>
        <v>0</v>
      </c>
    </row>
    <row r="182" spans="2:16" x14ac:dyDescent="0.25">
      <c r="B182" s="101">
        <f t="shared" si="5"/>
        <v>14</v>
      </c>
      <c r="C182" s="6">
        <v>43504</v>
      </c>
      <c r="D182" s="6" t="s">
        <v>299</v>
      </c>
      <c r="E182" s="7" t="s">
        <v>846</v>
      </c>
      <c r="F182" s="8" t="s">
        <v>847</v>
      </c>
      <c r="G182" s="66">
        <v>2</v>
      </c>
      <c r="H182" s="30">
        <v>-370</v>
      </c>
      <c r="I182" s="10" t="s">
        <v>37</v>
      </c>
      <c r="J18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2.5405405405405403</v>
      </c>
      <c r="K18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82" s="71">
        <f t="shared" si="7"/>
        <v>0</v>
      </c>
      <c r="M182" s="71">
        <f t="shared" si="6"/>
        <v>0</v>
      </c>
      <c r="N182" s="71" t="str">
        <f>IFERROR(VLOOKUP(M182,NCAA_Bets[[Date]:[Version]],2,0),"")</f>
        <v/>
      </c>
      <c r="O182" s="94" t="str">
        <f>COUNTIFS(NCAA_Bets[Date],M182,NCAA_Bets[Result],"W")&amp;"-"&amp;COUNTIFS(NCAA_Bets[Date],M182,NCAA_Bets[Result],"L")&amp;IF(COUNTIFS(NCAA_Bets[Date],M182,NCAA_Bets[Result],"Push")&gt;0,"-"&amp;COUNTIFS(NCAA_Bets[Date],M182,NCAA_Bets[Result],"Push"),"")</f>
        <v>0-0</v>
      </c>
      <c r="P182" s="90">
        <f>SUMIF(NCAA_Bets[Date],M182,NCAA_Bets[Winnings])-SUMIF(NCAA_Bets[Date],M182,NCAA_Bets[Risk])</f>
        <v>0</v>
      </c>
    </row>
    <row r="183" spans="2:16" x14ac:dyDescent="0.25">
      <c r="B183" s="101">
        <f t="shared" si="5"/>
        <v>14</v>
      </c>
      <c r="C183" s="6">
        <v>43504</v>
      </c>
      <c r="D183" s="6" t="s">
        <v>299</v>
      </c>
      <c r="E183" s="7" t="s">
        <v>846</v>
      </c>
      <c r="F183" s="8" t="s">
        <v>848</v>
      </c>
      <c r="G183" s="66">
        <v>2</v>
      </c>
      <c r="H183" s="30">
        <v>-110</v>
      </c>
      <c r="I183" s="10" t="s">
        <v>37</v>
      </c>
      <c r="J18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18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83" s="71">
        <f t="shared" si="7"/>
        <v>0</v>
      </c>
      <c r="M183" s="71">
        <f t="shared" si="6"/>
        <v>0</v>
      </c>
      <c r="N183" s="71" t="str">
        <f>IFERROR(VLOOKUP(M183,NCAA_Bets[[Date]:[Version]],2,0),"")</f>
        <v/>
      </c>
      <c r="O183" s="94" t="str">
        <f>COUNTIFS(NCAA_Bets[Date],M183,NCAA_Bets[Result],"W")&amp;"-"&amp;COUNTIFS(NCAA_Bets[Date],M183,NCAA_Bets[Result],"L")&amp;IF(COUNTIFS(NCAA_Bets[Date],M183,NCAA_Bets[Result],"Push")&gt;0,"-"&amp;COUNTIFS(NCAA_Bets[Date],M183,NCAA_Bets[Result],"Push"),"")</f>
        <v>0-0</v>
      </c>
      <c r="P183" s="90">
        <f>SUMIF(NCAA_Bets[Date],M183,NCAA_Bets[Winnings])-SUMIF(NCAA_Bets[Date],M183,NCAA_Bets[Risk])</f>
        <v>0</v>
      </c>
    </row>
    <row r="184" spans="2:16" x14ac:dyDescent="0.25">
      <c r="B184" s="101">
        <f t="shared" si="5"/>
        <v>14</v>
      </c>
      <c r="C184" s="6">
        <v>43504</v>
      </c>
      <c r="D184" s="6" t="s">
        <v>299</v>
      </c>
      <c r="E184" s="7" t="s">
        <v>849</v>
      </c>
      <c r="F184" s="8" t="s">
        <v>850</v>
      </c>
      <c r="G184" s="66">
        <v>2</v>
      </c>
      <c r="H184" s="30">
        <v>-110</v>
      </c>
      <c r="I184" s="10" t="s">
        <v>37</v>
      </c>
      <c r="J18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18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184" s="71">
        <f t="shared" si="7"/>
        <v>0</v>
      </c>
      <c r="M184" s="71">
        <f t="shared" si="6"/>
        <v>0</v>
      </c>
      <c r="N184" s="71" t="str">
        <f>IFERROR(VLOOKUP(M184,NCAA_Bets[[Date]:[Version]],2,0),"")</f>
        <v/>
      </c>
      <c r="O184" s="94" t="str">
        <f>COUNTIFS(NCAA_Bets[Date],M184,NCAA_Bets[Result],"W")&amp;"-"&amp;COUNTIFS(NCAA_Bets[Date],M184,NCAA_Bets[Result],"L")&amp;IF(COUNTIFS(NCAA_Bets[Date],M184,NCAA_Bets[Result],"Push")&gt;0,"-"&amp;COUNTIFS(NCAA_Bets[Date],M184,NCAA_Bets[Result],"Push"),"")</f>
        <v>0-0</v>
      </c>
      <c r="P184" s="90">
        <f>SUMIF(NCAA_Bets[Date],M184,NCAA_Bets[Winnings])-SUMIF(NCAA_Bets[Date],M184,NCAA_Bets[Risk])</f>
        <v>0</v>
      </c>
    </row>
    <row r="185" spans="2:16" x14ac:dyDescent="0.25">
      <c r="B185" s="101">
        <f t="shared" si="5"/>
        <v>14</v>
      </c>
      <c r="C185" s="6">
        <v>43504</v>
      </c>
      <c r="D185" s="6" t="s">
        <v>299</v>
      </c>
      <c r="E185" s="7" t="s">
        <v>851</v>
      </c>
      <c r="F185" s="8" t="s">
        <v>852</v>
      </c>
      <c r="G185" s="66">
        <v>2</v>
      </c>
      <c r="H185" s="30">
        <v>-115</v>
      </c>
      <c r="I185" s="10" t="s">
        <v>7</v>
      </c>
      <c r="J18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8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85" s="71">
        <f t="shared" si="7"/>
        <v>0</v>
      </c>
      <c r="M185" s="71">
        <f t="shared" si="6"/>
        <v>0</v>
      </c>
      <c r="N185" s="71" t="str">
        <f>IFERROR(VLOOKUP(M185,NCAA_Bets[[Date]:[Version]],2,0),"")</f>
        <v/>
      </c>
      <c r="O185" s="94" t="str">
        <f>COUNTIFS(NCAA_Bets[Date],M185,NCAA_Bets[Result],"W")&amp;"-"&amp;COUNTIFS(NCAA_Bets[Date],M185,NCAA_Bets[Result],"L")&amp;IF(COUNTIFS(NCAA_Bets[Date],M185,NCAA_Bets[Result],"Push")&gt;0,"-"&amp;COUNTIFS(NCAA_Bets[Date],M185,NCAA_Bets[Result],"Push"),"")</f>
        <v>0-0</v>
      </c>
      <c r="P185" s="90">
        <f>SUMIF(NCAA_Bets[Date],M185,NCAA_Bets[Winnings])-SUMIF(NCAA_Bets[Date],M185,NCAA_Bets[Risk])</f>
        <v>0</v>
      </c>
    </row>
    <row r="186" spans="2:16" x14ac:dyDescent="0.25">
      <c r="B186" s="101">
        <f t="shared" si="5"/>
        <v>14</v>
      </c>
      <c r="C186" s="6">
        <v>43504</v>
      </c>
      <c r="D186" s="6" t="s">
        <v>299</v>
      </c>
      <c r="E186" s="7" t="s">
        <v>851</v>
      </c>
      <c r="F186" s="8" t="s">
        <v>853</v>
      </c>
      <c r="G186" s="66">
        <v>2</v>
      </c>
      <c r="H186" s="30">
        <v>-140</v>
      </c>
      <c r="I186" s="10" t="s">
        <v>7</v>
      </c>
      <c r="J18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8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86" s="71">
        <f t="shared" si="7"/>
        <v>0</v>
      </c>
      <c r="M186" s="71">
        <f t="shared" si="6"/>
        <v>0</v>
      </c>
      <c r="N186" s="71" t="str">
        <f>IFERROR(VLOOKUP(M186,NCAA_Bets[[Date]:[Version]],2,0),"")</f>
        <v/>
      </c>
      <c r="O186" s="94" t="str">
        <f>COUNTIFS(NCAA_Bets[Date],M186,NCAA_Bets[Result],"W")&amp;"-"&amp;COUNTIFS(NCAA_Bets[Date],M186,NCAA_Bets[Result],"L")&amp;IF(COUNTIFS(NCAA_Bets[Date],M186,NCAA_Bets[Result],"Push")&gt;0,"-"&amp;COUNTIFS(NCAA_Bets[Date],M186,NCAA_Bets[Result],"Push"),"")</f>
        <v>0-0</v>
      </c>
      <c r="P186" s="90">
        <f>SUMIF(NCAA_Bets[Date],M186,NCAA_Bets[Winnings])-SUMIF(NCAA_Bets[Date],M186,NCAA_Bets[Risk])</f>
        <v>0</v>
      </c>
    </row>
    <row r="187" spans="2:16" x14ac:dyDescent="0.25">
      <c r="B187" s="101">
        <f t="shared" si="5"/>
        <v>14</v>
      </c>
      <c r="C187" s="6">
        <v>43504</v>
      </c>
      <c r="D187" s="6" t="s">
        <v>299</v>
      </c>
      <c r="E187" s="7" t="s">
        <v>854</v>
      </c>
      <c r="F187" s="8" t="s">
        <v>855</v>
      </c>
      <c r="G187" s="66">
        <v>2</v>
      </c>
      <c r="H187" s="30">
        <v>-110</v>
      </c>
      <c r="I187" s="10" t="s">
        <v>7</v>
      </c>
      <c r="J18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8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87" s="71">
        <f t="shared" si="7"/>
        <v>0</v>
      </c>
      <c r="M187" s="71">
        <f t="shared" si="6"/>
        <v>0</v>
      </c>
      <c r="N187" s="71" t="str">
        <f>IFERROR(VLOOKUP(M187,NCAA_Bets[[Date]:[Version]],2,0),"")</f>
        <v/>
      </c>
      <c r="O187" s="94" t="str">
        <f>COUNTIFS(NCAA_Bets[Date],M187,NCAA_Bets[Result],"W")&amp;"-"&amp;COUNTIFS(NCAA_Bets[Date],M187,NCAA_Bets[Result],"L")&amp;IF(COUNTIFS(NCAA_Bets[Date],M187,NCAA_Bets[Result],"Push")&gt;0,"-"&amp;COUNTIFS(NCAA_Bets[Date],M187,NCAA_Bets[Result],"Push"),"")</f>
        <v>0-0</v>
      </c>
      <c r="P187" s="90">
        <f>SUMIF(NCAA_Bets[Date],M187,NCAA_Bets[Winnings])-SUMIF(NCAA_Bets[Date],M187,NCAA_Bets[Risk])</f>
        <v>0</v>
      </c>
    </row>
    <row r="188" spans="2:16" x14ac:dyDescent="0.25">
      <c r="B188" s="101">
        <f t="shared" si="5"/>
        <v>14</v>
      </c>
      <c r="C188" s="6">
        <v>43504</v>
      </c>
      <c r="D188" s="6" t="s">
        <v>299</v>
      </c>
      <c r="E188" s="7" t="s">
        <v>854</v>
      </c>
      <c r="F188" s="8" t="s">
        <v>856</v>
      </c>
      <c r="G188" s="66">
        <v>2</v>
      </c>
      <c r="H188" s="30">
        <v>-105</v>
      </c>
      <c r="I188" s="10" t="s">
        <v>7</v>
      </c>
      <c r="J18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8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88" s="71">
        <f t="shared" si="7"/>
        <v>0</v>
      </c>
      <c r="M188" s="71">
        <f t="shared" si="6"/>
        <v>0</v>
      </c>
      <c r="N188" s="71" t="str">
        <f>IFERROR(VLOOKUP(M188,NCAA_Bets[[Date]:[Version]],2,0),"")</f>
        <v/>
      </c>
      <c r="O188" s="94" t="str">
        <f>COUNTIFS(NCAA_Bets[Date],M188,NCAA_Bets[Result],"W")&amp;"-"&amp;COUNTIFS(NCAA_Bets[Date],M188,NCAA_Bets[Result],"L")&amp;IF(COUNTIFS(NCAA_Bets[Date],M188,NCAA_Bets[Result],"Push")&gt;0,"-"&amp;COUNTIFS(NCAA_Bets[Date],M188,NCAA_Bets[Result],"Push"),"")</f>
        <v>0-0</v>
      </c>
      <c r="P188" s="90">
        <f>SUMIF(NCAA_Bets[Date],M188,NCAA_Bets[Winnings])-SUMIF(NCAA_Bets[Date],M188,NCAA_Bets[Risk])</f>
        <v>0</v>
      </c>
    </row>
    <row r="189" spans="2:16" x14ac:dyDescent="0.25">
      <c r="B189" s="101">
        <f t="shared" si="5"/>
        <v>14</v>
      </c>
      <c r="C189" s="6">
        <v>43504</v>
      </c>
      <c r="D189" s="6" t="s">
        <v>299</v>
      </c>
      <c r="E189" s="7" t="s">
        <v>857</v>
      </c>
      <c r="F189" s="8" t="s">
        <v>866</v>
      </c>
      <c r="G189" s="66">
        <v>2</v>
      </c>
      <c r="H189" s="30">
        <v>-105</v>
      </c>
      <c r="I189" s="10" t="s">
        <v>7</v>
      </c>
      <c r="J18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8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89" s="71">
        <f t="shared" si="7"/>
        <v>0</v>
      </c>
      <c r="M189" s="71">
        <f t="shared" si="6"/>
        <v>0</v>
      </c>
      <c r="N189" s="71" t="str">
        <f>IFERROR(VLOOKUP(M189,NCAA_Bets[[Date]:[Version]],2,0),"")</f>
        <v/>
      </c>
      <c r="O189" s="94" t="str">
        <f>COUNTIFS(NCAA_Bets[Date],M189,NCAA_Bets[Result],"W")&amp;"-"&amp;COUNTIFS(NCAA_Bets[Date],M189,NCAA_Bets[Result],"L")&amp;IF(COUNTIFS(NCAA_Bets[Date],M189,NCAA_Bets[Result],"Push")&gt;0,"-"&amp;COUNTIFS(NCAA_Bets[Date],M189,NCAA_Bets[Result],"Push"),"")</f>
        <v>0-0</v>
      </c>
      <c r="P189" s="90">
        <f>SUMIF(NCAA_Bets[Date],M189,NCAA_Bets[Winnings])-SUMIF(NCAA_Bets[Date],M189,NCAA_Bets[Risk])</f>
        <v>0</v>
      </c>
    </row>
    <row r="190" spans="2:16" x14ac:dyDescent="0.25">
      <c r="B190" s="101">
        <f t="shared" si="5"/>
        <v>14</v>
      </c>
      <c r="C190" s="6">
        <v>43504</v>
      </c>
      <c r="D190" s="6" t="s">
        <v>299</v>
      </c>
      <c r="E190" s="7" t="s">
        <v>857</v>
      </c>
      <c r="F190" s="8" t="s">
        <v>865</v>
      </c>
      <c r="G190" s="66">
        <v>2</v>
      </c>
      <c r="H190" s="30">
        <v>-110</v>
      </c>
      <c r="I190" s="10" t="s">
        <v>7</v>
      </c>
      <c r="J19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9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90" s="71">
        <f t="shared" si="7"/>
        <v>0</v>
      </c>
      <c r="M190" s="71">
        <f t="shared" si="6"/>
        <v>0</v>
      </c>
      <c r="N190" s="71" t="str">
        <f>IFERROR(VLOOKUP(M190,NCAA_Bets[[Date]:[Version]],2,0),"")</f>
        <v/>
      </c>
      <c r="O190" s="94" t="str">
        <f>COUNTIFS(NCAA_Bets[Date],M190,NCAA_Bets[Result],"W")&amp;"-"&amp;COUNTIFS(NCAA_Bets[Date],M190,NCAA_Bets[Result],"L")&amp;IF(COUNTIFS(NCAA_Bets[Date],M190,NCAA_Bets[Result],"Push")&gt;0,"-"&amp;COUNTIFS(NCAA_Bets[Date],M190,NCAA_Bets[Result],"Push"),"")</f>
        <v>0-0</v>
      </c>
      <c r="P190" s="90">
        <f>SUMIF(NCAA_Bets[Date],M190,NCAA_Bets[Winnings])-SUMIF(NCAA_Bets[Date],M190,NCAA_Bets[Risk])</f>
        <v>0</v>
      </c>
    </row>
    <row r="191" spans="2:16" x14ac:dyDescent="0.25">
      <c r="B191" s="101">
        <f t="shared" si="5"/>
        <v>14</v>
      </c>
      <c r="C191" s="6">
        <v>43504</v>
      </c>
      <c r="D191" s="6" t="s">
        <v>299</v>
      </c>
      <c r="E191" s="7" t="s">
        <v>859</v>
      </c>
      <c r="F191" s="8" t="s">
        <v>860</v>
      </c>
      <c r="G191" s="66">
        <v>2</v>
      </c>
      <c r="H191" s="30">
        <v>-115</v>
      </c>
      <c r="I191" s="10" t="s">
        <v>7</v>
      </c>
      <c r="J19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9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191" s="71">
        <f t="shared" si="7"/>
        <v>0</v>
      </c>
      <c r="M191" s="71">
        <f t="shared" si="6"/>
        <v>0</v>
      </c>
      <c r="N191" s="71" t="str">
        <f>IFERROR(VLOOKUP(M191,NCAA_Bets[[Date]:[Version]],2,0),"")</f>
        <v/>
      </c>
      <c r="O191" s="94" t="str">
        <f>COUNTIFS(NCAA_Bets[Date],M191,NCAA_Bets[Result],"W")&amp;"-"&amp;COUNTIFS(NCAA_Bets[Date],M191,NCAA_Bets[Result],"L")&amp;IF(COUNTIFS(NCAA_Bets[Date],M191,NCAA_Bets[Result],"Push")&gt;0,"-"&amp;COUNTIFS(NCAA_Bets[Date],M191,NCAA_Bets[Result],"Push"),"")</f>
        <v>0-0</v>
      </c>
      <c r="P191" s="90">
        <f>SUMIF(NCAA_Bets[Date],M191,NCAA_Bets[Winnings])-SUMIF(NCAA_Bets[Date],M191,NCAA_Bets[Risk])</f>
        <v>0</v>
      </c>
    </row>
    <row r="192" spans="2:16" x14ac:dyDescent="0.25">
      <c r="B192" s="101">
        <f t="shared" si="5"/>
        <v>14</v>
      </c>
      <c r="C192" s="6">
        <v>43504</v>
      </c>
      <c r="D192" s="6" t="s">
        <v>299</v>
      </c>
      <c r="E192" s="7" t="s">
        <v>859</v>
      </c>
      <c r="F192" s="8" t="s">
        <v>861</v>
      </c>
      <c r="G192" s="66">
        <v>2</v>
      </c>
      <c r="H192" s="30">
        <v>-105</v>
      </c>
      <c r="I192" s="10" t="s">
        <v>7</v>
      </c>
      <c r="J19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9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192" s="71">
        <f t="shared" si="7"/>
        <v>0</v>
      </c>
      <c r="M192" s="71">
        <f t="shared" si="6"/>
        <v>0</v>
      </c>
      <c r="N192" s="71" t="str">
        <f>IFERROR(VLOOKUP(M192,NCAA_Bets[[Date]:[Version]],2,0),"")</f>
        <v/>
      </c>
      <c r="O192" s="94" t="str">
        <f>COUNTIFS(NCAA_Bets[Date],M192,NCAA_Bets[Result],"W")&amp;"-"&amp;COUNTIFS(NCAA_Bets[Date],M192,NCAA_Bets[Result],"L")&amp;IF(COUNTIFS(NCAA_Bets[Date],M192,NCAA_Bets[Result],"Push")&gt;0,"-"&amp;COUNTIFS(NCAA_Bets[Date],M192,NCAA_Bets[Result],"Push"),"")</f>
        <v>0-0</v>
      </c>
      <c r="P192" s="90">
        <f>SUMIF(NCAA_Bets[Date],M192,NCAA_Bets[Winnings])-SUMIF(NCAA_Bets[Date],M192,NCAA_Bets[Risk])</f>
        <v>0</v>
      </c>
    </row>
    <row r="193" spans="2:16" x14ac:dyDescent="0.25">
      <c r="B193" s="101">
        <f t="shared" si="5"/>
        <v>14</v>
      </c>
      <c r="C193" s="6">
        <v>43504</v>
      </c>
      <c r="D193" s="6" t="s">
        <v>299</v>
      </c>
      <c r="E193" s="7" t="s">
        <v>859</v>
      </c>
      <c r="F193" s="8" t="s">
        <v>862</v>
      </c>
      <c r="G193" s="66">
        <v>2</v>
      </c>
      <c r="H193" s="30">
        <v>-115</v>
      </c>
      <c r="I193" s="10" t="s">
        <v>37</v>
      </c>
      <c r="J19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19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193" s="71">
        <f t="shared" si="7"/>
        <v>0</v>
      </c>
      <c r="M193" s="71">
        <f t="shared" si="6"/>
        <v>0</v>
      </c>
      <c r="N193" s="71" t="str">
        <f>IFERROR(VLOOKUP(M193,NCAA_Bets[[Date]:[Version]],2,0),"")</f>
        <v/>
      </c>
      <c r="O193" s="94" t="str">
        <f>COUNTIFS(NCAA_Bets[Date],M193,NCAA_Bets[Result],"W")&amp;"-"&amp;COUNTIFS(NCAA_Bets[Date],M193,NCAA_Bets[Result],"L")&amp;IF(COUNTIFS(NCAA_Bets[Date],M193,NCAA_Bets[Result],"Push")&gt;0,"-"&amp;COUNTIFS(NCAA_Bets[Date],M193,NCAA_Bets[Result],"Push"),"")</f>
        <v>0-0</v>
      </c>
      <c r="P193" s="90">
        <f>SUMIF(NCAA_Bets[Date],M193,NCAA_Bets[Winnings])-SUMIF(NCAA_Bets[Date],M193,NCAA_Bets[Risk])</f>
        <v>0</v>
      </c>
    </row>
    <row r="194" spans="2:16" x14ac:dyDescent="0.25">
      <c r="B194" s="101">
        <f t="shared" si="5"/>
        <v>14</v>
      </c>
      <c r="C194" s="6">
        <v>43504</v>
      </c>
      <c r="D194" s="6" t="s">
        <v>299</v>
      </c>
      <c r="E194" s="7" t="s">
        <v>863</v>
      </c>
      <c r="F194" s="8" t="s">
        <v>858</v>
      </c>
      <c r="G194" s="66">
        <v>2</v>
      </c>
      <c r="H194" s="30">
        <v>-115</v>
      </c>
      <c r="I194" s="10" t="s">
        <v>7</v>
      </c>
      <c r="J19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9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94" s="71">
        <f t="shared" si="7"/>
        <v>0</v>
      </c>
      <c r="M194" s="71">
        <f t="shared" si="6"/>
        <v>0</v>
      </c>
      <c r="N194" s="71" t="str">
        <f>IFERROR(VLOOKUP(M194,NCAA_Bets[[Date]:[Version]],2,0),"")</f>
        <v/>
      </c>
      <c r="O194" s="94" t="str">
        <f>COUNTIFS(NCAA_Bets[Date],M194,NCAA_Bets[Result],"W")&amp;"-"&amp;COUNTIFS(NCAA_Bets[Date],M194,NCAA_Bets[Result],"L")&amp;IF(COUNTIFS(NCAA_Bets[Date],M194,NCAA_Bets[Result],"Push")&gt;0,"-"&amp;COUNTIFS(NCAA_Bets[Date],M194,NCAA_Bets[Result],"Push"),"")</f>
        <v>0-0</v>
      </c>
      <c r="P194" s="90">
        <f>SUMIF(NCAA_Bets[Date],M194,NCAA_Bets[Winnings])-SUMIF(NCAA_Bets[Date],M194,NCAA_Bets[Risk])</f>
        <v>0</v>
      </c>
    </row>
    <row r="195" spans="2:16" x14ac:dyDescent="0.25">
      <c r="B195" s="101">
        <f t="shared" si="5"/>
        <v>14</v>
      </c>
      <c r="C195" s="6">
        <v>43504</v>
      </c>
      <c r="D195" s="6" t="s">
        <v>299</v>
      </c>
      <c r="E195" s="7" t="s">
        <v>863</v>
      </c>
      <c r="F195" s="8" t="s">
        <v>864</v>
      </c>
      <c r="G195" s="66">
        <v>2</v>
      </c>
      <c r="H195" s="30">
        <v>-105</v>
      </c>
      <c r="I195" s="10" t="s">
        <v>37</v>
      </c>
      <c r="J19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19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195" s="71">
        <f t="shared" si="7"/>
        <v>0</v>
      </c>
      <c r="M195" s="71">
        <f t="shared" si="6"/>
        <v>0</v>
      </c>
      <c r="N195" s="71" t="str">
        <f>IFERROR(VLOOKUP(M195,NCAA_Bets[[Date]:[Version]],2,0),"")</f>
        <v/>
      </c>
      <c r="O195" s="94" t="str">
        <f>COUNTIFS(NCAA_Bets[Date],M195,NCAA_Bets[Result],"W")&amp;"-"&amp;COUNTIFS(NCAA_Bets[Date],M195,NCAA_Bets[Result],"L")&amp;IF(COUNTIFS(NCAA_Bets[Date],M195,NCAA_Bets[Result],"Push")&gt;0,"-"&amp;COUNTIFS(NCAA_Bets[Date],M195,NCAA_Bets[Result],"Push"),"")</f>
        <v>0-0</v>
      </c>
      <c r="P195" s="90">
        <f>SUMIF(NCAA_Bets[Date],M195,NCAA_Bets[Winnings])-SUMIF(NCAA_Bets[Date],M195,NCAA_Bets[Risk])</f>
        <v>0</v>
      </c>
    </row>
    <row r="196" spans="2:16" x14ac:dyDescent="0.25">
      <c r="B196" s="101">
        <f t="shared" si="5"/>
        <v>15</v>
      </c>
      <c r="C196" s="6">
        <v>43507</v>
      </c>
      <c r="D196" s="6" t="s">
        <v>300</v>
      </c>
      <c r="E196" s="7" t="s">
        <v>882</v>
      </c>
      <c r="F196" s="8" t="s">
        <v>883</v>
      </c>
      <c r="G196" s="66">
        <v>2</v>
      </c>
      <c r="H196" s="30">
        <v>-115</v>
      </c>
      <c r="I196" s="10" t="s">
        <v>7</v>
      </c>
      <c r="J19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9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196" s="71">
        <f t="shared" si="7"/>
        <v>0</v>
      </c>
      <c r="M196" s="71">
        <f t="shared" si="6"/>
        <v>0</v>
      </c>
      <c r="N196" s="71" t="str">
        <f>IFERROR(VLOOKUP(M196,NCAA_Bets[[Date]:[Version]],2,0),"")</f>
        <v/>
      </c>
      <c r="O196" s="94" t="str">
        <f>COUNTIFS(NCAA_Bets[Date],M196,NCAA_Bets[Result],"W")&amp;"-"&amp;COUNTIFS(NCAA_Bets[Date],M196,NCAA_Bets[Result],"L")&amp;IF(COUNTIFS(NCAA_Bets[Date],M196,NCAA_Bets[Result],"Push")&gt;0,"-"&amp;COUNTIFS(NCAA_Bets[Date],M196,NCAA_Bets[Result],"Push"),"")</f>
        <v>0-0</v>
      </c>
      <c r="P196" s="90">
        <f>SUMIF(NCAA_Bets[Date],M196,NCAA_Bets[Winnings])-SUMIF(NCAA_Bets[Date],M196,NCAA_Bets[Risk])</f>
        <v>0</v>
      </c>
    </row>
    <row r="197" spans="2:16" x14ac:dyDescent="0.25">
      <c r="B197" s="101">
        <f t="shared" si="5"/>
        <v>15</v>
      </c>
      <c r="C197" s="6">
        <v>43507</v>
      </c>
      <c r="D197" s="6" t="s">
        <v>300</v>
      </c>
      <c r="E197" s="7" t="s">
        <v>882</v>
      </c>
      <c r="F197" s="8" t="s">
        <v>884</v>
      </c>
      <c r="G197" s="66">
        <v>2</v>
      </c>
      <c r="H197" s="30">
        <v>-110</v>
      </c>
      <c r="I197" s="10" t="s">
        <v>37</v>
      </c>
      <c r="J19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19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97" s="71">
        <f t="shared" si="7"/>
        <v>0</v>
      </c>
      <c r="M197" s="71">
        <f t="shared" si="6"/>
        <v>0</v>
      </c>
      <c r="N197" s="71" t="str">
        <f>IFERROR(VLOOKUP(M197,NCAA_Bets[[Date]:[Version]],2,0),"")</f>
        <v/>
      </c>
      <c r="O197" s="94" t="str">
        <f>COUNTIFS(NCAA_Bets[Date],M197,NCAA_Bets[Result],"W")&amp;"-"&amp;COUNTIFS(NCAA_Bets[Date],M197,NCAA_Bets[Result],"L")&amp;IF(COUNTIFS(NCAA_Bets[Date],M197,NCAA_Bets[Result],"Push")&gt;0,"-"&amp;COUNTIFS(NCAA_Bets[Date],M197,NCAA_Bets[Result],"Push"),"")</f>
        <v>0-0</v>
      </c>
      <c r="P197" s="90">
        <f>SUMIF(NCAA_Bets[Date],M197,NCAA_Bets[Winnings])-SUMIF(NCAA_Bets[Date],M197,NCAA_Bets[Risk])</f>
        <v>0</v>
      </c>
    </row>
    <row r="198" spans="2:16" x14ac:dyDescent="0.25">
      <c r="B198" s="101">
        <f t="shared" ref="B198:B261" si="8">IF(C198=C197,B197,B197+1)</f>
        <v>15</v>
      </c>
      <c r="C198" s="6">
        <v>43507</v>
      </c>
      <c r="D198" s="6" t="s">
        <v>300</v>
      </c>
      <c r="E198" s="7" t="s">
        <v>885</v>
      </c>
      <c r="F198" s="8" t="s">
        <v>521</v>
      </c>
      <c r="G198" s="66">
        <v>2</v>
      </c>
      <c r="H198" s="30">
        <v>-105</v>
      </c>
      <c r="I198" s="10" t="s">
        <v>7</v>
      </c>
      <c r="J19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9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198" s="71">
        <f t="shared" si="7"/>
        <v>0</v>
      </c>
      <c r="M198" s="71">
        <f t="shared" si="6"/>
        <v>0</v>
      </c>
      <c r="N198" s="71" t="str">
        <f>IFERROR(VLOOKUP(M198,NCAA_Bets[[Date]:[Version]],2,0),"")</f>
        <v/>
      </c>
      <c r="O198" s="94" t="str">
        <f>COUNTIFS(NCAA_Bets[Date],M198,NCAA_Bets[Result],"W")&amp;"-"&amp;COUNTIFS(NCAA_Bets[Date],M198,NCAA_Bets[Result],"L")&amp;IF(COUNTIFS(NCAA_Bets[Date],M198,NCAA_Bets[Result],"Push")&gt;0,"-"&amp;COUNTIFS(NCAA_Bets[Date],M198,NCAA_Bets[Result],"Push"),"")</f>
        <v>0-0</v>
      </c>
      <c r="P198" s="90">
        <f>SUMIF(NCAA_Bets[Date],M198,NCAA_Bets[Winnings])-SUMIF(NCAA_Bets[Date],M198,NCAA_Bets[Risk])</f>
        <v>0</v>
      </c>
    </row>
    <row r="199" spans="2:16" x14ac:dyDescent="0.25">
      <c r="B199" s="101">
        <f t="shared" si="8"/>
        <v>15</v>
      </c>
      <c r="C199" s="6">
        <v>43507</v>
      </c>
      <c r="D199" s="6" t="s">
        <v>300</v>
      </c>
      <c r="E199" s="7" t="s">
        <v>885</v>
      </c>
      <c r="F199" s="8" t="s">
        <v>886</v>
      </c>
      <c r="G199" s="66">
        <v>2</v>
      </c>
      <c r="H199" s="30">
        <v>100</v>
      </c>
      <c r="I199" s="10" t="s">
        <v>7</v>
      </c>
      <c r="J19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19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MD</v>
      </c>
      <c r="L199" s="71">
        <f t="shared" si="7"/>
        <v>0</v>
      </c>
      <c r="M199" s="71">
        <f t="shared" si="6"/>
        <v>0</v>
      </c>
      <c r="N199" s="71" t="str">
        <f>IFERROR(VLOOKUP(M199,NCAA_Bets[[Date]:[Version]],2,0),"")</f>
        <v/>
      </c>
      <c r="O199" s="94" t="str">
        <f>COUNTIFS(NCAA_Bets[Date],M199,NCAA_Bets[Result],"W")&amp;"-"&amp;COUNTIFS(NCAA_Bets[Date],M199,NCAA_Bets[Result],"L")&amp;IF(COUNTIFS(NCAA_Bets[Date],M199,NCAA_Bets[Result],"Push")&gt;0,"-"&amp;COUNTIFS(NCAA_Bets[Date],M199,NCAA_Bets[Result],"Push"),"")</f>
        <v>0-0</v>
      </c>
      <c r="P199" s="90">
        <f>SUMIF(NCAA_Bets[Date],M199,NCAA_Bets[Winnings])-SUMIF(NCAA_Bets[Date],M199,NCAA_Bets[Risk])</f>
        <v>0</v>
      </c>
    </row>
    <row r="200" spans="2:16" x14ac:dyDescent="0.25">
      <c r="B200" s="101">
        <f t="shared" si="8"/>
        <v>15</v>
      </c>
      <c r="C200" s="6">
        <v>43507</v>
      </c>
      <c r="D200" s="6" t="s">
        <v>300</v>
      </c>
      <c r="E200" s="7" t="s">
        <v>885</v>
      </c>
      <c r="F200" s="8" t="s">
        <v>887</v>
      </c>
      <c r="G200" s="66">
        <v>2</v>
      </c>
      <c r="H200" s="30">
        <v>-110</v>
      </c>
      <c r="I200" s="10" t="s">
        <v>7</v>
      </c>
      <c r="J20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0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00" s="71">
        <f t="shared" si="7"/>
        <v>0</v>
      </c>
      <c r="M200" s="71">
        <f t="shared" si="6"/>
        <v>0</v>
      </c>
      <c r="N200" s="71" t="str">
        <f>IFERROR(VLOOKUP(M200,NCAA_Bets[[Date]:[Version]],2,0),"")</f>
        <v/>
      </c>
      <c r="O200" s="94" t="str">
        <f>COUNTIFS(NCAA_Bets[Date],M200,NCAA_Bets[Result],"W")&amp;"-"&amp;COUNTIFS(NCAA_Bets[Date],M200,NCAA_Bets[Result],"L")&amp;IF(COUNTIFS(NCAA_Bets[Date],M200,NCAA_Bets[Result],"Push")&gt;0,"-"&amp;COUNTIFS(NCAA_Bets[Date],M200,NCAA_Bets[Result],"Push"),"")</f>
        <v>0-0</v>
      </c>
      <c r="P200" s="90">
        <f>SUMIF(NCAA_Bets[Date],M200,NCAA_Bets[Winnings])-SUMIF(NCAA_Bets[Date],M200,NCAA_Bets[Risk])</f>
        <v>0</v>
      </c>
    </row>
    <row r="201" spans="2:16" x14ac:dyDescent="0.25">
      <c r="B201" s="101">
        <f t="shared" si="8"/>
        <v>15</v>
      </c>
      <c r="C201" s="6">
        <v>43507</v>
      </c>
      <c r="D201" s="6" t="s">
        <v>300</v>
      </c>
      <c r="E201" s="7" t="s">
        <v>888</v>
      </c>
      <c r="F201" s="8" t="s">
        <v>889</v>
      </c>
      <c r="G201" s="66">
        <v>2</v>
      </c>
      <c r="H201" s="30">
        <v>-110</v>
      </c>
      <c r="I201" s="10" t="s">
        <v>37</v>
      </c>
      <c r="J20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0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01" s="71">
        <f t="shared" si="7"/>
        <v>0</v>
      </c>
      <c r="M201" s="71">
        <f t="shared" si="6"/>
        <v>0</v>
      </c>
      <c r="N201" s="71" t="str">
        <f>IFERROR(VLOOKUP(M201,NCAA_Bets[[Date]:[Version]],2,0),"")</f>
        <v/>
      </c>
      <c r="O201" s="94" t="str">
        <f>COUNTIFS(NCAA_Bets[Date],M201,NCAA_Bets[Result],"W")&amp;"-"&amp;COUNTIFS(NCAA_Bets[Date],M201,NCAA_Bets[Result],"L")&amp;IF(COUNTIFS(NCAA_Bets[Date],M201,NCAA_Bets[Result],"Push")&gt;0,"-"&amp;COUNTIFS(NCAA_Bets[Date],M201,NCAA_Bets[Result],"Push"),"")</f>
        <v>0-0</v>
      </c>
      <c r="P201" s="90">
        <f>SUMIF(NCAA_Bets[Date],M201,NCAA_Bets[Winnings])-SUMIF(NCAA_Bets[Date],M201,NCAA_Bets[Risk])</f>
        <v>0</v>
      </c>
    </row>
    <row r="202" spans="2:16" x14ac:dyDescent="0.25">
      <c r="B202" s="101">
        <f t="shared" si="8"/>
        <v>15</v>
      </c>
      <c r="C202" s="6">
        <v>43507</v>
      </c>
      <c r="D202" s="6" t="s">
        <v>300</v>
      </c>
      <c r="E202" s="7" t="s">
        <v>890</v>
      </c>
      <c r="F202" s="8" t="s">
        <v>639</v>
      </c>
      <c r="G202" s="66">
        <v>2</v>
      </c>
      <c r="H202" s="30">
        <v>-115</v>
      </c>
      <c r="I202" s="10" t="s">
        <v>7</v>
      </c>
      <c r="J20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0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02" s="71">
        <f t="shared" si="7"/>
        <v>0</v>
      </c>
      <c r="M202" s="71">
        <f t="shared" si="6"/>
        <v>0</v>
      </c>
      <c r="N202" s="71" t="str">
        <f>IFERROR(VLOOKUP(M202,NCAA_Bets[[Date]:[Version]],2,0),"")</f>
        <v/>
      </c>
      <c r="O202" s="94" t="str">
        <f>COUNTIFS(NCAA_Bets[Date],M202,NCAA_Bets[Result],"W")&amp;"-"&amp;COUNTIFS(NCAA_Bets[Date],M202,NCAA_Bets[Result],"L")&amp;IF(COUNTIFS(NCAA_Bets[Date],M202,NCAA_Bets[Result],"Push")&gt;0,"-"&amp;COUNTIFS(NCAA_Bets[Date],M202,NCAA_Bets[Result],"Push"),"")</f>
        <v>0-0</v>
      </c>
      <c r="P202" s="90">
        <f>SUMIF(NCAA_Bets[Date],M202,NCAA_Bets[Winnings])-SUMIF(NCAA_Bets[Date],M202,NCAA_Bets[Risk])</f>
        <v>0</v>
      </c>
    </row>
    <row r="203" spans="2:16" x14ac:dyDescent="0.25">
      <c r="B203" s="101">
        <f t="shared" si="8"/>
        <v>15</v>
      </c>
      <c r="C203" s="6">
        <v>43507</v>
      </c>
      <c r="D203" s="6" t="s">
        <v>300</v>
      </c>
      <c r="E203" s="7" t="s">
        <v>891</v>
      </c>
      <c r="F203" s="8" t="s">
        <v>892</v>
      </c>
      <c r="G203" s="66">
        <v>2</v>
      </c>
      <c r="H203" s="30">
        <v>-105</v>
      </c>
      <c r="I203" s="10" t="s">
        <v>37</v>
      </c>
      <c r="J20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20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03" s="71">
        <f t="shared" si="7"/>
        <v>0</v>
      </c>
      <c r="M203" s="71">
        <f t="shared" si="6"/>
        <v>0</v>
      </c>
      <c r="N203" s="71" t="str">
        <f>IFERROR(VLOOKUP(M203,NCAA_Bets[[Date]:[Version]],2,0),"")</f>
        <v/>
      </c>
      <c r="O203" s="94" t="str">
        <f>COUNTIFS(NCAA_Bets[Date],M203,NCAA_Bets[Result],"W")&amp;"-"&amp;COUNTIFS(NCAA_Bets[Date],M203,NCAA_Bets[Result],"L")&amp;IF(COUNTIFS(NCAA_Bets[Date],M203,NCAA_Bets[Result],"Push")&gt;0,"-"&amp;COUNTIFS(NCAA_Bets[Date],M203,NCAA_Bets[Result],"Push"),"")</f>
        <v>0-0</v>
      </c>
      <c r="P203" s="90">
        <f>SUMIF(NCAA_Bets[Date],M203,NCAA_Bets[Winnings])-SUMIF(NCAA_Bets[Date],M203,NCAA_Bets[Risk])</f>
        <v>0</v>
      </c>
    </row>
    <row r="204" spans="2:16" x14ac:dyDescent="0.25">
      <c r="B204" s="101">
        <f t="shared" si="8"/>
        <v>15</v>
      </c>
      <c r="C204" s="6">
        <v>43507</v>
      </c>
      <c r="D204" s="6" t="s">
        <v>300</v>
      </c>
      <c r="E204" s="7" t="s">
        <v>891</v>
      </c>
      <c r="F204" s="8" t="s">
        <v>893</v>
      </c>
      <c r="G204" s="66">
        <v>2</v>
      </c>
      <c r="H204" s="30">
        <v>-105</v>
      </c>
      <c r="I204" s="10" t="s">
        <v>37</v>
      </c>
      <c r="J20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20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04" s="71">
        <f t="shared" si="7"/>
        <v>0</v>
      </c>
      <c r="M204" s="71">
        <f t="shared" si="6"/>
        <v>0</v>
      </c>
      <c r="N204" s="71" t="str">
        <f>IFERROR(VLOOKUP(M204,NCAA_Bets[[Date]:[Version]],2,0),"")</f>
        <v/>
      </c>
      <c r="O204" s="94" t="str">
        <f>COUNTIFS(NCAA_Bets[Date],M204,NCAA_Bets[Result],"W")&amp;"-"&amp;COUNTIFS(NCAA_Bets[Date],M204,NCAA_Bets[Result],"L")&amp;IF(COUNTIFS(NCAA_Bets[Date],M204,NCAA_Bets[Result],"Push")&gt;0,"-"&amp;COUNTIFS(NCAA_Bets[Date],M204,NCAA_Bets[Result],"Push"),"")</f>
        <v>0-0</v>
      </c>
      <c r="P204" s="90">
        <f>SUMIF(NCAA_Bets[Date],M204,NCAA_Bets[Winnings])-SUMIF(NCAA_Bets[Date],M204,NCAA_Bets[Risk])</f>
        <v>0</v>
      </c>
    </row>
    <row r="205" spans="2:16" x14ac:dyDescent="0.25">
      <c r="B205" s="101">
        <f t="shared" si="8"/>
        <v>15</v>
      </c>
      <c r="C205" s="6">
        <v>43507</v>
      </c>
      <c r="D205" s="6" t="s">
        <v>300</v>
      </c>
      <c r="E205" s="7" t="s">
        <v>894</v>
      </c>
      <c r="F205" s="8" t="s">
        <v>895</v>
      </c>
      <c r="G205" s="66">
        <v>2</v>
      </c>
      <c r="H205" s="30">
        <v>-105</v>
      </c>
      <c r="I205" s="10" t="s">
        <v>7</v>
      </c>
      <c r="J20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0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05" s="71">
        <f t="shared" si="7"/>
        <v>0</v>
      </c>
      <c r="M205" s="71">
        <f t="shared" si="6"/>
        <v>0</v>
      </c>
      <c r="N205" s="71" t="str">
        <f>IFERROR(VLOOKUP(M205,NCAA_Bets[[Date]:[Version]],2,0),"")</f>
        <v/>
      </c>
      <c r="O205" s="94" t="str">
        <f>COUNTIFS(NCAA_Bets[Date],M205,NCAA_Bets[Result],"W")&amp;"-"&amp;COUNTIFS(NCAA_Bets[Date],M205,NCAA_Bets[Result],"L")&amp;IF(COUNTIFS(NCAA_Bets[Date],M205,NCAA_Bets[Result],"Push")&gt;0,"-"&amp;COUNTIFS(NCAA_Bets[Date],M205,NCAA_Bets[Result],"Push"),"")</f>
        <v>0-0</v>
      </c>
      <c r="P205" s="90">
        <f>SUMIF(NCAA_Bets[Date],M205,NCAA_Bets[Winnings])-SUMIF(NCAA_Bets[Date],M205,NCAA_Bets[Risk])</f>
        <v>0</v>
      </c>
    </row>
    <row r="206" spans="2:16" x14ac:dyDescent="0.25">
      <c r="B206" s="101">
        <f t="shared" si="8"/>
        <v>15</v>
      </c>
      <c r="C206" s="6">
        <v>43507</v>
      </c>
      <c r="D206" s="6" t="s">
        <v>300</v>
      </c>
      <c r="E206" s="7" t="s">
        <v>894</v>
      </c>
      <c r="F206" s="8" t="s">
        <v>709</v>
      </c>
      <c r="G206" s="66">
        <v>2</v>
      </c>
      <c r="H206" s="30">
        <v>-105</v>
      </c>
      <c r="I206" s="10" t="s">
        <v>37</v>
      </c>
      <c r="J20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20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06" s="71">
        <f t="shared" si="7"/>
        <v>0</v>
      </c>
      <c r="M206" s="71">
        <f t="shared" si="6"/>
        <v>0</v>
      </c>
      <c r="N206" s="71" t="str">
        <f>IFERROR(VLOOKUP(M206,NCAA_Bets[[Date]:[Version]],2,0),"")</f>
        <v/>
      </c>
      <c r="O206" s="94" t="str">
        <f>COUNTIFS(NCAA_Bets[Date],M206,NCAA_Bets[Result],"W")&amp;"-"&amp;COUNTIFS(NCAA_Bets[Date],M206,NCAA_Bets[Result],"L")&amp;IF(COUNTIFS(NCAA_Bets[Date],M206,NCAA_Bets[Result],"Push")&gt;0,"-"&amp;COUNTIFS(NCAA_Bets[Date],M206,NCAA_Bets[Result],"Push"),"")</f>
        <v>0-0</v>
      </c>
      <c r="P206" s="90">
        <f>SUMIF(NCAA_Bets[Date],M206,NCAA_Bets[Winnings])-SUMIF(NCAA_Bets[Date],M206,NCAA_Bets[Risk])</f>
        <v>0</v>
      </c>
    </row>
    <row r="207" spans="2:16" x14ac:dyDescent="0.25">
      <c r="B207" s="101">
        <f t="shared" si="8"/>
        <v>16</v>
      </c>
      <c r="C207" s="6">
        <v>43509</v>
      </c>
      <c r="D207" s="6" t="s">
        <v>300</v>
      </c>
      <c r="E207" s="7" t="s">
        <v>919</v>
      </c>
      <c r="F207" s="8" t="s">
        <v>920</v>
      </c>
      <c r="G207" s="66">
        <v>0</v>
      </c>
      <c r="H207" s="30">
        <v>-115</v>
      </c>
      <c r="I207" s="10" t="s">
        <v>7</v>
      </c>
      <c r="J20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0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07" s="71">
        <f t="shared" si="7"/>
        <v>0</v>
      </c>
      <c r="M207" s="71">
        <f t="shared" si="6"/>
        <v>0</v>
      </c>
      <c r="N207" s="71" t="str">
        <f>IFERROR(VLOOKUP(M207,NCAA_Bets[[Date]:[Version]],2,0),"")</f>
        <v/>
      </c>
      <c r="O207" s="94" t="str">
        <f>COUNTIFS(NCAA_Bets[Date],M207,NCAA_Bets[Result],"W")&amp;"-"&amp;COUNTIFS(NCAA_Bets[Date],M207,NCAA_Bets[Result],"L")&amp;IF(COUNTIFS(NCAA_Bets[Date],M207,NCAA_Bets[Result],"Push")&gt;0,"-"&amp;COUNTIFS(NCAA_Bets[Date],M207,NCAA_Bets[Result],"Push"),"")</f>
        <v>0-0</v>
      </c>
      <c r="P207" s="90">
        <f>SUMIF(NCAA_Bets[Date],M207,NCAA_Bets[Winnings])-SUMIF(NCAA_Bets[Date],M207,NCAA_Bets[Risk])</f>
        <v>0</v>
      </c>
    </row>
    <row r="208" spans="2:16" x14ac:dyDescent="0.25">
      <c r="B208" s="101">
        <f t="shared" si="8"/>
        <v>16</v>
      </c>
      <c r="C208" s="6">
        <v>43509</v>
      </c>
      <c r="D208" s="6" t="s">
        <v>300</v>
      </c>
      <c r="E208" s="7" t="s">
        <v>919</v>
      </c>
      <c r="F208" s="8" t="s">
        <v>858</v>
      </c>
      <c r="G208" s="66">
        <v>0</v>
      </c>
      <c r="H208" s="30">
        <v>-110</v>
      </c>
      <c r="I208" s="10" t="s">
        <v>37</v>
      </c>
      <c r="J20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0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08" s="71">
        <f t="shared" si="7"/>
        <v>0</v>
      </c>
      <c r="M208" s="71">
        <f t="shared" si="6"/>
        <v>0</v>
      </c>
      <c r="N208" s="71" t="str">
        <f>IFERROR(VLOOKUP(M208,NCAA_Bets[[Date]:[Version]],2,0),"")</f>
        <v/>
      </c>
      <c r="O208" s="94" t="str">
        <f>COUNTIFS(NCAA_Bets[Date],M208,NCAA_Bets[Result],"W")&amp;"-"&amp;COUNTIFS(NCAA_Bets[Date],M208,NCAA_Bets[Result],"L")&amp;IF(COUNTIFS(NCAA_Bets[Date],M208,NCAA_Bets[Result],"Push")&gt;0,"-"&amp;COUNTIFS(NCAA_Bets[Date],M208,NCAA_Bets[Result],"Push"),"")</f>
        <v>0-0</v>
      </c>
      <c r="P208" s="90">
        <f>SUMIF(NCAA_Bets[Date],M208,NCAA_Bets[Winnings])-SUMIF(NCAA_Bets[Date],M208,NCAA_Bets[Risk])</f>
        <v>0</v>
      </c>
    </row>
    <row r="209" spans="2:16" x14ac:dyDescent="0.25">
      <c r="B209" s="101">
        <f t="shared" si="8"/>
        <v>16</v>
      </c>
      <c r="C209" s="6">
        <v>43509</v>
      </c>
      <c r="D209" s="6" t="s">
        <v>300</v>
      </c>
      <c r="E209" s="7" t="s">
        <v>921</v>
      </c>
      <c r="F209" s="8" t="s">
        <v>922</v>
      </c>
      <c r="G209" s="66">
        <v>0</v>
      </c>
      <c r="H209" s="30">
        <v>-115</v>
      </c>
      <c r="I209" s="10" t="s">
        <v>37</v>
      </c>
      <c r="J20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0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09" s="71">
        <f t="shared" si="7"/>
        <v>0</v>
      </c>
      <c r="M209" s="71">
        <f t="shared" si="6"/>
        <v>0</v>
      </c>
      <c r="N209" s="71" t="str">
        <f>IFERROR(VLOOKUP(M209,NCAA_Bets[[Date]:[Version]],2,0),"")</f>
        <v/>
      </c>
      <c r="O209" s="94" t="str">
        <f>COUNTIFS(NCAA_Bets[Date],M209,NCAA_Bets[Result],"W")&amp;"-"&amp;COUNTIFS(NCAA_Bets[Date],M209,NCAA_Bets[Result],"L")&amp;IF(COUNTIFS(NCAA_Bets[Date],M209,NCAA_Bets[Result],"Push")&gt;0,"-"&amp;COUNTIFS(NCAA_Bets[Date],M209,NCAA_Bets[Result],"Push"),"")</f>
        <v>0-0</v>
      </c>
      <c r="P209" s="90">
        <f>SUMIF(NCAA_Bets[Date],M209,NCAA_Bets[Winnings])-SUMIF(NCAA_Bets[Date],M209,NCAA_Bets[Risk])</f>
        <v>0</v>
      </c>
    </row>
    <row r="210" spans="2:16" x14ac:dyDescent="0.25">
      <c r="B210" s="101">
        <f t="shared" si="8"/>
        <v>16</v>
      </c>
      <c r="C210" s="6">
        <v>43509</v>
      </c>
      <c r="D210" s="6" t="s">
        <v>300</v>
      </c>
      <c r="E210" s="7" t="s">
        <v>923</v>
      </c>
      <c r="F210" s="8" t="s">
        <v>924</v>
      </c>
      <c r="G210" s="66">
        <v>0</v>
      </c>
      <c r="H210" s="30">
        <v>-110</v>
      </c>
      <c r="I210" s="10" t="s">
        <v>37</v>
      </c>
      <c r="J21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1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10" s="71">
        <f t="shared" si="7"/>
        <v>0</v>
      </c>
      <c r="M210" s="71">
        <f t="shared" si="6"/>
        <v>0</v>
      </c>
      <c r="N210" s="71" t="str">
        <f>IFERROR(VLOOKUP(M210,NCAA_Bets[[Date]:[Version]],2,0),"")</f>
        <v/>
      </c>
      <c r="O210" s="94" t="str">
        <f>COUNTIFS(NCAA_Bets[Date],M210,NCAA_Bets[Result],"W")&amp;"-"&amp;COUNTIFS(NCAA_Bets[Date],M210,NCAA_Bets[Result],"L")&amp;IF(COUNTIFS(NCAA_Bets[Date],M210,NCAA_Bets[Result],"Push")&gt;0,"-"&amp;COUNTIFS(NCAA_Bets[Date],M210,NCAA_Bets[Result],"Push"),"")</f>
        <v>0-0</v>
      </c>
      <c r="P210" s="90">
        <f>SUMIF(NCAA_Bets[Date],M210,NCAA_Bets[Winnings])-SUMIF(NCAA_Bets[Date],M210,NCAA_Bets[Risk])</f>
        <v>0</v>
      </c>
    </row>
    <row r="211" spans="2:16" x14ac:dyDescent="0.25">
      <c r="B211" s="101">
        <f t="shared" si="8"/>
        <v>16</v>
      </c>
      <c r="C211" s="6">
        <v>43509</v>
      </c>
      <c r="D211" s="6" t="s">
        <v>300</v>
      </c>
      <c r="E211" s="7" t="s">
        <v>923</v>
      </c>
      <c r="F211" s="8" t="s">
        <v>925</v>
      </c>
      <c r="G211" s="66">
        <v>0</v>
      </c>
      <c r="H211" s="30">
        <v>100</v>
      </c>
      <c r="I211" s="10" t="s">
        <v>37</v>
      </c>
      <c r="J21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1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MD</v>
      </c>
      <c r="L211" s="71">
        <f t="shared" si="7"/>
        <v>0</v>
      </c>
      <c r="M211" s="71">
        <f t="shared" si="6"/>
        <v>0</v>
      </c>
      <c r="N211" s="71" t="str">
        <f>IFERROR(VLOOKUP(M211,NCAA_Bets[[Date]:[Version]],2,0),"")</f>
        <v/>
      </c>
      <c r="O211" s="94" t="str">
        <f>COUNTIFS(NCAA_Bets[Date],M211,NCAA_Bets[Result],"W")&amp;"-"&amp;COUNTIFS(NCAA_Bets[Date],M211,NCAA_Bets[Result],"L")&amp;IF(COUNTIFS(NCAA_Bets[Date],M211,NCAA_Bets[Result],"Push")&gt;0,"-"&amp;COUNTIFS(NCAA_Bets[Date],M211,NCAA_Bets[Result],"Push"),"")</f>
        <v>0-0</v>
      </c>
      <c r="P211" s="90">
        <f>SUMIF(NCAA_Bets[Date],M211,NCAA_Bets[Winnings])-SUMIF(NCAA_Bets[Date],M211,NCAA_Bets[Risk])</f>
        <v>0</v>
      </c>
    </row>
    <row r="212" spans="2:16" x14ac:dyDescent="0.25">
      <c r="B212" s="101">
        <f t="shared" si="8"/>
        <v>16</v>
      </c>
      <c r="C212" s="6">
        <v>43509</v>
      </c>
      <c r="D212" s="6" t="s">
        <v>300</v>
      </c>
      <c r="E212" s="7" t="s">
        <v>926</v>
      </c>
      <c r="F212" s="8" t="s">
        <v>627</v>
      </c>
      <c r="G212" s="66">
        <v>0</v>
      </c>
      <c r="H212" s="30">
        <v>-115</v>
      </c>
      <c r="I212" s="10" t="s">
        <v>37</v>
      </c>
      <c r="J21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1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12" s="71">
        <f t="shared" si="7"/>
        <v>0</v>
      </c>
      <c r="M212" s="71">
        <f t="shared" si="6"/>
        <v>0</v>
      </c>
      <c r="N212" s="71" t="str">
        <f>IFERROR(VLOOKUP(M212,NCAA_Bets[[Date]:[Version]],2,0),"")</f>
        <v/>
      </c>
      <c r="O212" s="94" t="str">
        <f>COUNTIFS(NCAA_Bets[Date],M212,NCAA_Bets[Result],"W")&amp;"-"&amp;COUNTIFS(NCAA_Bets[Date],M212,NCAA_Bets[Result],"L")&amp;IF(COUNTIFS(NCAA_Bets[Date],M212,NCAA_Bets[Result],"Push")&gt;0,"-"&amp;COUNTIFS(NCAA_Bets[Date],M212,NCAA_Bets[Result],"Push"),"")</f>
        <v>0-0</v>
      </c>
      <c r="P212" s="90">
        <f>SUMIF(NCAA_Bets[Date],M212,NCAA_Bets[Winnings])-SUMIF(NCAA_Bets[Date],M212,NCAA_Bets[Risk])</f>
        <v>0</v>
      </c>
    </row>
    <row r="213" spans="2:16" x14ac:dyDescent="0.25">
      <c r="B213" s="101">
        <f t="shared" si="8"/>
        <v>16</v>
      </c>
      <c r="C213" s="6">
        <v>43509</v>
      </c>
      <c r="D213" s="6" t="s">
        <v>300</v>
      </c>
      <c r="E213" s="7" t="s">
        <v>927</v>
      </c>
      <c r="F213" s="8" t="s">
        <v>928</v>
      </c>
      <c r="G213" s="66">
        <v>0</v>
      </c>
      <c r="H213" s="30">
        <v>-110</v>
      </c>
      <c r="I213" s="10" t="s">
        <v>7</v>
      </c>
      <c r="J21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1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13" s="71">
        <f t="shared" si="7"/>
        <v>0</v>
      </c>
      <c r="M213" s="71">
        <f t="shared" si="6"/>
        <v>0</v>
      </c>
      <c r="N213" s="71" t="str">
        <f>IFERROR(VLOOKUP(M213,NCAA_Bets[[Date]:[Version]],2,0),"")</f>
        <v/>
      </c>
      <c r="O213" s="94" t="str">
        <f>COUNTIFS(NCAA_Bets[Date],M213,NCAA_Bets[Result],"W")&amp;"-"&amp;COUNTIFS(NCAA_Bets[Date],M213,NCAA_Bets[Result],"L")&amp;IF(COUNTIFS(NCAA_Bets[Date],M213,NCAA_Bets[Result],"Push")&gt;0,"-"&amp;COUNTIFS(NCAA_Bets[Date],M213,NCAA_Bets[Result],"Push"),"")</f>
        <v>0-0</v>
      </c>
      <c r="P213" s="90">
        <f>SUMIF(NCAA_Bets[Date],M213,NCAA_Bets[Winnings])-SUMIF(NCAA_Bets[Date],M213,NCAA_Bets[Risk])</f>
        <v>0</v>
      </c>
    </row>
    <row r="214" spans="2:16" x14ac:dyDescent="0.25">
      <c r="B214" s="101">
        <f t="shared" si="8"/>
        <v>16</v>
      </c>
      <c r="C214" s="6">
        <v>43509</v>
      </c>
      <c r="D214" s="6" t="s">
        <v>300</v>
      </c>
      <c r="E214" s="7" t="s">
        <v>929</v>
      </c>
      <c r="F214" s="8" t="s">
        <v>930</v>
      </c>
      <c r="G214" s="66">
        <v>0</v>
      </c>
      <c r="H214" s="30">
        <v>-110</v>
      </c>
      <c r="I214" s="10" t="s">
        <v>7</v>
      </c>
      <c r="J21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1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14" s="71">
        <f t="shared" si="7"/>
        <v>0</v>
      </c>
      <c r="M214" s="71">
        <f t="shared" si="6"/>
        <v>0</v>
      </c>
      <c r="N214" s="71" t="str">
        <f>IFERROR(VLOOKUP(M214,NCAA_Bets[[Date]:[Version]],2,0),"")</f>
        <v/>
      </c>
      <c r="O214" s="94" t="str">
        <f>COUNTIFS(NCAA_Bets[Date],M214,NCAA_Bets[Result],"W")&amp;"-"&amp;COUNTIFS(NCAA_Bets[Date],M214,NCAA_Bets[Result],"L")&amp;IF(COUNTIFS(NCAA_Bets[Date],M214,NCAA_Bets[Result],"Push")&gt;0,"-"&amp;COUNTIFS(NCAA_Bets[Date],M214,NCAA_Bets[Result],"Push"),"")</f>
        <v>0-0</v>
      </c>
      <c r="P214" s="90">
        <f>SUMIF(NCAA_Bets[Date],M214,NCAA_Bets[Winnings])-SUMIF(NCAA_Bets[Date],M214,NCAA_Bets[Risk])</f>
        <v>0</v>
      </c>
    </row>
    <row r="215" spans="2:16" x14ac:dyDescent="0.25">
      <c r="B215" s="101">
        <f t="shared" si="8"/>
        <v>16</v>
      </c>
      <c r="C215" s="6">
        <v>43509</v>
      </c>
      <c r="D215" s="6" t="s">
        <v>300</v>
      </c>
      <c r="E215" s="7" t="s">
        <v>929</v>
      </c>
      <c r="F215" s="8" t="s">
        <v>540</v>
      </c>
      <c r="G215" s="66">
        <v>0</v>
      </c>
      <c r="H215" s="30">
        <v>-105</v>
      </c>
      <c r="I215" s="10" t="s">
        <v>37</v>
      </c>
      <c r="J21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1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15" s="71">
        <f t="shared" si="7"/>
        <v>0</v>
      </c>
      <c r="M215" s="71">
        <f t="shared" si="6"/>
        <v>0</v>
      </c>
      <c r="N215" s="71" t="str">
        <f>IFERROR(VLOOKUP(M215,NCAA_Bets[[Date]:[Version]],2,0),"")</f>
        <v/>
      </c>
      <c r="O215" s="94" t="str">
        <f>COUNTIFS(NCAA_Bets[Date],M215,NCAA_Bets[Result],"W")&amp;"-"&amp;COUNTIFS(NCAA_Bets[Date],M215,NCAA_Bets[Result],"L")&amp;IF(COUNTIFS(NCAA_Bets[Date],M215,NCAA_Bets[Result],"Push")&gt;0,"-"&amp;COUNTIFS(NCAA_Bets[Date],M215,NCAA_Bets[Result],"Push"),"")</f>
        <v>0-0</v>
      </c>
      <c r="P215" s="90">
        <f>SUMIF(NCAA_Bets[Date],M215,NCAA_Bets[Winnings])-SUMIF(NCAA_Bets[Date],M215,NCAA_Bets[Risk])</f>
        <v>0</v>
      </c>
    </row>
    <row r="216" spans="2:16" x14ac:dyDescent="0.25">
      <c r="B216" s="101">
        <f t="shared" si="8"/>
        <v>16</v>
      </c>
      <c r="C216" s="6">
        <v>43509</v>
      </c>
      <c r="D216" s="6" t="s">
        <v>300</v>
      </c>
      <c r="E216" s="7" t="s">
        <v>929</v>
      </c>
      <c r="F216" s="8" t="s">
        <v>931</v>
      </c>
      <c r="G216" s="66">
        <v>0</v>
      </c>
      <c r="H216" s="30">
        <v>-105</v>
      </c>
      <c r="I216" s="10" t="s">
        <v>7</v>
      </c>
      <c r="J21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1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216" s="71">
        <f t="shared" si="7"/>
        <v>0</v>
      </c>
      <c r="M216" s="71">
        <f t="shared" si="6"/>
        <v>0</v>
      </c>
      <c r="N216" s="71" t="str">
        <f>IFERROR(VLOOKUP(M216,NCAA_Bets[[Date]:[Version]],2,0),"")</f>
        <v/>
      </c>
      <c r="O216" s="94" t="str">
        <f>COUNTIFS(NCAA_Bets[Date],M216,NCAA_Bets[Result],"W")&amp;"-"&amp;COUNTIFS(NCAA_Bets[Date],M216,NCAA_Bets[Result],"L")&amp;IF(COUNTIFS(NCAA_Bets[Date],M216,NCAA_Bets[Result],"Push")&gt;0,"-"&amp;COUNTIFS(NCAA_Bets[Date],M216,NCAA_Bets[Result],"Push"),"")</f>
        <v>0-0</v>
      </c>
      <c r="P216" s="90">
        <f>SUMIF(NCAA_Bets[Date],M216,NCAA_Bets[Winnings])-SUMIF(NCAA_Bets[Date],M216,NCAA_Bets[Risk])</f>
        <v>0</v>
      </c>
    </row>
    <row r="217" spans="2:16" x14ac:dyDescent="0.25">
      <c r="B217" s="101">
        <f t="shared" si="8"/>
        <v>16</v>
      </c>
      <c r="C217" s="6">
        <v>43509</v>
      </c>
      <c r="D217" s="6" t="s">
        <v>300</v>
      </c>
      <c r="E217" s="7" t="s">
        <v>932</v>
      </c>
      <c r="F217" s="8" t="s">
        <v>933</v>
      </c>
      <c r="G217" s="66">
        <v>0</v>
      </c>
      <c r="H217" s="30">
        <v>-115</v>
      </c>
      <c r="I217" s="10" t="s">
        <v>7</v>
      </c>
      <c r="J21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1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17" s="71">
        <f t="shared" si="7"/>
        <v>0</v>
      </c>
      <c r="M217" s="71">
        <f t="shared" si="6"/>
        <v>0</v>
      </c>
      <c r="N217" s="71" t="str">
        <f>IFERROR(VLOOKUP(M217,NCAA_Bets[[Date]:[Version]],2,0),"")</f>
        <v/>
      </c>
      <c r="O217" s="94" t="str">
        <f>COUNTIFS(NCAA_Bets[Date],M217,NCAA_Bets[Result],"W")&amp;"-"&amp;COUNTIFS(NCAA_Bets[Date],M217,NCAA_Bets[Result],"L")&amp;IF(COUNTIFS(NCAA_Bets[Date],M217,NCAA_Bets[Result],"Push")&gt;0,"-"&amp;COUNTIFS(NCAA_Bets[Date],M217,NCAA_Bets[Result],"Push"),"")</f>
        <v>0-0</v>
      </c>
      <c r="P217" s="90">
        <f>SUMIF(NCAA_Bets[Date],M217,NCAA_Bets[Winnings])-SUMIF(NCAA_Bets[Date],M217,NCAA_Bets[Risk])</f>
        <v>0</v>
      </c>
    </row>
    <row r="218" spans="2:16" x14ac:dyDescent="0.25">
      <c r="B218" s="101">
        <f t="shared" si="8"/>
        <v>16</v>
      </c>
      <c r="C218" s="6">
        <v>43509</v>
      </c>
      <c r="D218" s="6" t="s">
        <v>300</v>
      </c>
      <c r="E218" s="7" t="s">
        <v>932</v>
      </c>
      <c r="F218" s="8" t="s">
        <v>754</v>
      </c>
      <c r="G218" s="66">
        <v>0</v>
      </c>
      <c r="H218" s="30">
        <v>-110</v>
      </c>
      <c r="I218" s="10" t="s">
        <v>37</v>
      </c>
      <c r="J21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1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18" s="71">
        <f t="shared" si="7"/>
        <v>0</v>
      </c>
      <c r="M218" s="71">
        <f t="shared" ref="M218:M281" si="9">IFERROR(VLOOKUP(ROW()-4,B:C,2,0),0)</f>
        <v>0</v>
      </c>
      <c r="N218" s="71" t="str">
        <f>IFERROR(VLOOKUP(M218,NCAA_Bets[[Date]:[Version]],2,0),"")</f>
        <v/>
      </c>
      <c r="O218" s="94" t="str">
        <f>COUNTIFS(NCAA_Bets[Date],M218,NCAA_Bets[Result],"W")&amp;"-"&amp;COUNTIFS(NCAA_Bets[Date],M218,NCAA_Bets[Result],"L")&amp;IF(COUNTIFS(NCAA_Bets[Date],M218,NCAA_Bets[Result],"Push")&gt;0,"-"&amp;COUNTIFS(NCAA_Bets[Date],M218,NCAA_Bets[Result],"Push"),"")</f>
        <v>0-0</v>
      </c>
      <c r="P218" s="90">
        <f>SUMIF(NCAA_Bets[Date],M218,NCAA_Bets[Winnings])-SUMIF(NCAA_Bets[Date],M218,NCAA_Bets[Risk])</f>
        <v>0</v>
      </c>
    </row>
    <row r="219" spans="2:16" x14ac:dyDescent="0.25">
      <c r="B219" s="101">
        <f t="shared" si="8"/>
        <v>17</v>
      </c>
      <c r="C219" s="6">
        <v>43510</v>
      </c>
      <c r="D219" s="6" t="s">
        <v>300</v>
      </c>
      <c r="E219" s="7" t="s">
        <v>934</v>
      </c>
      <c r="F219" s="8" t="s">
        <v>935</v>
      </c>
      <c r="G219" s="66">
        <v>2</v>
      </c>
      <c r="H219" s="30">
        <v>-105</v>
      </c>
      <c r="I219" s="10" t="s">
        <v>37</v>
      </c>
      <c r="J21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21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19" s="71">
        <f t="shared" si="7"/>
        <v>0</v>
      </c>
      <c r="M219" s="71">
        <f t="shared" si="9"/>
        <v>0</v>
      </c>
      <c r="N219" s="71" t="str">
        <f>IFERROR(VLOOKUP(M219,NCAA_Bets[[Date]:[Version]],2,0),"")</f>
        <v/>
      </c>
      <c r="O219" s="94" t="str">
        <f>COUNTIFS(NCAA_Bets[Date],M219,NCAA_Bets[Result],"W")&amp;"-"&amp;COUNTIFS(NCAA_Bets[Date],M219,NCAA_Bets[Result],"L")&amp;IF(COUNTIFS(NCAA_Bets[Date],M219,NCAA_Bets[Result],"Push")&gt;0,"-"&amp;COUNTIFS(NCAA_Bets[Date],M219,NCAA_Bets[Result],"Push"),"")</f>
        <v>0-0</v>
      </c>
      <c r="P219" s="90">
        <f>SUMIF(NCAA_Bets[Date],M219,NCAA_Bets[Winnings])-SUMIF(NCAA_Bets[Date],M219,NCAA_Bets[Risk])</f>
        <v>0</v>
      </c>
    </row>
    <row r="220" spans="2:16" x14ac:dyDescent="0.25">
      <c r="B220" s="101">
        <f t="shared" si="8"/>
        <v>17</v>
      </c>
      <c r="C220" s="6">
        <v>43510</v>
      </c>
      <c r="D220" s="6" t="s">
        <v>300</v>
      </c>
      <c r="E220" s="7" t="s">
        <v>936</v>
      </c>
      <c r="F220" s="8" t="s">
        <v>937</v>
      </c>
      <c r="G220" s="66">
        <v>2</v>
      </c>
      <c r="H220" s="30">
        <v>-110</v>
      </c>
      <c r="I220" s="10" t="s">
        <v>7</v>
      </c>
      <c r="J22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2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20" s="71">
        <f t="shared" si="7"/>
        <v>0</v>
      </c>
      <c r="M220" s="71">
        <f t="shared" si="9"/>
        <v>0</v>
      </c>
      <c r="N220" s="71" t="str">
        <f>IFERROR(VLOOKUP(M220,NCAA_Bets[[Date]:[Version]],2,0),"")</f>
        <v/>
      </c>
      <c r="O220" s="94" t="str">
        <f>COUNTIFS(NCAA_Bets[Date],M220,NCAA_Bets[Result],"W")&amp;"-"&amp;COUNTIFS(NCAA_Bets[Date],M220,NCAA_Bets[Result],"L")&amp;IF(COUNTIFS(NCAA_Bets[Date],M220,NCAA_Bets[Result],"Push")&gt;0,"-"&amp;COUNTIFS(NCAA_Bets[Date],M220,NCAA_Bets[Result],"Push"),"")</f>
        <v>0-0</v>
      </c>
      <c r="P220" s="90">
        <f>SUMIF(NCAA_Bets[Date],M220,NCAA_Bets[Winnings])-SUMIF(NCAA_Bets[Date],M220,NCAA_Bets[Risk])</f>
        <v>0</v>
      </c>
    </row>
    <row r="221" spans="2:16" x14ac:dyDescent="0.25">
      <c r="B221" s="101">
        <f t="shared" si="8"/>
        <v>17</v>
      </c>
      <c r="C221" s="6">
        <v>43510</v>
      </c>
      <c r="D221" s="6" t="s">
        <v>300</v>
      </c>
      <c r="E221" s="7" t="s">
        <v>936</v>
      </c>
      <c r="F221" s="8" t="s">
        <v>938</v>
      </c>
      <c r="G221" s="66">
        <v>2</v>
      </c>
      <c r="H221" s="30">
        <v>-110</v>
      </c>
      <c r="I221" s="10" t="s">
        <v>7</v>
      </c>
      <c r="J22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2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21" s="71">
        <f t="shared" si="7"/>
        <v>0</v>
      </c>
      <c r="M221" s="71">
        <f t="shared" si="9"/>
        <v>0</v>
      </c>
      <c r="N221" s="71" t="str">
        <f>IFERROR(VLOOKUP(M221,NCAA_Bets[[Date]:[Version]],2,0),"")</f>
        <v/>
      </c>
      <c r="O221" s="94" t="str">
        <f>COUNTIFS(NCAA_Bets[Date],M221,NCAA_Bets[Result],"W")&amp;"-"&amp;COUNTIFS(NCAA_Bets[Date],M221,NCAA_Bets[Result],"L")&amp;IF(COUNTIFS(NCAA_Bets[Date],M221,NCAA_Bets[Result],"Push")&gt;0,"-"&amp;COUNTIFS(NCAA_Bets[Date],M221,NCAA_Bets[Result],"Push"),"")</f>
        <v>0-0</v>
      </c>
      <c r="P221" s="90">
        <f>SUMIF(NCAA_Bets[Date],M221,NCAA_Bets[Winnings])-SUMIF(NCAA_Bets[Date],M221,NCAA_Bets[Risk])</f>
        <v>0</v>
      </c>
    </row>
    <row r="222" spans="2:16" x14ac:dyDescent="0.25">
      <c r="B222" s="101">
        <f t="shared" si="8"/>
        <v>17</v>
      </c>
      <c r="C222" s="6">
        <v>43510</v>
      </c>
      <c r="D222" s="6" t="s">
        <v>300</v>
      </c>
      <c r="E222" s="7" t="s">
        <v>936</v>
      </c>
      <c r="F222" s="8" t="s">
        <v>939</v>
      </c>
      <c r="G222" s="66">
        <v>2</v>
      </c>
      <c r="H222" s="30">
        <v>100</v>
      </c>
      <c r="I222" s="10" t="s">
        <v>7</v>
      </c>
      <c r="J22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2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MD</v>
      </c>
      <c r="L222" s="71">
        <f t="shared" si="7"/>
        <v>0</v>
      </c>
      <c r="M222" s="71">
        <f t="shared" si="9"/>
        <v>0</v>
      </c>
      <c r="N222" s="71" t="str">
        <f>IFERROR(VLOOKUP(M222,NCAA_Bets[[Date]:[Version]],2,0),"")</f>
        <v/>
      </c>
      <c r="O222" s="94" t="str">
        <f>COUNTIFS(NCAA_Bets[Date],M222,NCAA_Bets[Result],"W")&amp;"-"&amp;COUNTIFS(NCAA_Bets[Date],M222,NCAA_Bets[Result],"L")&amp;IF(COUNTIFS(NCAA_Bets[Date],M222,NCAA_Bets[Result],"Push")&gt;0,"-"&amp;COUNTIFS(NCAA_Bets[Date],M222,NCAA_Bets[Result],"Push"),"")</f>
        <v>0-0</v>
      </c>
      <c r="P222" s="90">
        <f>SUMIF(NCAA_Bets[Date],M222,NCAA_Bets[Winnings])-SUMIF(NCAA_Bets[Date],M222,NCAA_Bets[Risk])</f>
        <v>0</v>
      </c>
    </row>
    <row r="223" spans="2:16" x14ac:dyDescent="0.25">
      <c r="B223" s="101">
        <f t="shared" si="8"/>
        <v>17</v>
      </c>
      <c r="C223" s="6">
        <v>43510</v>
      </c>
      <c r="D223" s="6" t="s">
        <v>300</v>
      </c>
      <c r="E223" s="7" t="s">
        <v>940</v>
      </c>
      <c r="F223" s="8" t="s">
        <v>938</v>
      </c>
      <c r="G223" s="66">
        <v>2</v>
      </c>
      <c r="H223" s="30">
        <v>-115</v>
      </c>
      <c r="I223" s="10" t="s">
        <v>37</v>
      </c>
      <c r="J22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22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23" s="71">
        <f t="shared" si="7"/>
        <v>0</v>
      </c>
      <c r="M223" s="71">
        <f t="shared" si="9"/>
        <v>0</v>
      </c>
      <c r="N223" s="71" t="str">
        <f>IFERROR(VLOOKUP(M223,NCAA_Bets[[Date]:[Version]],2,0),"")</f>
        <v/>
      </c>
      <c r="O223" s="94" t="str">
        <f>COUNTIFS(NCAA_Bets[Date],M223,NCAA_Bets[Result],"W")&amp;"-"&amp;COUNTIFS(NCAA_Bets[Date],M223,NCAA_Bets[Result],"L")&amp;IF(COUNTIFS(NCAA_Bets[Date],M223,NCAA_Bets[Result],"Push")&gt;0,"-"&amp;COUNTIFS(NCAA_Bets[Date],M223,NCAA_Bets[Result],"Push"),"")</f>
        <v>0-0</v>
      </c>
      <c r="P223" s="90">
        <f>SUMIF(NCAA_Bets[Date],M223,NCAA_Bets[Winnings])-SUMIF(NCAA_Bets[Date],M223,NCAA_Bets[Risk])</f>
        <v>0</v>
      </c>
    </row>
    <row r="224" spans="2:16" x14ac:dyDescent="0.25">
      <c r="B224" s="101">
        <f t="shared" si="8"/>
        <v>17</v>
      </c>
      <c r="C224" s="6">
        <v>43510</v>
      </c>
      <c r="D224" s="6" t="s">
        <v>300</v>
      </c>
      <c r="E224" s="7" t="s">
        <v>941</v>
      </c>
      <c r="F224" s="8" t="s">
        <v>942</v>
      </c>
      <c r="G224" s="66">
        <v>2</v>
      </c>
      <c r="H224" s="30">
        <v>-110</v>
      </c>
      <c r="I224" s="10" t="s">
        <v>37</v>
      </c>
      <c r="J22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2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24" s="71">
        <f t="shared" si="7"/>
        <v>0</v>
      </c>
      <c r="M224" s="71">
        <f t="shared" si="9"/>
        <v>0</v>
      </c>
      <c r="N224" s="71" t="str">
        <f>IFERROR(VLOOKUP(M224,NCAA_Bets[[Date]:[Version]],2,0),"")</f>
        <v/>
      </c>
      <c r="O224" s="94" t="str">
        <f>COUNTIFS(NCAA_Bets[Date],M224,NCAA_Bets[Result],"W")&amp;"-"&amp;COUNTIFS(NCAA_Bets[Date],M224,NCAA_Bets[Result],"L")&amp;IF(COUNTIFS(NCAA_Bets[Date],M224,NCAA_Bets[Result],"Push")&gt;0,"-"&amp;COUNTIFS(NCAA_Bets[Date],M224,NCAA_Bets[Result],"Push"),"")</f>
        <v>0-0</v>
      </c>
      <c r="P224" s="90">
        <f>SUMIF(NCAA_Bets[Date],M224,NCAA_Bets[Winnings])-SUMIF(NCAA_Bets[Date],M224,NCAA_Bets[Risk])</f>
        <v>0</v>
      </c>
    </row>
    <row r="225" spans="2:16" x14ac:dyDescent="0.25">
      <c r="B225" s="101">
        <f t="shared" si="8"/>
        <v>17</v>
      </c>
      <c r="C225" s="6">
        <v>43510</v>
      </c>
      <c r="D225" s="6" t="s">
        <v>300</v>
      </c>
      <c r="E225" s="7" t="s">
        <v>943</v>
      </c>
      <c r="F225" s="8" t="s">
        <v>944</v>
      </c>
      <c r="G225" s="66">
        <v>2</v>
      </c>
      <c r="H225" s="30">
        <v>-110</v>
      </c>
      <c r="I225" s="10" t="s">
        <v>7</v>
      </c>
      <c r="J22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2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25" s="71">
        <f t="shared" si="7"/>
        <v>0</v>
      </c>
      <c r="M225" s="71">
        <f t="shared" si="9"/>
        <v>0</v>
      </c>
      <c r="N225" s="71" t="str">
        <f>IFERROR(VLOOKUP(M225,NCAA_Bets[[Date]:[Version]],2,0),"")</f>
        <v/>
      </c>
      <c r="O225" s="94" t="str">
        <f>COUNTIFS(NCAA_Bets[Date],M225,NCAA_Bets[Result],"W")&amp;"-"&amp;COUNTIFS(NCAA_Bets[Date],M225,NCAA_Bets[Result],"L")&amp;IF(COUNTIFS(NCAA_Bets[Date],M225,NCAA_Bets[Result],"Push")&gt;0,"-"&amp;COUNTIFS(NCAA_Bets[Date],M225,NCAA_Bets[Result],"Push"),"")</f>
        <v>0-0</v>
      </c>
      <c r="P225" s="90">
        <f>SUMIF(NCAA_Bets[Date],M225,NCAA_Bets[Winnings])-SUMIF(NCAA_Bets[Date],M225,NCAA_Bets[Risk])</f>
        <v>0</v>
      </c>
    </row>
    <row r="226" spans="2:16" x14ac:dyDescent="0.25">
      <c r="B226" s="101">
        <f t="shared" si="8"/>
        <v>17</v>
      </c>
      <c r="C226" s="6">
        <v>43510</v>
      </c>
      <c r="D226" s="6" t="s">
        <v>300</v>
      </c>
      <c r="E226" s="7" t="s">
        <v>943</v>
      </c>
      <c r="F226" s="8" t="s">
        <v>945</v>
      </c>
      <c r="G226" s="66">
        <v>2</v>
      </c>
      <c r="H226" s="30">
        <v>-115</v>
      </c>
      <c r="I226" s="10" t="s">
        <v>37</v>
      </c>
      <c r="J22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22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26" s="71">
        <f t="shared" si="7"/>
        <v>0</v>
      </c>
      <c r="M226" s="71">
        <f t="shared" si="9"/>
        <v>0</v>
      </c>
      <c r="N226" s="71" t="str">
        <f>IFERROR(VLOOKUP(M226,NCAA_Bets[[Date]:[Version]],2,0),"")</f>
        <v/>
      </c>
      <c r="O226" s="94" t="str">
        <f>COUNTIFS(NCAA_Bets[Date],M226,NCAA_Bets[Result],"W")&amp;"-"&amp;COUNTIFS(NCAA_Bets[Date],M226,NCAA_Bets[Result],"L")&amp;IF(COUNTIFS(NCAA_Bets[Date],M226,NCAA_Bets[Result],"Push")&gt;0,"-"&amp;COUNTIFS(NCAA_Bets[Date],M226,NCAA_Bets[Result],"Push"),"")</f>
        <v>0-0</v>
      </c>
      <c r="P226" s="90">
        <f>SUMIF(NCAA_Bets[Date],M226,NCAA_Bets[Winnings])-SUMIF(NCAA_Bets[Date],M226,NCAA_Bets[Risk])</f>
        <v>0</v>
      </c>
    </row>
    <row r="227" spans="2:16" x14ac:dyDescent="0.25">
      <c r="B227" s="101">
        <f t="shared" si="8"/>
        <v>17</v>
      </c>
      <c r="C227" s="6">
        <v>43510</v>
      </c>
      <c r="D227" s="6" t="s">
        <v>300</v>
      </c>
      <c r="E227" s="7" t="s">
        <v>946</v>
      </c>
      <c r="F227" s="8" t="s">
        <v>947</v>
      </c>
      <c r="G227" s="66">
        <v>2</v>
      </c>
      <c r="H227" s="30">
        <v>-105</v>
      </c>
      <c r="I227" s="10" t="s">
        <v>7</v>
      </c>
      <c r="J22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2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27" s="71">
        <f t="shared" si="7"/>
        <v>0</v>
      </c>
      <c r="M227" s="71">
        <f t="shared" si="9"/>
        <v>0</v>
      </c>
      <c r="N227" s="71" t="str">
        <f>IFERROR(VLOOKUP(M227,NCAA_Bets[[Date]:[Version]],2,0),"")</f>
        <v/>
      </c>
      <c r="O227" s="94" t="str">
        <f>COUNTIFS(NCAA_Bets[Date],M227,NCAA_Bets[Result],"W")&amp;"-"&amp;COUNTIFS(NCAA_Bets[Date],M227,NCAA_Bets[Result],"L")&amp;IF(COUNTIFS(NCAA_Bets[Date],M227,NCAA_Bets[Result],"Push")&gt;0,"-"&amp;COUNTIFS(NCAA_Bets[Date],M227,NCAA_Bets[Result],"Push"),"")</f>
        <v>0-0</v>
      </c>
      <c r="P227" s="90">
        <f>SUMIF(NCAA_Bets[Date],M227,NCAA_Bets[Winnings])-SUMIF(NCAA_Bets[Date],M227,NCAA_Bets[Risk])</f>
        <v>0</v>
      </c>
    </row>
    <row r="228" spans="2:16" x14ac:dyDescent="0.25">
      <c r="B228" s="101">
        <f t="shared" si="8"/>
        <v>18</v>
      </c>
      <c r="C228" s="6">
        <v>43514</v>
      </c>
      <c r="D228" s="6" t="s">
        <v>300</v>
      </c>
      <c r="E228" s="7" t="s">
        <v>948</v>
      </c>
      <c r="F228" s="8" t="s">
        <v>525</v>
      </c>
      <c r="G228" s="66">
        <v>1</v>
      </c>
      <c r="H228" s="30">
        <v>-110</v>
      </c>
      <c r="I228" s="10" t="s">
        <v>37</v>
      </c>
      <c r="J22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1.9090909090909092</v>
      </c>
      <c r="K22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28" s="71">
        <f t="shared" ref="L228:L291" si="10">IFERROR(VLOOKUP(ROW()-4,B:C,2,0),0)</f>
        <v>0</v>
      </c>
      <c r="M228" s="71">
        <f t="shared" si="9"/>
        <v>0</v>
      </c>
      <c r="N228" s="71" t="str">
        <f>IFERROR(VLOOKUP(M228,NCAA_Bets[[Date]:[Version]],2,0),"")</f>
        <v/>
      </c>
      <c r="O228" s="94" t="str">
        <f>COUNTIFS(NCAA_Bets[Date],M228,NCAA_Bets[Result],"W")&amp;"-"&amp;COUNTIFS(NCAA_Bets[Date],M228,NCAA_Bets[Result],"L")&amp;IF(COUNTIFS(NCAA_Bets[Date],M228,NCAA_Bets[Result],"Push")&gt;0,"-"&amp;COUNTIFS(NCAA_Bets[Date],M228,NCAA_Bets[Result],"Push"),"")</f>
        <v>0-0</v>
      </c>
      <c r="P228" s="90">
        <f>SUMIF(NCAA_Bets[Date],M228,NCAA_Bets[Winnings])-SUMIF(NCAA_Bets[Date],M228,NCAA_Bets[Risk])</f>
        <v>0</v>
      </c>
    </row>
    <row r="229" spans="2:16" x14ac:dyDescent="0.25">
      <c r="B229" s="101">
        <f t="shared" si="8"/>
        <v>18</v>
      </c>
      <c r="C229" s="6">
        <v>43514</v>
      </c>
      <c r="D229" s="6" t="s">
        <v>300</v>
      </c>
      <c r="E229" s="7" t="s">
        <v>949</v>
      </c>
      <c r="F229" s="8" t="s">
        <v>683</v>
      </c>
      <c r="G229" s="66">
        <v>1</v>
      </c>
      <c r="H229" s="30">
        <v>-110</v>
      </c>
      <c r="I229" s="10" t="s">
        <v>37</v>
      </c>
      <c r="J22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1.9090909090909092</v>
      </c>
      <c r="K22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29" s="71">
        <f t="shared" si="10"/>
        <v>0</v>
      </c>
      <c r="M229" s="71">
        <f t="shared" si="9"/>
        <v>0</v>
      </c>
      <c r="N229" s="71" t="str">
        <f>IFERROR(VLOOKUP(M229,NCAA_Bets[[Date]:[Version]],2,0),"")</f>
        <v/>
      </c>
      <c r="O229" s="94" t="str">
        <f>COUNTIFS(NCAA_Bets[Date],M229,NCAA_Bets[Result],"W")&amp;"-"&amp;COUNTIFS(NCAA_Bets[Date],M229,NCAA_Bets[Result],"L")&amp;IF(COUNTIFS(NCAA_Bets[Date],M229,NCAA_Bets[Result],"Push")&gt;0,"-"&amp;COUNTIFS(NCAA_Bets[Date],M229,NCAA_Bets[Result],"Push"),"")</f>
        <v>0-0</v>
      </c>
      <c r="P229" s="90">
        <f>SUMIF(NCAA_Bets[Date],M229,NCAA_Bets[Winnings])-SUMIF(NCAA_Bets[Date],M229,NCAA_Bets[Risk])</f>
        <v>0</v>
      </c>
    </row>
    <row r="230" spans="2:16" x14ac:dyDescent="0.25">
      <c r="B230" s="101">
        <f t="shared" si="8"/>
        <v>18</v>
      </c>
      <c r="C230" s="6">
        <v>43514</v>
      </c>
      <c r="D230" s="6" t="s">
        <v>300</v>
      </c>
      <c r="E230" s="7" t="s">
        <v>950</v>
      </c>
      <c r="F230" s="8" t="s">
        <v>951</v>
      </c>
      <c r="G230" s="66">
        <v>1</v>
      </c>
      <c r="H230" s="30">
        <v>-110</v>
      </c>
      <c r="I230" s="10" t="s">
        <v>37</v>
      </c>
      <c r="J23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1.9090909090909092</v>
      </c>
      <c r="K23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30" s="71">
        <f t="shared" si="10"/>
        <v>0</v>
      </c>
      <c r="M230" s="71">
        <f t="shared" si="9"/>
        <v>0</v>
      </c>
      <c r="N230" s="71" t="str">
        <f>IFERROR(VLOOKUP(M230,NCAA_Bets[[Date]:[Version]],2,0),"")</f>
        <v/>
      </c>
      <c r="O230" s="94" t="str">
        <f>COUNTIFS(NCAA_Bets[Date],M230,NCAA_Bets[Result],"W")&amp;"-"&amp;COUNTIFS(NCAA_Bets[Date],M230,NCAA_Bets[Result],"L")&amp;IF(COUNTIFS(NCAA_Bets[Date],M230,NCAA_Bets[Result],"Push")&gt;0,"-"&amp;COUNTIFS(NCAA_Bets[Date],M230,NCAA_Bets[Result],"Push"),"")</f>
        <v>0-0</v>
      </c>
      <c r="P230" s="90">
        <f>SUMIF(NCAA_Bets[Date],M230,NCAA_Bets[Winnings])-SUMIF(NCAA_Bets[Date],M230,NCAA_Bets[Risk])</f>
        <v>0</v>
      </c>
    </row>
    <row r="231" spans="2:16" x14ac:dyDescent="0.25">
      <c r="B231" s="101">
        <f t="shared" si="8"/>
        <v>18</v>
      </c>
      <c r="C231" s="6">
        <v>43514</v>
      </c>
      <c r="D231" s="6" t="s">
        <v>300</v>
      </c>
      <c r="E231" s="7" t="s">
        <v>952</v>
      </c>
      <c r="F231" s="8" t="s">
        <v>953</v>
      </c>
      <c r="G231" s="66">
        <v>1</v>
      </c>
      <c r="H231" s="30">
        <v>-115</v>
      </c>
      <c r="I231" s="10" t="s">
        <v>37</v>
      </c>
      <c r="J23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1.8695652173913042</v>
      </c>
      <c r="K23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31" s="71">
        <f t="shared" si="10"/>
        <v>0</v>
      </c>
      <c r="M231" s="71">
        <f t="shared" si="9"/>
        <v>0</v>
      </c>
      <c r="N231" s="71" t="str">
        <f>IFERROR(VLOOKUP(M231,NCAA_Bets[[Date]:[Version]],2,0),"")</f>
        <v/>
      </c>
      <c r="O231" s="94" t="str">
        <f>COUNTIFS(NCAA_Bets[Date],M231,NCAA_Bets[Result],"W")&amp;"-"&amp;COUNTIFS(NCAA_Bets[Date],M231,NCAA_Bets[Result],"L")&amp;IF(COUNTIFS(NCAA_Bets[Date],M231,NCAA_Bets[Result],"Push")&gt;0,"-"&amp;COUNTIFS(NCAA_Bets[Date],M231,NCAA_Bets[Result],"Push"),"")</f>
        <v>0-0</v>
      </c>
      <c r="P231" s="90">
        <f>SUMIF(NCAA_Bets[Date],M231,NCAA_Bets[Winnings])-SUMIF(NCAA_Bets[Date],M231,NCAA_Bets[Risk])</f>
        <v>0</v>
      </c>
    </row>
    <row r="232" spans="2:16" x14ac:dyDescent="0.25">
      <c r="B232" s="101">
        <f t="shared" si="8"/>
        <v>18</v>
      </c>
      <c r="C232" s="6">
        <v>43514</v>
      </c>
      <c r="D232" s="6" t="s">
        <v>300</v>
      </c>
      <c r="E232" s="7" t="s">
        <v>952</v>
      </c>
      <c r="F232" s="8" t="s">
        <v>954</v>
      </c>
      <c r="G232" s="66">
        <v>1</v>
      </c>
      <c r="H232" s="30">
        <v>-200</v>
      </c>
      <c r="I232" s="10" t="s">
        <v>37</v>
      </c>
      <c r="J23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1.5</v>
      </c>
      <c r="K23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232" s="71">
        <f t="shared" si="10"/>
        <v>0</v>
      </c>
      <c r="M232" s="71">
        <f t="shared" si="9"/>
        <v>0</v>
      </c>
      <c r="N232" s="71" t="str">
        <f>IFERROR(VLOOKUP(M232,NCAA_Bets[[Date]:[Version]],2,0),"")</f>
        <v/>
      </c>
      <c r="O232" s="94" t="str">
        <f>COUNTIFS(NCAA_Bets[Date],M232,NCAA_Bets[Result],"W")&amp;"-"&amp;COUNTIFS(NCAA_Bets[Date],M232,NCAA_Bets[Result],"L")&amp;IF(COUNTIFS(NCAA_Bets[Date],M232,NCAA_Bets[Result],"Push")&gt;0,"-"&amp;COUNTIFS(NCAA_Bets[Date],M232,NCAA_Bets[Result],"Push"),"")</f>
        <v>0-0</v>
      </c>
      <c r="P232" s="90">
        <f>SUMIF(NCAA_Bets[Date],M232,NCAA_Bets[Winnings])-SUMIF(NCAA_Bets[Date],M232,NCAA_Bets[Risk])</f>
        <v>0</v>
      </c>
    </row>
    <row r="233" spans="2:16" x14ac:dyDescent="0.25">
      <c r="B233" s="101">
        <f t="shared" si="8"/>
        <v>18</v>
      </c>
      <c r="C233" s="6">
        <v>43514</v>
      </c>
      <c r="D233" s="6" t="s">
        <v>300</v>
      </c>
      <c r="E233" s="7" t="s">
        <v>955</v>
      </c>
      <c r="F233" s="8" t="s">
        <v>956</v>
      </c>
      <c r="G233" s="66">
        <v>1</v>
      </c>
      <c r="H233" s="30">
        <v>-115</v>
      </c>
      <c r="I233" s="10" t="s">
        <v>7</v>
      </c>
      <c r="J23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3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33" s="71">
        <f t="shared" si="10"/>
        <v>0</v>
      </c>
      <c r="M233" s="71">
        <f t="shared" si="9"/>
        <v>0</v>
      </c>
      <c r="N233" s="71" t="str">
        <f>IFERROR(VLOOKUP(M233,NCAA_Bets[[Date]:[Version]],2,0),"")</f>
        <v/>
      </c>
      <c r="O233" s="94" t="str">
        <f>COUNTIFS(NCAA_Bets[Date],M233,NCAA_Bets[Result],"W")&amp;"-"&amp;COUNTIFS(NCAA_Bets[Date],M233,NCAA_Bets[Result],"L")&amp;IF(COUNTIFS(NCAA_Bets[Date],M233,NCAA_Bets[Result],"Push")&gt;0,"-"&amp;COUNTIFS(NCAA_Bets[Date],M233,NCAA_Bets[Result],"Push"),"")</f>
        <v>0-0</v>
      </c>
      <c r="P233" s="90">
        <f>SUMIF(NCAA_Bets[Date],M233,NCAA_Bets[Winnings])-SUMIF(NCAA_Bets[Date],M233,NCAA_Bets[Risk])</f>
        <v>0</v>
      </c>
    </row>
    <row r="234" spans="2:16" x14ac:dyDescent="0.25">
      <c r="B234" s="101">
        <f t="shared" si="8"/>
        <v>18</v>
      </c>
      <c r="C234" s="6">
        <v>43514</v>
      </c>
      <c r="D234" s="6" t="s">
        <v>300</v>
      </c>
      <c r="E234" s="7" t="s">
        <v>955</v>
      </c>
      <c r="F234" s="8" t="s">
        <v>521</v>
      </c>
      <c r="G234" s="66">
        <v>1</v>
      </c>
      <c r="H234" s="30">
        <v>-105</v>
      </c>
      <c r="I234" s="10" t="s">
        <v>7</v>
      </c>
      <c r="J23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3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34" s="71">
        <f t="shared" si="10"/>
        <v>0</v>
      </c>
      <c r="M234" s="71">
        <f t="shared" si="9"/>
        <v>0</v>
      </c>
      <c r="N234" s="71" t="str">
        <f>IFERROR(VLOOKUP(M234,NCAA_Bets[[Date]:[Version]],2,0),"")</f>
        <v/>
      </c>
      <c r="O234" s="94" t="str">
        <f>COUNTIFS(NCAA_Bets[Date],M234,NCAA_Bets[Result],"W")&amp;"-"&amp;COUNTIFS(NCAA_Bets[Date],M234,NCAA_Bets[Result],"L")&amp;IF(COUNTIFS(NCAA_Bets[Date],M234,NCAA_Bets[Result],"Push")&gt;0,"-"&amp;COUNTIFS(NCAA_Bets[Date],M234,NCAA_Bets[Result],"Push"),"")</f>
        <v>0-0</v>
      </c>
      <c r="P234" s="90">
        <f>SUMIF(NCAA_Bets[Date],M234,NCAA_Bets[Winnings])-SUMIF(NCAA_Bets[Date],M234,NCAA_Bets[Risk])</f>
        <v>0</v>
      </c>
    </row>
    <row r="235" spans="2:16" x14ac:dyDescent="0.25">
      <c r="B235" s="101">
        <f t="shared" si="8"/>
        <v>19</v>
      </c>
      <c r="C235" s="6">
        <v>43515</v>
      </c>
      <c r="D235" s="6" t="s">
        <v>300</v>
      </c>
      <c r="E235" s="7" t="s">
        <v>959</v>
      </c>
      <c r="F235" s="8" t="s">
        <v>960</v>
      </c>
      <c r="G235" s="66">
        <v>2</v>
      </c>
      <c r="H235" s="30">
        <v>-110</v>
      </c>
      <c r="I235" s="10" t="s">
        <v>37</v>
      </c>
      <c r="J23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3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35" s="71">
        <f t="shared" si="10"/>
        <v>0</v>
      </c>
      <c r="M235" s="71">
        <f t="shared" si="9"/>
        <v>0</v>
      </c>
      <c r="N235" s="71" t="str">
        <f>IFERROR(VLOOKUP(M235,NCAA_Bets[[Date]:[Version]],2,0),"")</f>
        <v/>
      </c>
      <c r="O235" s="94" t="str">
        <f>COUNTIFS(NCAA_Bets[Date],M235,NCAA_Bets[Result],"W")&amp;"-"&amp;COUNTIFS(NCAA_Bets[Date],M235,NCAA_Bets[Result],"L")&amp;IF(COUNTIFS(NCAA_Bets[Date],M235,NCAA_Bets[Result],"Push")&gt;0,"-"&amp;COUNTIFS(NCAA_Bets[Date],M235,NCAA_Bets[Result],"Push"),"")</f>
        <v>0-0</v>
      </c>
      <c r="P235" s="90">
        <f>SUMIF(NCAA_Bets[Date],M235,NCAA_Bets[Winnings])-SUMIF(NCAA_Bets[Date],M235,NCAA_Bets[Risk])</f>
        <v>0</v>
      </c>
    </row>
    <row r="236" spans="2:16" x14ac:dyDescent="0.25">
      <c r="B236" s="101">
        <f t="shared" si="8"/>
        <v>19</v>
      </c>
      <c r="C236" s="6">
        <v>43515</v>
      </c>
      <c r="D236" s="6" t="s">
        <v>300</v>
      </c>
      <c r="E236" s="7" t="s">
        <v>959</v>
      </c>
      <c r="F236" s="8" t="s">
        <v>519</v>
      </c>
      <c r="G236" s="66">
        <v>2</v>
      </c>
      <c r="H236" s="30">
        <v>-110</v>
      </c>
      <c r="I236" s="10" t="s">
        <v>37</v>
      </c>
      <c r="J23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3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36" s="71">
        <f t="shared" si="10"/>
        <v>0</v>
      </c>
      <c r="M236" s="71">
        <f t="shared" si="9"/>
        <v>0</v>
      </c>
      <c r="N236" s="71" t="str">
        <f>IFERROR(VLOOKUP(M236,NCAA_Bets[[Date]:[Version]],2,0),"")</f>
        <v/>
      </c>
      <c r="O236" s="94" t="str">
        <f>COUNTIFS(NCAA_Bets[Date],M236,NCAA_Bets[Result],"W")&amp;"-"&amp;COUNTIFS(NCAA_Bets[Date],M236,NCAA_Bets[Result],"L")&amp;IF(COUNTIFS(NCAA_Bets[Date],M236,NCAA_Bets[Result],"Push")&gt;0,"-"&amp;COUNTIFS(NCAA_Bets[Date],M236,NCAA_Bets[Result],"Push"),"")</f>
        <v>0-0</v>
      </c>
      <c r="P236" s="90">
        <f>SUMIF(NCAA_Bets[Date],M236,NCAA_Bets[Winnings])-SUMIF(NCAA_Bets[Date],M236,NCAA_Bets[Risk])</f>
        <v>0</v>
      </c>
    </row>
    <row r="237" spans="2:16" x14ac:dyDescent="0.25">
      <c r="B237" s="101">
        <f t="shared" si="8"/>
        <v>19</v>
      </c>
      <c r="C237" s="6">
        <v>43515</v>
      </c>
      <c r="D237" s="6" t="s">
        <v>300</v>
      </c>
      <c r="E237" s="7" t="s">
        <v>961</v>
      </c>
      <c r="F237" s="8" t="s">
        <v>858</v>
      </c>
      <c r="G237" s="66">
        <v>2</v>
      </c>
      <c r="H237" s="30">
        <v>-110</v>
      </c>
      <c r="I237" s="10" t="s">
        <v>37</v>
      </c>
      <c r="J23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3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37" s="71">
        <f t="shared" si="10"/>
        <v>0</v>
      </c>
      <c r="M237" s="71">
        <f t="shared" si="9"/>
        <v>0</v>
      </c>
      <c r="N237" s="71" t="str">
        <f>IFERROR(VLOOKUP(M237,NCAA_Bets[[Date]:[Version]],2,0),"")</f>
        <v/>
      </c>
      <c r="O237" s="94" t="str">
        <f>COUNTIFS(NCAA_Bets[Date],M237,NCAA_Bets[Result],"W")&amp;"-"&amp;COUNTIFS(NCAA_Bets[Date],M237,NCAA_Bets[Result],"L")&amp;IF(COUNTIFS(NCAA_Bets[Date],M237,NCAA_Bets[Result],"Push")&gt;0,"-"&amp;COUNTIFS(NCAA_Bets[Date],M237,NCAA_Bets[Result],"Push"),"")</f>
        <v>0-0</v>
      </c>
      <c r="P237" s="90">
        <f>SUMIF(NCAA_Bets[Date],M237,NCAA_Bets[Winnings])-SUMIF(NCAA_Bets[Date],M237,NCAA_Bets[Risk])</f>
        <v>0</v>
      </c>
    </row>
    <row r="238" spans="2:16" x14ac:dyDescent="0.25">
      <c r="B238" s="101">
        <f t="shared" si="8"/>
        <v>19</v>
      </c>
      <c r="C238" s="6">
        <v>43515</v>
      </c>
      <c r="D238" s="6" t="s">
        <v>300</v>
      </c>
      <c r="E238" s="7" t="s">
        <v>962</v>
      </c>
      <c r="F238" s="8" t="s">
        <v>963</v>
      </c>
      <c r="G238" s="66">
        <v>2</v>
      </c>
      <c r="H238" s="30">
        <v>-115</v>
      </c>
      <c r="I238" s="10" t="s">
        <v>7</v>
      </c>
      <c r="J23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3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38" s="71">
        <f t="shared" si="10"/>
        <v>0</v>
      </c>
      <c r="M238" s="71">
        <f t="shared" si="9"/>
        <v>0</v>
      </c>
      <c r="N238" s="71" t="str">
        <f>IFERROR(VLOOKUP(M238,NCAA_Bets[[Date]:[Version]],2,0),"")</f>
        <v/>
      </c>
      <c r="O238" s="94" t="str">
        <f>COUNTIFS(NCAA_Bets[Date],M238,NCAA_Bets[Result],"W")&amp;"-"&amp;COUNTIFS(NCAA_Bets[Date],M238,NCAA_Bets[Result],"L")&amp;IF(COUNTIFS(NCAA_Bets[Date],M238,NCAA_Bets[Result],"Push")&gt;0,"-"&amp;COUNTIFS(NCAA_Bets[Date],M238,NCAA_Bets[Result],"Push"),"")</f>
        <v>0-0</v>
      </c>
      <c r="P238" s="90">
        <f>SUMIF(NCAA_Bets[Date],M238,NCAA_Bets[Winnings])-SUMIF(NCAA_Bets[Date],M238,NCAA_Bets[Risk])</f>
        <v>0</v>
      </c>
    </row>
    <row r="239" spans="2:16" x14ac:dyDescent="0.25">
      <c r="B239" s="101">
        <f t="shared" si="8"/>
        <v>19</v>
      </c>
      <c r="C239" s="6">
        <v>43515</v>
      </c>
      <c r="D239" s="6" t="s">
        <v>300</v>
      </c>
      <c r="E239" s="7" t="s">
        <v>962</v>
      </c>
      <c r="F239" s="8" t="s">
        <v>893</v>
      </c>
      <c r="G239" s="66">
        <v>2</v>
      </c>
      <c r="H239" s="30">
        <v>-105</v>
      </c>
      <c r="I239" s="10" t="s">
        <v>7</v>
      </c>
      <c r="J23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3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39" s="71">
        <f t="shared" si="10"/>
        <v>0</v>
      </c>
      <c r="M239" s="71">
        <f t="shared" si="9"/>
        <v>0</v>
      </c>
      <c r="N239" s="71" t="str">
        <f>IFERROR(VLOOKUP(M239,NCAA_Bets[[Date]:[Version]],2,0),"")</f>
        <v/>
      </c>
      <c r="O239" s="94" t="str">
        <f>COUNTIFS(NCAA_Bets[Date],M239,NCAA_Bets[Result],"W")&amp;"-"&amp;COUNTIFS(NCAA_Bets[Date],M239,NCAA_Bets[Result],"L")&amp;IF(COUNTIFS(NCAA_Bets[Date],M239,NCAA_Bets[Result],"Push")&gt;0,"-"&amp;COUNTIFS(NCAA_Bets[Date],M239,NCAA_Bets[Result],"Push"),"")</f>
        <v>0-0</v>
      </c>
      <c r="P239" s="90">
        <f>SUMIF(NCAA_Bets[Date],M239,NCAA_Bets[Winnings])-SUMIF(NCAA_Bets[Date],M239,NCAA_Bets[Risk])</f>
        <v>0</v>
      </c>
    </row>
    <row r="240" spans="2:16" x14ac:dyDescent="0.25">
      <c r="B240" s="101">
        <f t="shared" si="8"/>
        <v>19</v>
      </c>
      <c r="C240" s="6">
        <v>43515</v>
      </c>
      <c r="D240" s="6" t="s">
        <v>300</v>
      </c>
      <c r="E240" s="7" t="s">
        <v>964</v>
      </c>
      <c r="F240" s="8" t="s">
        <v>645</v>
      </c>
      <c r="G240" s="66">
        <v>2</v>
      </c>
      <c r="H240" s="30">
        <v>-105</v>
      </c>
      <c r="I240" s="10" t="s">
        <v>37</v>
      </c>
      <c r="J24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24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40" s="71">
        <f t="shared" si="10"/>
        <v>0</v>
      </c>
      <c r="M240" s="71">
        <f t="shared" si="9"/>
        <v>0</v>
      </c>
      <c r="N240" s="71" t="str">
        <f>IFERROR(VLOOKUP(M240,NCAA_Bets[[Date]:[Version]],2,0),"")</f>
        <v/>
      </c>
      <c r="O240" s="94" t="str">
        <f>COUNTIFS(NCAA_Bets[Date],M240,NCAA_Bets[Result],"W")&amp;"-"&amp;COUNTIFS(NCAA_Bets[Date],M240,NCAA_Bets[Result],"L")&amp;IF(COUNTIFS(NCAA_Bets[Date],M240,NCAA_Bets[Result],"Push")&gt;0,"-"&amp;COUNTIFS(NCAA_Bets[Date],M240,NCAA_Bets[Result],"Push"),"")</f>
        <v>0-0</v>
      </c>
      <c r="P240" s="90">
        <f>SUMIF(NCAA_Bets[Date],M240,NCAA_Bets[Winnings])-SUMIF(NCAA_Bets[Date],M240,NCAA_Bets[Risk])</f>
        <v>0</v>
      </c>
    </row>
    <row r="241" spans="2:16" x14ac:dyDescent="0.25">
      <c r="B241" s="101">
        <f t="shared" si="8"/>
        <v>19</v>
      </c>
      <c r="C241" s="6">
        <v>43515</v>
      </c>
      <c r="D241" s="6" t="s">
        <v>300</v>
      </c>
      <c r="E241" s="7" t="s">
        <v>964</v>
      </c>
      <c r="F241" s="8" t="s">
        <v>965</v>
      </c>
      <c r="G241" s="66">
        <v>2</v>
      </c>
      <c r="H241" s="30">
        <v>-180</v>
      </c>
      <c r="I241" s="10" t="s">
        <v>37</v>
      </c>
      <c r="J24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3.1111111111111112</v>
      </c>
      <c r="K24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241" s="71">
        <f t="shared" si="10"/>
        <v>0</v>
      </c>
      <c r="M241" s="71">
        <f t="shared" si="9"/>
        <v>0</v>
      </c>
      <c r="N241" s="71" t="str">
        <f>IFERROR(VLOOKUP(M241,NCAA_Bets[[Date]:[Version]],2,0),"")</f>
        <v/>
      </c>
      <c r="O241" s="94" t="str">
        <f>COUNTIFS(NCAA_Bets[Date],M241,NCAA_Bets[Result],"W")&amp;"-"&amp;COUNTIFS(NCAA_Bets[Date],M241,NCAA_Bets[Result],"L")&amp;IF(COUNTIFS(NCAA_Bets[Date],M241,NCAA_Bets[Result],"Push")&gt;0,"-"&amp;COUNTIFS(NCAA_Bets[Date],M241,NCAA_Bets[Result],"Push"),"")</f>
        <v>0-0</v>
      </c>
      <c r="P241" s="90">
        <f>SUMIF(NCAA_Bets[Date],M241,NCAA_Bets[Winnings])-SUMIF(NCAA_Bets[Date],M241,NCAA_Bets[Risk])</f>
        <v>0</v>
      </c>
    </row>
    <row r="242" spans="2:16" x14ac:dyDescent="0.25">
      <c r="B242" s="101">
        <f t="shared" si="8"/>
        <v>19</v>
      </c>
      <c r="C242" s="6">
        <v>43515</v>
      </c>
      <c r="D242" s="6" t="s">
        <v>300</v>
      </c>
      <c r="E242" s="7" t="s">
        <v>964</v>
      </c>
      <c r="F242" s="8" t="s">
        <v>966</v>
      </c>
      <c r="G242" s="66">
        <v>2</v>
      </c>
      <c r="H242" s="30">
        <v>-110</v>
      </c>
      <c r="I242" s="10" t="s">
        <v>37</v>
      </c>
      <c r="J24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4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42" s="71">
        <f t="shared" si="10"/>
        <v>0</v>
      </c>
      <c r="M242" s="71">
        <f t="shared" si="9"/>
        <v>0</v>
      </c>
      <c r="N242" s="71" t="str">
        <f>IFERROR(VLOOKUP(M242,NCAA_Bets[[Date]:[Version]],2,0),"")</f>
        <v/>
      </c>
      <c r="O242" s="94" t="str">
        <f>COUNTIFS(NCAA_Bets[Date],M242,NCAA_Bets[Result],"W")&amp;"-"&amp;COUNTIFS(NCAA_Bets[Date],M242,NCAA_Bets[Result],"L")&amp;IF(COUNTIFS(NCAA_Bets[Date],M242,NCAA_Bets[Result],"Push")&gt;0,"-"&amp;COUNTIFS(NCAA_Bets[Date],M242,NCAA_Bets[Result],"Push"),"")</f>
        <v>0-0</v>
      </c>
      <c r="P242" s="90">
        <f>SUMIF(NCAA_Bets[Date],M242,NCAA_Bets[Winnings])-SUMIF(NCAA_Bets[Date],M242,NCAA_Bets[Risk])</f>
        <v>0</v>
      </c>
    </row>
    <row r="243" spans="2:16" x14ac:dyDescent="0.25">
      <c r="B243" s="101">
        <f t="shared" si="8"/>
        <v>19</v>
      </c>
      <c r="C243" s="6">
        <v>43515</v>
      </c>
      <c r="D243" s="6" t="s">
        <v>300</v>
      </c>
      <c r="E243" s="7" t="s">
        <v>967</v>
      </c>
      <c r="F243" s="8" t="s">
        <v>938</v>
      </c>
      <c r="G243" s="66">
        <v>2</v>
      </c>
      <c r="H243" s="30">
        <v>-110</v>
      </c>
      <c r="I243" s="10" t="s">
        <v>7</v>
      </c>
      <c r="J24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4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43" s="71">
        <f t="shared" si="10"/>
        <v>0</v>
      </c>
      <c r="M243" s="71">
        <f t="shared" si="9"/>
        <v>0</v>
      </c>
      <c r="N243" s="71" t="str">
        <f>IFERROR(VLOOKUP(M243,NCAA_Bets[[Date]:[Version]],2,0),"")</f>
        <v/>
      </c>
      <c r="O243" s="94" t="str">
        <f>COUNTIFS(NCAA_Bets[Date],M243,NCAA_Bets[Result],"W")&amp;"-"&amp;COUNTIFS(NCAA_Bets[Date],M243,NCAA_Bets[Result],"L")&amp;IF(COUNTIFS(NCAA_Bets[Date],M243,NCAA_Bets[Result],"Push")&gt;0,"-"&amp;COUNTIFS(NCAA_Bets[Date],M243,NCAA_Bets[Result],"Push"),"")</f>
        <v>0-0</v>
      </c>
      <c r="P243" s="90">
        <f>SUMIF(NCAA_Bets[Date],M243,NCAA_Bets[Winnings])-SUMIF(NCAA_Bets[Date],M243,NCAA_Bets[Risk])</f>
        <v>0</v>
      </c>
    </row>
    <row r="244" spans="2:16" x14ac:dyDescent="0.25">
      <c r="B244" s="101">
        <f t="shared" si="8"/>
        <v>19</v>
      </c>
      <c r="C244" s="6">
        <v>43515</v>
      </c>
      <c r="D244" s="6" t="s">
        <v>300</v>
      </c>
      <c r="E244" s="7" t="s">
        <v>967</v>
      </c>
      <c r="F244" s="8" t="s">
        <v>969</v>
      </c>
      <c r="G244" s="66">
        <v>2</v>
      </c>
      <c r="H244" s="30">
        <v>-110</v>
      </c>
      <c r="I244" s="10" t="s">
        <v>7</v>
      </c>
      <c r="J24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4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44" s="71">
        <f t="shared" si="10"/>
        <v>0</v>
      </c>
      <c r="M244" s="71">
        <f t="shared" si="9"/>
        <v>0</v>
      </c>
      <c r="N244" s="71" t="str">
        <f>IFERROR(VLOOKUP(M244,NCAA_Bets[[Date]:[Version]],2,0),"")</f>
        <v/>
      </c>
      <c r="O244" s="94" t="str">
        <f>COUNTIFS(NCAA_Bets[Date],M244,NCAA_Bets[Result],"W")&amp;"-"&amp;COUNTIFS(NCAA_Bets[Date],M244,NCAA_Bets[Result],"L")&amp;IF(COUNTIFS(NCAA_Bets[Date],M244,NCAA_Bets[Result],"Push")&gt;0,"-"&amp;COUNTIFS(NCAA_Bets[Date],M244,NCAA_Bets[Result],"Push"),"")</f>
        <v>0-0</v>
      </c>
      <c r="P244" s="90">
        <f>SUMIF(NCAA_Bets[Date],M244,NCAA_Bets[Winnings])-SUMIF(NCAA_Bets[Date],M244,NCAA_Bets[Risk])</f>
        <v>0</v>
      </c>
    </row>
    <row r="245" spans="2:16" x14ac:dyDescent="0.25">
      <c r="B245" s="101">
        <f t="shared" si="8"/>
        <v>19</v>
      </c>
      <c r="C245" s="6">
        <v>43515</v>
      </c>
      <c r="D245" s="6" t="s">
        <v>300</v>
      </c>
      <c r="E245" s="7" t="s">
        <v>968</v>
      </c>
      <c r="F245" s="8" t="s">
        <v>490</v>
      </c>
      <c r="G245" s="66">
        <v>2</v>
      </c>
      <c r="H245" s="30">
        <v>-110</v>
      </c>
      <c r="I245" s="10" t="s">
        <v>37</v>
      </c>
      <c r="J24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4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45" s="71">
        <f t="shared" si="10"/>
        <v>0</v>
      </c>
      <c r="M245" s="71">
        <f t="shared" si="9"/>
        <v>0</v>
      </c>
      <c r="N245" s="71" t="str">
        <f>IFERROR(VLOOKUP(M245,NCAA_Bets[[Date]:[Version]],2,0),"")</f>
        <v/>
      </c>
      <c r="O245" s="94" t="str">
        <f>COUNTIFS(NCAA_Bets[Date],M245,NCAA_Bets[Result],"W")&amp;"-"&amp;COUNTIFS(NCAA_Bets[Date],M245,NCAA_Bets[Result],"L")&amp;IF(COUNTIFS(NCAA_Bets[Date],M245,NCAA_Bets[Result],"Push")&gt;0,"-"&amp;COUNTIFS(NCAA_Bets[Date],M245,NCAA_Bets[Result],"Push"),"")</f>
        <v>0-0</v>
      </c>
      <c r="P245" s="90">
        <f>SUMIF(NCAA_Bets[Date],M245,NCAA_Bets[Winnings])-SUMIF(NCAA_Bets[Date],M245,NCAA_Bets[Risk])</f>
        <v>0</v>
      </c>
    </row>
    <row r="246" spans="2:16" ht="75" x14ac:dyDescent="0.25">
      <c r="B246" s="101">
        <f t="shared" si="8"/>
        <v>19</v>
      </c>
      <c r="C246" s="6">
        <v>43515</v>
      </c>
      <c r="D246" s="6" t="s">
        <v>300</v>
      </c>
      <c r="E246" s="113" t="s">
        <v>971</v>
      </c>
      <c r="F246" s="114" t="s">
        <v>970</v>
      </c>
      <c r="G246" s="66">
        <v>1</v>
      </c>
      <c r="H246" s="30">
        <v>2493</v>
      </c>
      <c r="I246" s="10" t="s">
        <v>37</v>
      </c>
      <c r="J24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25.93</v>
      </c>
      <c r="K24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P</v>
      </c>
      <c r="L246" s="71">
        <f t="shared" si="10"/>
        <v>0</v>
      </c>
      <c r="M246" s="71">
        <f t="shared" si="9"/>
        <v>0</v>
      </c>
      <c r="N246" s="71" t="str">
        <f>IFERROR(VLOOKUP(M246,NCAA_Bets[[Date]:[Version]],2,0),"")</f>
        <v/>
      </c>
      <c r="O246" s="94" t="str">
        <f>COUNTIFS(NCAA_Bets[Date],M246,NCAA_Bets[Result],"W")&amp;"-"&amp;COUNTIFS(NCAA_Bets[Date],M246,NCAA_Bets[Result],"L")&amp;IF(COUNTIFS(NCAA_Bets[Date],M246,NCAA_Bets[Result],"Push")&gt;0,"-"&amp;COUNTIFS(NCAA_Bets[Date],M246,NCAA_Bets[Result],"Push"),"")</f>
        <v>0-0</v>
      </c>
      <c r="P246" s="90">
        <f>SUMIF(NCAA_Bets[Date],M246,NCAA_Bets[Winnings])-SUMIF(NCAA_Bets[Date],M246,NCAA_Bets[Risk])</f>
        <v>0</v>
      </c>
    </row>
    <row r="247" spans="2:16" x14ac:dyDescent="0.25">
      <c r="B247" s="101">
        <f t="shared" si="8"/>
        <v>20</v>
      </c>
      <c r="C247" s="6">
        <v>43516</v>
      </c>
      <c r="D247" s="6" t="s">
        <v>300</v>
      </c>
      <c r="E247" s="7" t="s">
        <v>972</v>
      </c>
      <c r="F247" s="8" t="s">
        <v>893</v>
      </c>
      <c r="G247" s="66">
        <v>2</v>
      </c>
      <c r="H247" s="30">
        <v>-115</v>
      </c>
      <c r="I247" s="10" t="s">
        <v>37</v>
      </c>
      <c r="J24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24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47" s="71">
        <f t="shared" si="10"/>
        <v>0</v>
      </c>
      <c r="M247" s="71">
        <f t="shared" si="9"/>
        <v>0</v>
      </c>
      <c r="N247" s="71" t="str">
        <f>IFERROR(VLOOKUP(M247,NCAA_Bets[[Date]:[Version]],2,0),"")</f>
        <v/>
      </c>
      <c r="O247" s="94" t="str">
        <f>COUNTIFS(NCAA_Bets[Date],M247,NCAA_Bets[Result],"W")&amp;"-"&amp;COUNTIFS(NCAA_Bets[Date],M247,NCAA_Bets[Result],"L")&amp;IF(COUNTIFS(NCAA_Bets[Date],M247,NCAA_Bets[Result],"Push")&gt;0,"-"&amp;COUNTIFS(NCAA_Bets[Date],M247,NCAA_Bets[Result],"Push"),"")</f>
        <v>0-0</v>
      </c>
      <c r="P247" s="90">
        <f>SUMIF(NCAA_Bets[Date],M247,NCAA_Bets[Winnings])-SUMIF(NCAA_Bets[Date],M247,NCAA_Bets[Risk])</f>
        <v>0</v>
      </c>
    </row>
    <row r="248" spans="2:16" x14ac:dyDescent="0.25">
      <c r="B248" s="101">
        <f t="shared" si="8"/>
        <v>20</v>
      </c>
      <c r="C248" s="6">
        <v>43516</v>
      </c>
      <c r="D248" s="6" t="s">
        <v>300</v>
      </c>
      <c r="E248" s="7" t="s">
        <v>972</v>
      </c>
      <c r="F248" s="8" t="s">
        <v>973</v>
      </c>
      <c r="G248" s="66">
        <v>2</v>
      </c>
      <c r="H248" s="30">
        <v>-105</v>
      </c>
      <c r="I248" s="10" t="s">
        <v>37</v>
      </c>
      <c r="J24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248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48" s="71">
        <f t="shared" si="10"/>
        <v>0</v>
      </c>
      <c r="M248" s="71">
        <f t="shared" si="9"/>
        <v>0</v>
      </c>
      <c r="N248" s="71" t="str">
        <f>IFERROR(VLOOKUP(M248,NCAA_Bets[[Date]:[Version]],2,0),"")</f>
        <v/>
      </c>
      <c r="O248" s="94" t="str">
        <f>COUNTIFS(NCAA_Bets[Date],M248,NCAA_Bets[Result],"W")&amp;"-"&amp;COUNTIFS(NCAA_Bets[Date],M248,NCAA_Bets[Result],"L")&amp;IF(COUNTIFS(NCAA_Bets[Date],M248,NCAA_Bets[Result],"Push")&gt;0,"-"&amp;COUNTIFS(NCAA_Bets[Date],M248,NCAA_Bets[Result],"Push"),"")</f>
        <v>0-0</v>
      </c>
      <c r="P248" s="90">
        <f>SUMIF(NCAA_Bets[Date],M248,NCAA_Bets[Winnings])-SUMIF(NCAA_Bets[Date],M248,NCAA_Bets[Risk])</f>
        <v>0</v>
      </c>
    </row>
    <row r="249" spans="2:16" x14ac:dyDescent="0.25">
      <c r="B249" s="101">
        <f t="shared" si="8"/>
        <v>20</v>
      </c>
      <c r="C249" s="6">
        <v>43516</v>
      </c>
      <c r="D249" s="6" t="s">
        <v>300</v>
      </c>
      <c r="E249" s="7" t="s">
        <v>974</v>
      </c>
      <c r="F249" s="8" t="s">
        <v>673</v>
      </c>
      <c r="G249" s="66">
        <v>2</v>
      </c>
      <c r="H249" s="30">
        <v>-115</v>
      </c>
      <c r="I249" s="10" t="s">
        <v>7</v>
      </c>
      <c r="J24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49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49" s="71">
        <f t="shared" si="10"/>
        <v>0</v>
      </c>
      <c r="M249" s="71">
        <f t="shared" si="9"/>
        <v>0</v>
      </c>
      <c r="N249" s="71" t="str">
        <f>IFERROR(VLOOKUP(M249,NCAA_Bets[[Date]:[Version]],2,0),"")</f>
        <v/>
      </c>
      <c r="O249" s="94" t="str">
        <f>COUNTIFS(NCAA_Bets[Date],M249,NCAA_Bets[Result],"W")&amp;"-"&amp;COUNTIFS(NCAA_Bets[Date],M249,NCAA_Bets[Result],"L")&amp;IF(COUNTIFS(NCAA_Bets[Date],M249,NCAA_Bets[Result],"Push")&gt;0,"-"&amp;COUNTIFS(NCAA_Bets[Date],M249,NCAA_Bets[Result],"Push"),"")</f>
        <v>0-0</v>
      </c>
      <c r="P249" s="90">
        <f>SUMIF(NCAA_Bets[Date],M249,NCAA_Bets[Winnings])-SUMIF(NCAA_Bets[Date],M249,NCAA_Bets[Risk])</f>
        <v>0</v>
      </c>
    </row>
    <row r="250" spans="2:16" x14ac:dyDescent="0.25">
      <c r="B250" s="101">
        <f t="shared" si="8"/>
        <v>20</v>
      </c>
      <c r="C250" s="6">
        <v>43516</v>
      </c>
      <c r="D250" s="6" t="s">
        <v>300</v>
      </c>
      <c r="E250" s="7" t="s">
        <v>975</v>
      </c>
      <c r="F250" s="8" t="s">
        <v>615</v>
      </c>
      <c r="G250" s="66">
        <v>2</v>
      </c>
      <c r="H250" s="30">
        <v>-110</v>
      </c>
      <c r="I250" s="10" t="s">
        <v>37</v>
      </c>
      <c r="J25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50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50" s="71">
        <f t="shared" si="10"/>
        <v>0</v>
      </c>
      <c r="M250" s="71">
        <f t="shared" si="9"/>
        <v>0</v>
      </c>
      <c r="N250" s="71" t="str">
        <f>IFERROR(VLOOKUP(M250,NCAA_Bets[[Date]:[Version]],2,0),"")</f>
        <v/>
      </c>
      <c r="O250" s="94" t="str">
        <f>COUNTIFS(NCAA_Bets[Date],M250,NCAA_Bets[Result],"W")&amp;"-"&amp;COUNTIFS(NCAA_Bets[Date],M250,NCAA_Bets[Result],"L")&amp;IF(COUNTIFS(NCAA_Bets[Date],M250,NCAA_Bets[Result],"Push")&gt;0,"-"&amp;COUNTIFS(NCAA_Bets[Date],M250,NCAA_Bets[Result],"Push"),"")</f>
        <v>0-0</v>
      </c>
      <c r="P250" s="90">
        <f>SUMIF(NCAA_Bets[Date],M250,NCAA_Bets[Winnings])-SUMIF(NCAA_Bets[Date],M250,NCAA_Bets[Risk])</f>
        <v>0</v>
      </c>
    </row>
    <row r="251" spans="2:16" x14ac:dyDescent="0.25">
      <c r="B251" s="101">
        <f t="shared" si="8"/>
        <v>20</v>
      </c>
      <c r="C251" s="6">
        <v>43516</v>
      </c>
      <c r="D251" s="6" t="s">
        <v>300</v>
      </c>
      <c r="E251" s="7" t="s">
        <v>976</v>
      </c>
      <c r="F251" s="8" t="s">
        <v>712</v>
      </c>
      <c r="G251" s="66">
        <v>2</v>
      </c>
      <c r="H251" s="30">
        <v>-115</v>
      </c>
      <c r="I251" s="10" t="s">
        <v>7</v>
      </c>
      <c r="J25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51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51" s="71">
        <f t="shared" si="10"/>
        <v>0</v>
      </c>
      <c r="M251" s="71">
        <f t="shared" si="9"/>
        <v>0</v>
      </c>
      <c r="N251" s="71" t="str">
        <f>IFERROR(VLOOKUP(M251,NCAA_Bets[[Date]:[Version]],2,0),"")</f>
        <v/>
      </c>
      <c r="O251" s="94" t="str">
        <f>COUNTIFS(NCAA_Bets[Date],M251,NCAA_Bets[Result],"W")&amp;"-"&amp;COUNTIFS(NCAA_Bets[Date],M251,NCAA_Bets[Result],"L")&amp;IF(COUNTIFS(NCAA_Bets[Date],M251,NCAA_Bets[Result],"Push")&gt;0,"-"&amp;COUNTIFS(NCAA_Bets[Date],M251,NCAA_Bets[Result],"Push"),"")</f>
        <v>0-0</v>
      </c>
      <c r="P251" s="90">
        <f>SUMIF(NCAA_Bets[Date],M251,NCAA_Bets[Winnings])-SUMIF(NCAA_Bets[Date],M251,NCAA_Bets[Risk])</f>
        <v>0</v>
      </c>
    </row>
    <row r="252" spans="2:16" x14ac:dyDescent="0.25">
      <c r="B252" s="101">
        <f t="shared" si="8"/>
        <v>20</v>
      </c>
      <c r="C252" s="6">
        <v>43516</v>
      </c>
      <c r="D252" s="6" t="s">
        <v>300</v>
      </c>
      <c r="E252" s="7" t="s">
        <v>977</v>
      </c>
      <c r="F252" s="8" t="s">
        <v>683</v>
      </c>
      <c r="G252" s="66">
        <v>2</v>
      </c>
      <c r="H252" s="30">
        <v>-110</v>
      </c>
      <c r="I252" s="10" t="s">
        <v>37</v>
      </c>
      <c r="J25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52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52" s="71">
        <f t="shared" si="10"/>
        <v>0</v>
      </c>
      <c r="M252" s="71">
        <f t="shared" si="9"/>
        <v>0</v>
      </c>
      <c r="N252" s="71" t="str">
        <f>IFERROR(VLOOKUP(M252,NCAA_Bets[[Date]:[Version]],2,0),"")</f>
        <v/>
      </c>
      <c r="O252" s="94" t="str">
        <f>COUNTIFS(NCAA_Bets[Date],M252,NCAA_Bets[Result],"W")&amp;"-"&amp;COUNTIFS(NCAA_Bets[Date],M252,NCAA_Bets[Result],"L")&amp;IF(COUNTIFS(NCAA_Bets[Date],M252,NCAA_Bets[Result],"Push")&gt;0,"-"&amp;COUNTIFS(NCAA_Bets[Date],M252,NCAA_Bets[Result],"Push"),"")</f>
        <v>0-0</v>
      </c>
      <c r="P252" s="90">
        <f>SUMIF(NCAA_Bets[Date],M252,NCAA_Bets[Winnings])-SUMIF(NCAA_Bets[Date],M252,NCAA_Bets[Risk])</f>
        <v>0</v>
      </c>
    </row>
    <row r="253" spans="2:16" x14ac:dyDescent="0.25">
      <c r="B253" s="101">
        <f t="shared" si="8"/>
        <v>20</v>
      </c>
      <c r="C253" s="6">
        <v>43516</v>
      </c>
      <c r="D253" s="6" t="s">
        <v>300</v>
      </c>
      <c r="E253" s="7" t="s">
        <v>978</v>
      </c>
      <c r="F253" s="8" t="s">
        <v>979</v>
      </c>
      <c r="G253" s="66">
        <v>2</v>
      </c>
      <c r="H253" s="30">
        <v>-110</v>
      </c>
      <c r="I253" s="10" t="s">
        <v>7</v>
      </c>
      <c r="J25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53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53" s="71">
        <f t="shared" si="10"/>
        <v>0</v>
      </c>
      <c r="M253" s="71">
        <f t="shared" si="9"/>
        <v>0</v>
      </c>
      <c r="N253" s="71" t="str">
        <f>IFERROR(VLOOKUP(M253,NCAA_Bets[[Date]:[Version]],2,0),"")</f>
        <v/>
      </c>
      <c r="O253" s="94" t="str">
        <f>COUNTIFS(NCAA_Bets[Date],M253,NCAA_Bets[Result],"W")&amp;"-"&amp;COUNTIFS(NCAA_Bets[Date],M253,NCAA_Bets[Result],"L")&amp;IF(COUNTIFS(NCAA_Bets[Date],M253,NCAA_Bets[Result],"Push")&gt;0,"-"&amp;COUNTIFS(NCAA_Bets[Date],M253,NCAA_Bets[Result],"Push"),"")</f>
        <v>0-0</v>
      </c>
      <c r="P253" s="90">
        <f>SUMIF(NCAA_Bets[Date],M253,NCAA_Bets[Winnings])-SUMIF(NCAA_Bets[Date],M253,NCAA_Bets[Risk])</f>
        <v>0</v>
      </c>
    </row>
    <row r="254" spans="2:16" x14ac:dyDescent="0.25">
      <c r="B254" s="101">
        <f t="shared" si="8"/>
        <v>20</v>
      </c>
      <c r="C254" s="6">
        <v>43516</v>
      </c>
      <c r="D254" s="6" t="s">
        <v>300</v>
      </c>
      <c r="E254" s="7" t="s">
        <v>978</v>
      </c>
      <c r="F254" s="8" t="s">
        <v>980</v>
      </c>
      <c r="G254" s="66">
        <v>2</v>
      </c>
      <c r="H254" s="30">
        <v>-115</v>
      </c>
      <c r="I254" s="10" t="s">
        <v>37</v>
      </c>
      <c r="J25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254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54" s="71">
        <f t="shared" si="10"/>
        <v>0</v>
      </c>
      <c r="M254" s="71">
        <f t="shared" si="9"/>
        <v>0</v>
      </c>
      <c r="N254" s="71" t="str">
        <f>IFERROR(VLOOKUP(M254,NCAA_Bets[[Date]:[Version]],2,0),"")</f>
        <v/>
      </c>
      <c r="O254" s="94" t="str">
        <f>COUNTIFS(NCAA_Bets[Date],M254,NCAA_Bets[Result],"W")&amp;"-"&amp;COUNTIFS(NCAA_Bets[Date],M254,NCAA_Bets[Result],"L")&amp;IF(COUNTIFS(NCAA_Bets[Date],M254,NCAA_Bets[Result],"Push")&gt;0,"-"&amp;COUNTIFS(NCAA_Bets[Date],M254,NCAA_Bets[Result],"Push"),"")</f>
        <v>0-0</v>
      </c>
      <c r="P254" s="90">
        <f>SUMIF(NCAA_Bets[Date],M254,NCAA_Bets[Winnings])-SUMIF(NCAA_Bets[Date],M254,NCAA_Bets[Risk])</f>
        <v>0</v>
      </c>
    </row>
    <row r="255" spans="2:16" x14ac:dyDescent="0.25">
      <c r="B255" s="101">
        <f t="shared" si="8"/>
        <v>20</v>
      </c>
      <c r="C255" s="6">
        <v>43516</v>
      </c>
      <c r="D255" s="6" t="s">
        <v>300</v>
      </c>
      <c r="E255" s="7" t="s">
        <v>981</v>
      </c>
      <c r="F255" s="8" t="s">
        <v>754</v>
      </c>
      <c r="G255" s="66">
        <v>2</v>
      </c>
      <c r="H255" s="30">
        <v>-105</v>
      </c>
      <c r="I255" s="10" t="s">
        <v>37</v>
      </c>
      <c r="J25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255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55" s="71">
        <f t="shared" si="10"/>
        <v>0</v>
      </c>
      <c r="M255" s="71">
        <f t="shared" si="9"/>
        <v>0</v>
      </c>
      <c r="N255" s="71" t="str">
        <f>IFERROR(VLOOKUP(M255,NCAA_Bets[[Date]:[Version]],2,0),"")</f>
        <v/>
      </c>
      <c r="O255" s="94" t="str">
        <f>COUNTIFS(NCAA_Bets[Date],M255,NCAA_Bets[Result],"W")&amp;"-"&amp;COUNTIFS(NCAA_Bets[Date],M255,NCAA_Bets[Result],"L")&amp;IF(COUNTIFS(NCAA_Bets[Date],M255,NCAA_Bets[Result],"Push")&gt;0,"-"&amp;COUNTIFS(NCAA_Bets[Date],M255,NCAA_Bets[Result],"Push"),"")</f>
        <v>0-0</v>
      </c>
      <c r="P255" s="90">
        <f>SUMIF(NCAA_Bets[Date],M255,NCAA_Bets[Winnings])-SUMIF(NCAA_Bets[Date],M255,NCAA_Bets[Risk])</f>
        <v>0</v>
      </c>
    </row>
    <row r="256" spans="2:16" x14ac:dyDescent="0.25">
      <c r="B256" s="101">
        <f t="shared" si="8"/>
        <v>20</v>
      </c>
      <c r="C256" s="6">
        <v>43516</v>
      </c>
      <c r="D256" s="6" t="s">
        <v>300</v>
      </c>
      <c r="E256" s="7" t="s">
        <v>981</v>
      </c>
      <c r="F256" s="8" t="s">
        <v>982</v>
      </c>
      <c r="G256" s="66">
        <v>2</v>
      </c>
      <c r="H256" s="30">
        <v>-110</v>
      </c>
      <c r="I256" s="10" t="s">
        <v>37</v>
      </c>
      <c r="J25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56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56" s="71">
        <f t="shared" si="10"/>
        <v>0</v>
      </c>
      <c r="M256" s="71">
        <f t="shared" si="9"/>
        <v>0</v>
      </c>
      <c r="N256" s="71" t="str">
        <f>IFERROR(VLOOKUP(M256,NCAA_Bets[[Date]:[Version]],2,0),"")</f>
        <v/>
      </c>
      <c r="O256" s="94" t="str">
        <f>COUNTIFS(NCAA_Bets[Date],M256,NCAA_Bets[Result],"W")&amp;"-"&amp;COUNTIFS(NCAA_Bets[Date],M256,NCAA_Bets[Result],"L")&amp;IF(COUNTIFS(NCAA_Bets[Date],M256,NCAA_Bets[Result],"Push")&gt;0,"-"&amp;COUNTIFS(NCAA_Bets[Date],M256,NCAA_Bets[Result],"Push"),"")</f>
        <v>0-0</v>
      </c>
      <c r="P256" s="90">
        <f>SUMIF(NCAA_Bets[Date],M256,NCAA_Bets[Winnings])-SUMIF(NCAA_Bets[Date],M256,NCAA_Bets[Risk])</f>
        <v>0</v>
      </c>
    </row>
    <row r="257" spans="2:16" ht="90" x14ac:dyDescent="0.25">
      <c r="B257" s="101">
        <f t="shared" si="8"/>
        <v>20</v>
      </c>
      <c r="C257" s="6">
        <v>43516</v>
      </c>
      <c r="D257" s="6" t="s">
        <v>300</v>
      </c>
      <c r="E257" s="113" t="s">
        <v>983</v>
      </c>
      <c r="F257" s="114" t="s">
        <v>984</v>
      </c>
      <c r="G257" s="66">
        <v>2</v>
      </c>
      <c r="H257" s="30">
        <v>4756</v>
      </c>
      <c r="I257" s="10" t="s">
        <v>7</v>
      </c>
      <c r="J25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57" s="109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P</v>
      </c>
      <c r="L257" s="71">
        <f t="shared" si="10"/>
        <v>0</v>
      </c>
      <c r="M257" s="71">
        <f t="shared" si="9"/>
        <v>0</v>
      </c>
      <c r="N257" s="71" t="str">
        <f>IFERROR(VLOOKUP(M257,NCAA_Bets[[Date]:[Version]],2,0),"")</f>
        <v/>
      </c>
      <c r="O257" s="94" t="str">
        <f>COUNTIFS(NCAA_Bets[Date],M257,NCAA_Bets[Result],"W")&amp;"-"&amp;COUNTIFS(NCAA_Bets[Date],M257,NCAA_Bets[Result],"L")&amp;IF(COUNTIFS(NCAA_Bets[Date],M257,NCAA_Bets[Result],"Push")&gt;0,"-"&amp;COUNTIFS(NCAA_Bets[Date],M257,NCAA_Bets[Result],"Push"),"")</f>
        <v>0-0</v>
      </c>
      <c r="P257" s="90">
        <f>SUMIF(NCAA_Bets[Date],M257,NCAA_Bets[Winnings])-SUMIF(NCAA_Bets[Date],M257,NCAA_Bets[Risk])</f>
        <v>0</v>
      </c>
    </row>
    <row r="258" spans="2:16" x14ac:dyDescent="0.25">
      <c r="B258" s="101">
        <f t="shared" si="8"/>
        <v>21</v>
      </c>
      <c r="C258" s="6">
        <v>43517</v>
      </c>
      <c r="D258" s="6" t="s">
        <v>300</v>
      </c>
      <c r="E258" s="7" t="s">
        <v>990</v>
      </c>
      <c r="F258" s="8" t="s">
        <v>991</v>
      </c>
      <c r="G258" s="66">
        <v>2</v>
      </c>
      <c r="H258" s="30">
        <v>-115</v>
      </c>
      <c r="I258" s="10" t="s">
        <v>7</v>
      </c>
      <c r="J25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58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58" s="71">
        <f t="shared" si="10"/>
        <v>0</v>
      </c>
      <c r="M258" s="71">
        <f t="shared" si="9"/>
        <v>0</v>
      </c>
      <c r="N258" s="71" t="str">
        <f>IFERROR(VLOOKUP(M258,NCAA_Bets[[Date]:[Version]],2,0),"")</f>
        <v/>
      </c>
      <c r="O258" s="94" t="str">
        <f>COUNTIFS(NCAA_Bets[Date],M258,NCAA_Bets[Result],"W")&amp;"-"&amp;COUNTIFS(NCAA_Bets[Date],M258,NCAA_Bets[Result],"L")&amp;IF(COUNTIFS(NCAA_Bets[Date],M258,NCAA_Bets[Result],"Push")&gt;0,"-"&amp;COUNTIFS(NCAA_Bets[Date],M258,NCAA_Bets[Result],"Push"),"")</f>
        <v>0-0</v>
      </c>
      <c r="P258" s="90">
        <f>SUMIF(NCAA_Bets[Date],M258,NCAA_Bets[Winnings])-SUMIF(NCAA_Bets[Date],M258,NCAA_Bets[Risk])</f>
        <v>0</v>
      </c>
    </row>
    <row r="259" spans="2:16" x14ac:dyDescent="0.25">
      <c r="B259" s="101">
        <f t="shared" si="8"/>
        <v>21</v>
      </c>
      <c r="C259" s="6">
        <v>43517</v>
      </c>
      <c r="D259" s="6" t="s">
        <v>300</v>
      </c>
      <c r="E259" s="7" t="s">
        <v>992</v>
      </c>
      <c r="F259" s="8" t="s">
        <v>993</v>
      </c>
      <c r="G259" s="66">
        <v>2</v>
      </c>
      <c r="H259" s="30">
        <v>-110</v>
      </c>
      <c r="I259" s="10" t="s">
        <v>37</v>
      </c>
      <c r="J25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59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59" s="71">
        <f t="shared" si="10"/>
        <v>0</v>
      </c>
      <c r="M259" s="71">
        <f t="shared" si="9"/>
        <v>0</v>
      </c>
      <c r="N259" s="71" t="str">
        <f>IFERROR(VLOOKUP(M259,NCAA_Bets[[Date]:[Version]],2,0),"")</f>
        <v/>
      </c>
      <c r="O259" s="94" t="str">
        <f>COUNTIFS(NCAA_Bets[Date],M259,NCAA_Bets[Result],"W")&amp;"-"&amp;COUNTIFS(NCAA_Bets[Date],M259,NCAA_Bets[Result],"L")&amp;IF(COUNTIFS(NCAA_Bets[Date],M259,NCAA_Bets[Result],"Push")&gt;0,"-"&amp;COUNTIFS(NCAA_Bets[Date],M259,NCAA_Bets[Result],"Push"),"")</f>
        <v>0-0</v>
      </c>
      <c r="P259" s="90">
        <f>SUMIF(NCAA_Bets[Date],M259,NCAA_Bets[Winnings])-SUMIF(NCAA_Bets[Date],M259,NCAA_Bets[Risk])</f>
        <v>0</v>
      </c>
    </row>
    <row r="260" spans="2:16" x14ac:dyDescent="0.25">
      <c r="B260" s="101">
        <f t="shared" si="8"/>
        <v>21</v>
      </c>
      <c r="C260" s="6">
        <v>43517</v>
      </c>
      <c r="D260" s="6" t="s">
        <v>300</v>
      </c>
      <c r="E260" s="7" t="s">
        <v>992</v>
      </c>
      <c r="F260" s="8" t="s">
        <v>627</v>
      </c>
      <c r="G260" s="66">
        <v>2</v>
      </c>
      <c r="H260" s="30">
        <v>-105</v>
      </c>
      <c r="I260" s="10" t="s">
        <v>7</v>
      </c>
      <c r="J26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60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60" s="71">
        <f t="shared" si="10"/>
        <v>0</v>
      </c>
      <c r="M260" s="71">
        <f t="shared" si="9"/>
        <v>0</v>
      </c>
      <c r="N260" s="71" t="str">
        <f>IFERROR(VLOOKUP(M260,NCAA_Bets[[Date]:[Version]],2,0),"")</f>
        <v/>
      </c>
      <c r="O260" s="94" t="str">
        <f>COUNTIFS(NCAA_Bets[Date],M260,NCAA_Bets[Result],"W")&amp;"-"&amp;COUNTIFS(NCAA_Bets[Date],M260,NCAA_Bets[Result],"L")&amp;IF(COUNTIFS(NCAA_Bets[Date],M260,NCAA_Bets[Result],"Push")&gt;0,"-"&amp;COUNTIFS(NCAA_Bets[Date],M260,NCAA_Bets[Result],"Push"),"")</f>
        <v>0-0</v>
      </c>
      <c r="P260" s="90">
        <f>SUMIF(NCAA_Bets[Date],M260,NCAA_Bets[Winnings])-SUMIF(NCAA_Bets[Date],M260,NCAA_Bets[Risk])</f>
        <v>0</v>
      </c>
    </row>
    <row r="261" spans="2:16" x14ac:dyDescent="0.25">
      <c r="B261" s="101">
        <f t="shared" si="8"/>
        <v>21</v>
      </c>
      <c r="C261" s="6">
        <v>43517</v>
      </c>
      <c r="D261" s="6" t="s">
        <v>300</v>
      </c>
      <c r="E261" s="7" t="s">
        <v>994</v>
      </c>
      <c r="F261" s="8" t="s">
        <v>938</v>
      </c>
      <c r="G261" s="66">
        <v>2</v>
      </c>
      <c r="H261" s="30">
        <v>-105</v>
      </c>
      <c r="I261" s="10" t="s">
        <v>7</v>
      </c>
      <c r="J26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61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61" s="71">
        <f t="shared" si="10"/>
        <v>0</v>
      </c>
      <c r="M261" s="71">
        <f t="shared" si="9"/>
        <v>0</v>
      </c>
      <c r="N261" s="71" t="str">
        <f>IFERROR(VLOOKUP(M261,NCAA_Bets[[Date]:[Version]],2,0),"")</f>
        <v/>
      </c>
      <c r="O261" s="94" t="str">
        <f>COUNTIFS(NCAA_Bets[Date],M261,NCAA_Bets[Result],"W")&amp;"-"&amp;COUNTIFS(NCAA_Bets[Date],M261,NCAA_Bets[Result],"L")&amp;IF(COUNTIFS(NCAA_Bets[Date],M261,NCAA_Bets[Result],"Push")&gt;0,"-"&amp;COUNTIFS(NCAA_Bets[Date],M261,NCAA_Bets[Result],"Push"),"")</f>
        <v>0-0</v>
      </c>
      <c r="P261" s="90">
        <f>SUMIF(NCAA_Bets[Date],M261,NCAA_Bets[Winnings])-SUMIF(NCAA_Bets[Date],M261,NCAA_Bets[Risk])</f>
        <v>0</v>
      </c>
    </row>
    <row r="262" spans="2:16" x14ac:dyDescent="0.25">
      <c r="B262" s="101">
        <f t="shared" ref="B262:B325" si="11">IF(C262=C261,B261,B261+1)</f>
        <v>21</v>
      </c>
      <c r="C262" s="6">
        <v>43517</v>
      </c>
      <c r="D262" s="6" t="s">
        <v>300</v>
      </c>
      <c r="E262" s="7" t="s">
        <v>994</v>
      </c>
      <c r="F262" s="8" t="s">
        <v>995</v>
      </c>
      <c r="G262" s="66">
        <v>2</v>
      </c>
      <c r="H262" s="30">
        <v>-110</v>
      </c>
      <c r="I262" s="10" t="s">
        <v>37</v>
      </c>
      <c r="J26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62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62" s="71">
        <f t="shared" si="10"/>
        <v>0</v>
      </c>
      <c r="M262" s="71">
        <f t="shared" si="9"/>
        <v>0</v>
      </c>
      <c r="N262" s="71" t="str">
        <f>IFERROR(VLOOKUP(M262,NCAA_Bets[[Date]:[Version]],2,0),"")</f>
        <v/>
      </c>
      <c r="O262" s="94" t="str">
        <f>COUNTIFS(NCAA_Bets[Date],M262,NCAA_Bets[Result],"W")&amp;"-"&amp;COUNTIFS(NCAA_Bets[Date],M262,NCAA_Bets[Result],"L")&amp;IF(COUNTIFS(NCAA_Bets[Date],M262,NCAA_Bets[Result],"Push")&gt;0,"-"&amp;COUNTIFS(NCAA_Bets[Date],M262,NCAA_Bets[Result],"Push"),"")</f>
        <v>0-0</v>
      </c>
      <c r="P262" s="90">
        <f>SUMIF(NCAA_Bets[Date],M262,NCAA_Bets[Winnings])-SUMIF(NCAA_Bets[Date],M262,NCAA_Bets[Risk])</f>
        <v>0</v>
      </c>
    </row>
    <row r="263" spans="2:16" x14ac:dyDescent="0.25">
      <c r="B263" s="101">
        <f t="shared" si="11"/>
        <v>21</v>
      </c>
      <c r="C263" s="6">
        <v>43517</v>
      </c>
      <c r="D263" s="6" t="s">
        <v>300</v>
      </c>
      <c r="E263" s="7" t="s">
        <v>996</v>
      </c>
      <c r="F263" s="8" t="s">
        <v>997</v>
      </c>
      <c r="G263" s="66">
        <v>2</v>
      </c>
      <c r="H263" s="30">
        <v>-110</v>
      </c>
      <c r="I263" s="10" t="s">
        <v>7</v>
      </c>
      <c r="J26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63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63" s="71">
        <f t="shared" si="10"/>
        <v>0</v>
      </c>
      <c r="M263" s="71">
        <f t="shared" si="9"/>
        <v>0</v>
      </c>
      <c r="N263" s="71" t="str">
        <f>IFERROR(VLOOKUP(M263,NCAA_Bets[[Date]:[Version]],2,0),"")</f>
        <v/>
      </c>
      <c r="O263" s="94" t="str">
        <f>COUNTIFS(NCAA_Bets[Date],M263,NCAA_Bets[Result],"W")&amp;"-"&amp;COUNTIFS(NCAA_Bets[Date],M263,NCAA_Bets[Result],"L")&amp;IF(COUNTIFS(NCAA_Bets[Date],M263,NCAA_Bets[Result],"Push")&gt;0,"-"&amp;COUNTIFS(NCAA_Bets[Date],M263,NCAA_Bets[Result],"Push"),"")</f>
        <v>0-0</v>
      </c>
      <c r="P263" s="90">
        <f>SUMIF(NCAA_Bets[Date],M263,NCAA_Bets[Winnings])-SUMIF(NCAA_Bets[Date],M263,NCAA_Bets[Risk])</f>
        <v>0</v>
      </c>
    </row>
    <row r="264" spans="2:16" x14ac:dyDescent="0.25">
      <c r="B264" s="101">
        <f t="shared" si="11"/>
        <v>21</v>
      </c>
      <c r="C264" s="6">
        <v>43517</v>
      </c>
      <c r="D264" s="6" t="s">
        <v>300</v>
      </c>
      <c r="E264" s="7" t="s">
        <v>996</v>
      </c>
      <c r="F264" s="8" t="s">
        <v>645</v>
      </c>
      <c r="G264" s="66">
        <v>2</v>
      </c>
      <c r="H264" s="30">
        <v>-110</v>
      </c>
      <c r="I264" s="10" t="s">
        <v>7</v>
      </c>
      <c r="J26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64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64" s="71">
        <f t="shared" si="10"/>
        <v>0</v>
      </c>
      <c r="M264" s="71">
        <f t="shared" si="9"/>
        <v>0</v>
      </c>
      <c r="N264" s="71" t="str">
        <f>IFERROR(VLOOKUP(M264,NCAA_Bets[[Date]:[Version]],2,0),"")</f>
        <v/>
      </c>
      <c r="O264" s="94" t="str">
        <f>COUNTIFS(NCAA_Bets[Date],M264,NCAA_Bets[Result],"W")&amp;"-"&amp;COUNTIFS(NCAA_Bets[Date],M264,NCAA_Bets[Result],"L")&amp;IF(COUNTIFS(NCAA_Bets[Date],M264,NCAA_Bets[Result],"Push")&gt;0,"-"&amp;COUNTIFS(NCAA_Bets[Date],M264,NCAA_Bets[Result],"Push"),"")</f>
        <v>0-0</v>
      </c>
      <c r="P264" s="90">
        <f>SUMIF(NCAA_Bets[Date],M264,NCAA_Bets[Winnings])-SUMIF(NCAA_Bets[Date],M264,NCAA_Bets[Risk])</f>
        <v>0</v>
      </c>
    </row>
    <row r="265" spans="2:16" x14ac:dyDescent="0.25">
      <c r="B265" s="101">
        <f t="shared" si="11"/>
        <v>21</v>
      </c>
      <c r="C265" s="6">
        <v>43517</v>
      </c>
      <c r="D265" s="6" t="s">
        <v>300</v>
      </c>
      <c r="E265" s="7" t="s">
        <v>998</v>
      </c>
      <c r="F265" s="8" t="s">
        <v>999</v>
      </c>
      <c r="G265" s="66">
        <v>2</v>
      </c>
      <c r="H265" s="30">
        <v>-110</v>
      </c>
      <c r="I265" s="10" t="s">
        <v>69</v>
      </c>
      <c r="J26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</v>
      </c>
      <c r="K265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65" s="71">
        <f t="shared" si="10"/>
        <v>0</v>
      </c>
      <c r="M265" s="71">
        <f t="shared" si="9"/>
        <v>0</v>
      </c>
      <c r="N265" s="71" t="str">
        <f>IFERROR(VLOOKUP(M265,NCAA_Bets[[Date]:[Version]],2,0),"")</f>
        <v/>
      </c>
      <c r="O265" s="94" t="str">
        <f>COUNTIFS(NCAA_Bets[Date],M265,NCAA_Bets[Result],"W")&amp;"-"&amp;COUNTIFS(NCAA_Bets[Date],M265,NCAA_Bets[Result],"L")&amp;IF(COUNTIFS(NCAA_Bets[Date],M265,NCAA_Bets[Result],"Push")&gt;0,"-"&amp;COUNTIFS(NCAA_Bets[Date],M265,NCAA_Bets[Result],"Push"),"")</f>
        <v>0-0</v>
      </c>
      <c r="P265" s="90">
        <f>SUMIF(NCAA_Bets[Date],M265,NCAA_Bets[Winnings])-SUMIF(NCAA_Bets[Date],M265,NCAA_Bets[Risk])</f>
        <v>0</v>
      </c>
    </row>
    <row r="266" spans="2:16" x14ac:dyDescent="0.25">
      <c r="B266" s="101">
        <f t="shared" si="11"/>
        <v>21</v>
      </c>
      <c r="C266" s="6">
        <v>43517</v>
      </c>
      <c r="D266" s="6" t="s">
        <v>300</v>
      </c>
      <c r="E266" s="7" t="s">
        <v>1000</v>
      </c>
      <c r="F266" s="8" t="s">
        <v>1001</v>
      </c>
      <c r="G266" s="66">
        <v>2</v>
      </c>
      <c r="H266" s="30">
        <v>-110</v>
      </c>
      <c r="I266" s="10" t="s">
        <v>69</v>
      </c>
      <c r="J26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</v>
      </c>
      <c r="K266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66" s="71">
        <f t="shared" si="10"/>
        <v>0</v>
      </c>
      <c r="M266" s="71">
        <f t="shared" si="9"/>
        <v>0</v>
      </c>
      <c r="N266" s="71" t="str">
        <f>IFERROR(VLOOKUP(M266,NCAA_Bets[[Date]:[Version]],2,0),"")</f>
        <v/>
      </c>
      <c r="O266" s="94" t="str">
        <f>COUNTIFS(NCAA_Bets[Date],M266,NCAA_Bets[Result],"W")&amp;"-"&amp;COUNTIFS(NCAA_Bets[Date],M266,NCAA_Bets[Result],"L")&amp;IF(COUNTIFS(NCAA_Bets[Date],M266,NCAA_Bets[Result],"Push")&gt;0,"-"&amp;COUNTIFS(NCAA_Bets[Date],M266,NCAA_Bets[Result],"Push"),"")</f>
        <v>0-0</v>
      </c>
      <c r="P266" s="90">
        <f>SUMIF(NCAA_Bets[Date],M266,NCAA_Bets[Winnings])-SUMIF(NCAA_Bets[Date],M266,NCAA_Bets[Risk])</f>
        <v>0</v>
      </c>
    </row>
    <row r="267" spans="2:16" x14ac:dyDescent="0.25">
      <c r="B267" s="101">
        <f t="shared" si="11"/>
        <v>21</v>
      </c>
      <c r="C267" s="6">
        <v>43517</v>
      </c>
      <c r="D267" s="6" t="s">
        <v>300</v>
      </c>
      <c r="E267" s="7" t="s">
        <v>1002</v>
      </c>
      <c r="F267" s="8" t="s">
        <v>1003</v>
      </c>
      <c r="G267" s="66">
        <v>2</v>
      </c>
      <c r="H267" s="30">
        <v>-110</v>
      </c>
      <c r="I267" s="10" t="s">
        <v>7</v>
      </c>
      <c r="J26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67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67" s="71">
        <f t="shared" si="10"/>
        <v>0</v>
      </c>
      <c r="M267" s="71">
        <f t="shared" si="9"/>
        <v>0</v>
      </c>
      <c r="N267" s="71" t="str">
        <f>IFERROR(VLOOKUP(M267,NCAA_Bets[[Date]:[Version]],2,0),"")</f>
        <v/>
      </c>
      <c r="O267" s="94" t="str">
        <f>COUNTIFS(NCAA_Bets[Date],M267,NCAA_Bets[Result],"W")&amp;"-"&amp;COUNTIFS(NCAA_Bets[Date],M267,NCAA_Bets[Result],"L")&amp;IF(COUNTIFS(NCAA_Bets[Date],M267,NCAA_Bets[Result],"Push")&gt;0,"-"&amp;COUNTIFS(NCAA_Bets[Date],M267,NCAA_Bets[Result],"Push"),"")</f>
        <v>0-0</v>
      </c>
      <c r="P267" s="90">
        <f>SUMIF(NCAA_Bets[Date],M267,NCAA_Bets[Winnings])-SUMIF(NCAA_Bets[Date],M267,NCAA_Bets[Risk])</f>
        <v>0</v>
      </c>
    </row>
    <row r="268" spans="2:16" x14ac:dyDescent="0.25">
      <c r="B268" s="101">
        <f t="shared" si="11"/>
        <v>21</v>
      </c>
      <c r="C268" s="6">
        <v>43517</v>
      </c>
      <c r="D268" s="6" t="s">
        <v>300</v>
      </c>
      <c r="E268" s="7" t="s">
        <v>1002</v>
      </c>
      <c r="F268" s="8" t="s">
        <v>683</v>
      </c>
      <c r="G268" s="66">
        <v>2</v>
      </c>
      <c r="H268" s="30">
        <v>-110</v>
      </c>
      <c r="I268" s="10" t="s">
        <v>37</v>
      </c>
      <c r="J26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68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68" s="71">
        <f t="shared" si="10"/>
        <v>0</v>
      </c>
      <c r="M268" s="71">
        <f t="shared" si="9"/>
        <v>0</v>
      </c>
      <c r="N268" s="71" t="str">
        <f>IFERROR(VLOOKUP(M268,NCAA_Bets[[Date]:[Version]],2,0),"")</f>
        <v/>
      </c>
      <c r="O268" s="94" t="str">
        <f>COUNTIFS(NCAA_Bets[Date],M268,NCAA_Bets[Result],"W")&amp;"-"&amp;COUNTIFS(NCAA_Bets[Date],M268,NCAA_Bets[Result],"L")&amp;IF(COUNTIFS(NCAA_Bets[Date],M268,NCAA_Bets[Result],"Push")&gt;0,"-"&amp;COUNTIFS(NCAA_Bets[Date],M268,NCAA_Bets[Result],"Push"),"")</f>
        <v>0-0</v>
      </c>
      <c r="P268" s="90">
        <f>SUMIF(NCAA_Bets[Date],M268,NCAA_Bets[Winnings])-SUMIF(NCAA_Bets[Date],M268,NCAA_Bets[Risk])</f>
        <v>0</v>
      </c>
    </row>
    <row r="269" spans="2:16" x14ac:dyDescent="0.25">
      <c r="B269" s="101">
        <f t="shared" si="11"/>
        <v>21</v>
      </c>
      <c r="C269" s="6">
        <v>43517</v>
      </c>
      <c r="D269" s="6" t="s">
        <v>300</v>
      </c>
      <c r="E269" s="7" t="s">
        <v>1004</v>
      </c>
      <c r="F269" s="8" t="s">
        <v>1005</v>
      </c>
      <c r="G269" s="66">
        <v>2</v>
      </c>
      <c r="H269" s="30">
        <v>-110</v>
      </c>
      <c r="I269" s="10" t="s">
        <v>7</v>
      </c>
      <c r="J26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69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69" s="71">
        <f t="shared" si="10"/>
        <v>0</v>
      </c>
      <c r="M269" s="71">
        <f t="shared" si="9"/>
        <v>0</v>
      </c>
      <c r="N269" s="71" t="str">
        <f>IFERROR(VLOOKUP(M269,NCAA_Bets[[Date]:[Version]],2,0),"")</f>
        <v/>
      </c>
      <c r="O269" s="94" t="str">
        <f>COUNTIFS(NCAA_Bets[Date],M269,NCAA_Bets[Result],"W")&amp;"-"&amp;COUNTIFS(NCAA_Bets[Date],M269,NCAA_Bets[Result],"L")&amp;IF(COUNTIFS(NCAA_Bets[Date],M269,NCAA_Bets[Result],"Push")&gt;0,"-"&amp;COUNTIFS(NCAA_Bets[Date],M269,NCAA_Bets[Result],"Push"),"")</f>
        <v>0-0</v>
      </c>
      <c r="P269" s="90">
        <f>SUMIF(NCAA_Bets[Date],M269,NCAA_Bets[Winnings])-SUMIF(NCAA_Bets[Date],M269,NCAA_Bets[Risk])</f>
        <v>0</v>
      </c>
    </row>
    <row r="270" spans="2:16" x14ac:dyDescent="0.25">
      <c r="B270" s="101">
        <f t="shared" si="11"/>
        <v>21</v>
      </c>
      <c r="C270" s="6">
        <v>43517</v>
      </c>
      <c r="D270" s="6" t="s">
        <v>300</v>
      </c>
      <c r="E270" s="7" t="s">
        <v>1004</v>
      </c>
      <c r="F270" s="8" t="s">
        <v>942</v>
      </c>
      <c r="G270" s="66">
        <v>2</v>
      </c>
      <c r="H270" s="30">
        <v>-110</v>
      </c>
      <c r="I270" s="10" t="s">
        <v>37</v>
      </c>
      <c r="J27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70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70" s="71">
        <f t="shared" si="10"/>
        <v>0</v>
      </c>
      <c r="M270" s="71">
        <f t="shared" si="9"/>
        <v>0</v>
      </c>
      <c r="N270" s="71" t="str">
        <f>IFERROR(VLOOKUP(M270,NCAA_Bets[[Date]:[Version]],2,0),"")</f>
        <v/>
      </c>
      <c r="O270" s="94" t="str">
        <f>COUNTIFS(NCAA_Bets[Date],M270,NCAA_Bets[Result],"W")&amp;"-"&amp;COUNTIFS(NCAA_Bets[Date],M270,NCAA_Bets[Result],"L")&amp;IF(COUNTIFS(NCAA_Bets[Date],M270,NCAA_Bets[Result],"Push")&gt;0,"-"&amp;COUNTIFS(NCAA_Bets[Date],M270,NCAA_Bets[Result],"Push"),"")</f>
        <v>0-0</v>
      </c>
      <c r="P270" s="90">
        <f>SUMIF(NCAA_Bets[Date],M270,NCAA_Bets[Winnings])-SUMIF(NCAA_Bets[Date],M270,NCAA_Bets[Risk])</f>
        <v>0</v>
      </c>
    </row>
    <row r="271" spans="2:16" x14ac:dyDescent="0.25">
      <c r="B271" s="101">
        <f t="shared" si="11"/>
        <v>21</v>
      </c>
      <c r="C271" s="6">
        <v>43517</v>
      </c>
      <c r="D271" s="6" t="s">
        <v>300</v>
      </c>
      <c r="E271" s="7" t="s">
        <v>1006</v>
      </c>
      <c r="F271" s="8" t="s">
        <v>1007</v>
      </c>
      <c r="G271" s="66">
        <v>2</v>
      </c>
      <c r="H271" s="30">
        <v>-105</v>
      </c>
      <c r="I271" s="10" t="s">
        <v>7</v>
      </c>
      <c r="J27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71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71" s="71">
        <f t="shared" si="10"/>
        <v>0</v>
      </c>
      <c r="M271" s="71">
        <f t="shared" si="9"/>
        <v>0</v>
      </c>
      <c r="N271" s="71" t="str">
        <f>IFERROR(VLOOKUP(M271,NCAA_Bets[[Date]:[Version]],2,0),"")</f>
        <v/>
      </c>
      <c r="O271" s="94" t="str">
        <f>COUNTIFS(NCAA_Bets[Date],M271,NCAA_Bets[Result],"W")&amp;"-"&amp;COUNTIFS(NCAA_Bets[Date],M271,NCAA_Bets[Result],"L")&amp;IF(COUNTIFS(NCAA_Bets[Date],M271,NCAA_Bets[Result],"Push")&gt;0,"-"&amp;COUNTIFS(NCAA_Bets[Date],M271,NCAA_Bets[Result],"Push"),"")</f>
        <v>0-0</v>
      </c>
      <c r="P271" s="90">
        <f>SUMIF(NCAA_Bets[Date],M271,NCAA_Bets[Winnings])-SUMIF(NCAA_Bets[Date],M271,NCAA_Bets[Risk])</f>
        <v>0</v>
      </c>
    </row>
    <row r="272" spans="2:16" ht="75" x14ac:dyDescent="0.25">
      <c r="B272" s="101">
        <f t="shared" si="11"/>
        <v>21</v>
      </c>
      <c r="C272" s="6">
        <v>43517</v>
      </c>
      <c r="D272" s="6" t="s">
        <v>300</v>
      </c>
      <c r="E272" s="113" t="s">
        <v>1009</v>
      </c>
      <c r="F272" s="114" t="s">
        <v>1010</v>
      </c>
      <c r="G272" s="66">
        <v>2</v>
      </c>
      <c r="H272" s="30">
        <v>2493.5</v>
      </c>
      <c r="I272" s="10" t="s">
        <v>7</v>
      </c>
      <c r="J27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72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P</v>
      </c>
      <c r="L272" s="71">
        <f t="shared" si="10"/>
        <v>0</v>
      </c>
      <c r="M272" s="71">
        <f t="shared" si="9"/>
        <v>0</v>
      </c>
      <c r="N272" s="71" t="str">
        <f>IFERROR(VLOOKUP(M272,NCAA_Bets[[Date]:[Version]],2,0),"")</f>
        <v/>
      </c>
      <c r="O272" s="94" t="str">
        <f>COUNTIFS(NCAA_Bets[Date],M272,NCAA_Bets[Result],"W")&amp;"-"&amp;COUNTIFS(NCAA_Bets[Date],M272,NCAA_Bets[Result],"L")&amp;IF(COUNTIFS(NCAA_Bets[Date],M272,NCAA_Bets[Result],"Push")&gt;0,"-"&amp;COUNTIFS(NCAA_Bets[Date],M272,NCAA_Bets[Result],"Push"),"")</f>
        <v>0-0</v>
      </c>
      <c r="P272" s="90">
        <f>SUMIF(NCAA_Bets[Date],M272,NCAA_Bets[Winnings])-SUMIF(NCAA_Bets[Date],M272,NCAA_Bets[Risk])</f>
        <v>0</v>
      </c>
    </row>
    <row r="273" spans="2:16" x14ac:dyDescent="0.25">
      <c r="B273" s="101">
        <f t="shared" si="11"/>
        <v>22</v>
      </c>
      <c r="C273" s="6">
        <v>43518</v>
      </c>
      <c r="D273" s="6" t="s">
        <v>297</v>
      </c>
      <c r="E273" s="7" t="s">
        <v>1021</v>
      </c>
      <c r="F273" s="8" t="s">
        <v>1022</v>
      </c>
      <c r="G273" s="66">
        <v>2</v>
      </c>
      <c r="H273" s="119">
        <v>-105</v>
      </c>
      <c r="I273" s="10" t="s">
        <v>7</v>
      </c>
      <c r="J27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73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73" s="71">
        <f t="shared" si="10"/>
        <v>0</v>
      </c>
      <c r="M273" s="71">
        <f t="shared" si="9"/>
        <v>0</v>
      </c>
      <c r="N273" s="71" t="str">
        <f>IFERROR(VLOOKUP(M273,NCAA_Bets[[Date]:[Version]],2,0),"")</f>
        <v/>
      </c>
      <c r="O273" s="94" t="str">
        <f>COUNTIFS(NCAA_Bets[Date],M273,NCAA_Bets[Result],"W")&amp;"-"&amp;COUNTIFS(NCAA_Bets[Date],M273,NCAA_Bets[Result],"L")&amp;IF(COUNTIFS(NCAA_Bets[Date],M273,NCAA_Bets[Result],"Push")&gt;0,"-"&amp;COUNTIFS(NCAA_Bets[Date],M273,NCAA_Bets[Result],"Push"),"")</f>
        <v>0-0</v>
      </c>
      <c r="P273" s="90">
        <f>SUMIF(NCAA_Bets[Date],M273,NCAA_Bets[Winnings])-SUMIF(NCAA_Bets[Date],M273,NCAA_Bets[Risk])</f>
        <v>0</v>
      </c>
    </row>
    <row r="274" spans="2:16" x14ac:dyDescent="0.25">
      <c r="B274" s="101">
        <f t="shared" si="11"/>
        <v>22</v>
      </c>
      <c r="C274" s="6">
        <v>43518</v>
      </c>
      <c r="D274" s="6" t="s">
        <v>297</v>
      </c>
      <c r="E274" s="7" t="s">
        <v>1023</v>
      </c>
      <c r="F274" s="8" t="s">
        <v>519</v>
      </c>
      <c r="G274" s="66">
        <v>2</v>
      </c>
      <c r="H274" s="119">
        <v>-115</v>
      </c>
      <c r="I274" s="10" t="s">
        <v>37</v>
      </c>
      <c r="J27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274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74" s="71">
        <f t="shared" si="10"/>
        <v>0</v>
      </c>
      <c r="M274" s="71">
        <f t="shared" si="9"/>
        <v>0</v>
      </c>
      <c r="N274" s="71" t="str">
        <f>IFERROR(VLOOKUP(M274,NCAA_Bets[[Date]:[Version]],2,0),"")</f>
        <v/>
      </c>
      <c r="O274" s="94" t="str">
        <f>COUNTIFS(NCAA_Bets[Date],M274,NCAA_Bets[Result],"W")&amp;"-"&amp;COUNTIFS(NCAA_Bets[Date],M274,NCAA_Bets[Result],"L")&amp;IF(COUNTIFS(NCAA_Bets[Date],M274,NCAA_Bets[Result],"Push")&gt;0,"-"&amp;COUNTIFS(NCAA_Bets[Date],M274,NCAA_Bets[Result],"Push"),"")</f>
        <v>0-0</v>
      </c>
      <c r="P274" s="90">
        <f>SUMIF(NCAA_Bets[Date],M274,NCAA_Bets[Winnings])-SUMIF(NCAA_Bets[Date],M274,NCAA_Bets[Risk])</f>
        <v>0</v>
      </c>
    </row>
    <row r="275" spans="2:16" x14ac:dyDescent="0.25">
      <c r="B275" s="101">
        <f t="shared" si="11"/>
        <v>22</v>
      </c>
      <c r="C275" s="6">
        <v>43518</v>
      </c>
      <c r="D275" s="6" t="s">
        <v>297</v>
      </c>
      <c r="E275" s="7" t="s">
        <v>1024</v>
      </c>
      <c r="F275" s="8" t="s">
        <v>519</v>
      </c>
      <c r="G275" s="66">
        <v>2</v>
      </c>
      <c r="H275" s="119">
        <v>-105</v>
      </c>
      <c r="I275" s="10" t="s">
        <v>7</v>
      </c>
      <c r="J27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75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75" s="71">
        <f t="shared" si="10"/>
        <v>0</v>
      </c>
      <c r="M275" s="71">
        <f t="shared" si="9"/>
        <v>0</v>
      </c>
      <c r="N275" s="71" t="str">
        <f>IFERROR(VLOOKUP(M275,NCAA_Bets[[Date]:[Version]],2,0),"")</f>
        <v/>
      </c>
      <c r="O275" s="94" t="str">
        <f>COUNTIFS(NCAA_Bets[Date],M275,NCAA_Bets[Result],"W")&amp;"-"&amp;COUNTIFS(NCAA_Bets[Date],M275,NCAA_Bets[Result],"L")&amp;IF(COUNTIFS(NCAA_Bets[Date],M275,NCAA_Bets[Result],"Push")&gt;0,"-"&amp;COUNTIFS(NCAA_Bets[Date],M275,NCAA_Bets[Result],"Push"),"")</f>
        <v>0-0</v>
      </c>
      <c r="P275" s="90">
        <f>SUMIF(NCAA_Bets[Date],M275,NCAA_Bets[Winnings])-SUMIF(NCAA_Bets[Date],M275,NCAA_Bets[Risk])</f>
        <v>0</v>
      </c>
    </row>
    <row r="276" spans="2:16" x14ac:dyDescent="0.25">
      <c r="B276" s="101">
        <f t="shared" si="11"/>
        <v>22</v>
      </c>
      <c r="C276" s="6">
        <v>43518</v>
      </c>
      <c r="D276" s="6" t="s">
        <v>297</v>
      </c>
      <c r="E276" s="7" t="s">
        <v>1025</v>
      </c>
      <c r="F276" s="8" t="s">
        <v>746</v>
      </c>
      <c r="G276" s="66">
        <v>2</v>
      </c>
      <c r="H276" s="119">
        <v>-105</v>
      </c>
      <c r="I276" s="10" t="s">
        <v>7</v>
      </c>
      <c r="J27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76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76" s="71">
        <f t="shared" si="10"/>
        <v>0</v>
      </c>
      <c r="M276" s="71">
        <f t="shared" si="9"/>
        <v>0</v>
      </c>
      <c r="N276" s="71" t="str">
        <f>IFERROR(VLOOKUP(M276,NCAA_Bets[[Date]:[Version]],2,0),"")</f>
        <v/>
      </c>
      <c r="O276" s="94" t="str">
        <f>COUNTIFS(NCAA_Bets[Date],M276,NCAA_Bets[Result],"W")&amp;"-"&amp;COUNTIFS(NCAA_Bets[Date],M276,NCAA_Bets[Result],"L")&amp;IF(COUNTIFS(NCAA_Bets[Date],M276,NCAA_Bets[Result],"Push")&gt;0,"-"&amp;COUNTIFS(NCAA_Bets[Date],M276,NCAA_Bets[Result],"Push"),"")</f>
        <v>0-0</v>
      </c>
      <c r="P276" s="90">
        <f>SUMIF(NCAA_Bets[Date],M276,NCAA_Bets[Winnings])-SUMIF(NCAA_Bets[Date],M276,NCAA_Bets[Risk])</f>
        <v>0</v>
      </c>
    </row>
    <row r="277" spans="2:16" x14ac:dyDescent="0.25">
      <c r="B277" s="101">
        <f t="shared" si="11"/>
        <v>22</v>
      </c>
      <c r="C277" s="6">
        <v>43518</v>
      </c>
      <c r="D277" s="6" t="s">
        <v>297</v>
      </c>
      <c r="E277" s="7" t="s">
        <v>1026</v>
      </c>
      <c r="F277" s="8" t="s">
        <v>1027</v>
      </c>
      <c r="G277" s="66">
        <v>2</v>
      </c>
      <c r="H277" s="119">
        <v>-115</v>
      </c>
      <c r="I277" s="10" t="s">
        <v>7</v>
      </c>
      <c r="J27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77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77" s="71">
        <f t="shared" si="10"/>
        <v>0</v>
      </c>
      <c r="M277" s="71">
        <f t="shared" si="9"/>
        <v>0</v>
      </c>
      <c r="N277" s="71" t="str">
        <f>IFERROR(VLOOKUP(M277,NCAA_Bets[[Date]:[Version]],2,0),"")</f>
        <v/>
      </c>
      <c r="O277" s="94" t="str">
        <f>COUNTIFS(NCAA_Bets[Date],M277,NCAA_Bets[Result],"W")&amp;"-"&amp;COUNTIFS(NCAA_Bets[Date],M277,NCAA_Bets[Result],"L")&amp;IF(COUNTIFS(NCAA_Bets[Date],M277,NCAA_Bets[Result],"Push")&gt;0,"-"&amp;COUNTIFS(NCAA_Bets[Date],M277,NCAA_Bets[Result],"Push"),"")</f>
        <v>0-0</v>
      </c>
      <c r="P277" s="90">
        <f>SUMIF(NCAA_Bets[Date],M277,NCAA_Bets[Winnings])-SUMIF(NCAA_Bets[Date],M277,NCAA_Bets[Risk])</f>
        <v>0</v>
      </c>
    </row>
    <row r="278" spans="2:16" x14ac:dyDescent="0.25">
      <c r="B278" s="101">
        <f t="shared" si="11"/>
        <v>22</v>
      </c>
      <c r="C278" s="6">
        <v>43518</v>
      </c>
      <c r="D278" s="6" t="s">
        <v>297</v>
      </c>
      <c r="E278" s="7" t="s">
        <v>1026</v>
      </c>
      <c r="F278" s="8" t="s">
        <v>569</v>
      </c>
      <c r="G278" s="66">
        <v>2</v>
      </c>
      <c r="H278" s="119">
        <v>-105</v>
      </c>
      <c r="I278" s="10" t="s">
        <v>7</v>
      </c>
      <c r="J27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78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78" s="71">
        <f t="shared" si="10"/>
        <v>0</v>
      </c>
      <c r="M278" s="71">
        <f t="shared" si="9"/>
        <v>0</v>
      </c>
      <c r="N278" s="71" t="str">
        <f>IFERROR(VLOOKUP(M278,NCAA_Bets[[Date]:[Version]],2,0),"")</f>
        <v/>
      </c>
      <c r="O278" s="94" t="str">
        <f>COUNTIFS(NCAA_Bets[Date],M278,NCAA_Bets[Result],"W")&amp;"-"&amp;COUNTIFS(NCAA_Bets[Date],M278,NCAA_Bets[Result],"L")&amp;IF(COUNTIFS(NCAA_Bets[Date],M278,NCAA_Bets[Result],"Push")&gt;0,"-"&amp;COUNTIFS(NCAA_Bets[Date],M278,NCAA_Bets[Result],"Push"),"")</f>
        <v>0-0</v>
      </c>
      <c r="P278" s="90">
        <f>SUMIF(NCAA_Bets[Date],M278,NCAA_Bets[Winnings])-SUMIF(NCAA_Bets[Date],M278,NCAA_Bets[Risk])</f>
        <v>0</v>
      </c>
    </row>
    <row r="279" spans="2:16" x14ac:dyDescent="0.25">
      <c r="B279" s="101">
        <f t="shared" si="11"/>
        <v>22</v>
      </c>
      <c r="C279" s="6">
        <v>43518</v>
      </c>
      <c r="D279" s="6" t="s">
        <v>297</v>
      </c>
      <c r="E279" s="7" t="s">
        <v>1028</v>
      </c>
      <c r="F279" s="8" t="s">
        <v>1029</v>
      </c>
      <c r="G279" s="66">
        <v>2</v>
      </c>
      <c r="H279" s="119">
        <v>-110</v>
      </c>
      <c r="I279" s="10" t="s">
        <v>37</v>
      </c>
      <c r="J27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79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79" s="71">
        <f t="shared" si="10"/>
        <v>0</v>
      </c>
      <c r="M279" s="71">
        <f t="shared" si="9"/>
        <v>0</v>
      </c>
      <c r="N279" s="71" t="str">
        <f>IFERROR(VLOOKUP(M279,NCAA_Bets[[Date]:[Version]],2,0),"")</f>
        <v/>
      </c>
      <c r="O279" s="94" t="str">
        <f>COUNTIFS(NCAA_Bets[Date],M279,NCAA_Bets[Result],"W")&amp;"-"&amp;COUNTIFS(NCAA_Bets[Date],M279,NCAA_Bets[Result],"L")&amp;IF(COUNTIFS(NCAA_Bets[Date],M279,NCAA_Bets[Result],"Push")&gt;0,"-"&amp;COUNTIFS(NCAA_Bets[Date],M279,NCAA_Bets[Result],"Push"),"")</f>
        <v>0-0</v>
      </c>
      <c r="P279" s="90">
        <f>SUMIF(NCAA_Bets[Date],M279,NCAA_Bets[Winnings])-SUMIF(NCAA_Bets[Date],M279,NCAA_Bets[Risk])</f>
        <v>0</v>
      </c>
    </row>
    <row r="280" spans="2:16" x14ac:dyDescent="0.25">
      <c r="B280" s="101">
        <f t="shared" si="11"/>
        <v>22</v>
      </c>
      <c r="C280" s="6">
        <v>43518</v>
      </c>
      <c r="D280" s="6" t="s">
        <v>297</v>
      </c>
      <c r="E280" s="7" t="s">
        <v>1028</v>
      </c>
      <c r="F280" s="8" t="s">
        <v>1030</v>
      </c>
      <c r="G280" s="66">
        <v>2</v>
      </c>
      <c r="H280" s="119">
        <v>-110</v>
      </c>
      <c r="I280" s="10" t="s">
        <v>37</v>
      </c>
      <c r="J28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80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80" s="71">
        <f t="shared" si="10"/>
        <v>0</v>
      </c>
      <c r="M280" s="71">
        <f t="shared" si="9"/>
        <v>0</v>
      </c>
      <c r="N280" s="71" t="str">
        <f>IFERROR(VLOOKUP(M280,NCAA_Bets[[Date]:[Version]],2,0),"")</f>
        <v/>
      </c>
      <c r="O280" s="94" t="str">
        <f>COUNTIFS(NCAA_Bets[Date],M280,NCAA_Bets[Result],"W")&amp;"-"&amp;COUNTIFS(NCAA_Bets[Date],M280,NCAA_Bets[Result],"L")&amp;IF(COUNTIFS(NCAA_Bets[Date],M280,NCAA_Bets[Result],"Push")&gt;0,"-"&amp;COUNTIFS(NCAA_Bets[Date],M280,NCAA_Bets[Result],"Push"),"")</f>
        <v>0-0</v>
      </c>
      <c r="P280" s="90">
        <f>SUMIF(NCAA_Bets[Date],M280,NCAA_Bets[Winnings])-SUMIF(NCAA_Bets[Date],M280,NCAA_Bets[Risk])</f>
        <v>0</v>
      </c>
    </row>
    <row r="281" spans="2:16" x14ac:dyDescent="0.25">
      <c r="B281" s="101">
        <f t="shared" si="11"/>
        <v>22</v>
      </c>
      <c r="C281" s="6">
        <v>43518</v>
      </c>
      <c r="D281" s="6" t="s">
        <v>297</v>
      </c>
      <c r="E281" s="7" t="s">
        <v>1031</v>
      </c>
      <c r="F281" s="8" t="s">
        <v>1032</v>
      </c>
      <c r="G281" s="66">
        <v>2</v>
      </c>
      <c r="H281" s="119">
        <v>-110</v>
      </c>
      <c r="I281" s="10" t="s">
        <v>37</v>
      </c>
      <c r="J28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81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81" s="71">
        <f t="shared" si="10"/>
        <v>0</v>
      </c>
      <c r="M281" s="71">
        <f t="shared" si="9"/>
        <v>0</v>
      </c>
      <c r="N281" s="71" t="str">
        <f>IFERROR(VLOOKUP(M281,NCAA_Bets[[Date]:[Version]],2,0),"")</f>
        <v/>
      </c>
      <c r="O281" s="94" t="str">
        <f>COUNTIFS(NCAA_Bets[Date],M281,NCAA_Bets[Result],"W")&amp;"-"&amp;COUNTIFS(NCAA_Bets[Date],M281,NCAA_Bets[Result],"L")&amp;IF(COUNTIFS(NCAA_Bets[Date],M281,NCAA_Bets[Result],"Push")&gt;0,"-"&amp;COUNTIFS(NCAA_Bets[Date],M281,NCAA_Bets[Result],"Push"),"")</f>
        <v>0-0</v>
      </c>
      <c r="P281" s="90">
        <f>SUMIF(NCAA_Bets[Date],M281,NCAA_Bets[Winnings])-SUMIF(NCAA_Bets[Date],M281,NCAA_Bets[Risk])</f>
        <v>0</v>
      </c>
    </row>
    <row r="282" spans="2:16" x14ac:dyDescent="0.25">
      <c r="B282" s="101">
        <f t="shared" si="11"/>
        <v>22</v>
      </c>
      <c r="C282" s="6">
        <v>43518</v>
      </c>
      <c r="D282" s="6" t="s">
        <v>297</v>
      </c>
      <c r="E282" s="7" t="s">
        <v>1031</v>
      </c>
      <c r="F282" s="8" t="s">
        <v>751</v>
      </c>
      <c r="G282" s="66">
        <v>2</v>
      </c>
      <c r="H282" s="119">
        <v>-115</v>
      </c>
      <c r="I282" s="10" t="s">
        <v>7</v>
      </c>
      <c r="J28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82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82" s="71">
        <f t="shared" si="10"/>
        <v>0</v>
      </c>
      <c r="M282" s="71">
        <f t="shared" ref="M282:M345" si="12">IFERROR(VLOOKUP(ROW()-4,B:C,2,0),0)</f>
        <v>0</v>
      </c>
      <c r="N282" s="71" t="str">
        <f>IFERROR(VLOOKUP(M282,NCAA_Bets[[Date]:[Version]],2,0),"")</f>
        <v/>
      </c>
      <c r="O282" s="94" t="str">
        <f>COUNTIFS(NCAA_Bets[Date],M282,NCAA_Bets[Result],"W")&amp;"-"&amp;COUNTIFS(NCAA_Bets[Date],M282,NCAA_Bets[Result],"L")&amp;IF(COUNTIFS(NCAA_Bets[Date],M282,NCAA_Bets[Result],"Push")&gt;0,"-"&amp;COUNTIFS(NCAA_Bets[Date],M282,NCAA_Bets[Result],"Push"),"")</f>
        <v>0-0</v>
      </c>
      <c r="P282" s="90">
        <f>SUMIF(NCAA_Bets[Date],M282,NCAA_Bets[Winnings])-SUMIF(NCAA_Bets[Date],M282,NCAA_Bets[Risk])</f>
        <v>0</v>
      </c>
    </row>
    <row r="283" spans="2:16" x14ac:dyDescent="0.25">
      <c r="B283" s="101">
        <f t="shared" si="11"/>
        <v>23</v>
      </c>
      <c r="C283" s="6">
        <v>43522</v>
      </c>
      <c r="D283" s="6" t="s">
        <v>297</v>
      </c>
      <c r="E283" s="7" t="s">
        <v>1052</v>
      </c>
      <c r="F283" s="8" t="s">
        <v>1053</v>
      </c>
      <c r="G283" s="66">
        <v>2</v>
      </c>
      <c r="H283" s="30">
        <v>-105</v>
      </c>
      <c r="I283" s="10" t="s">
        <v>7</v>
      </c>
      <c r="J28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83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83" s="71">
        <f t="shared" si="10"/>
        <v>0</v>
      </c>
      <c r="M283" s="71">
        <f t="shared" si="12"/>
        <v>0</v>
      </c>
      <c r="N283" s="71" t="str">
        <f>IFERROR(VLOOKUP(M283,NCAA_Bets[[Date]:[Version]],2,0),"")</f>
        <v/>
      </c>
      <c r="O283" s="94" t="str">
        <f>COUNTIFS(NCAA_Bets[Date],M283,NCAA_Bets[Result],"W")&amp;"-"&amp;COUNTIFS(NCAA_Bets[Date],M283,NCAA_Bets[Result],"L")&amp;IF(COUNTIFS(NCAA_Bets[Date],M283,NCAA_Bets[Result],"Push")&gt;0,"-"&amp;COUNTIFS(NCAA_Bets[Date],M283,NCAA_Bets[Result],"Push"),"")</f>
        <v>0-0</v>
      </c>
      <c r="P283" s="90">
        <f>SUMIF(NCAA_Bets[Date],M283,NCAA_Bets[Winnings])-SUMIF(NCAA_Bets[Date],M283,NCAA_Bets[Risk])</f>
        <v>0</v>
      </c>
    </row>
    <row r="284" spans="2:16" x14ac:dyDescent="0.25">
      <c r="B284" s="101">
        <f t="shared" si="11"/>
        <v>23</v>
      </c>
      <c r="C284" s="6">
        <v>43522</v>
      </c>
      <c r="D284" s="6" t="s">
        <v>297</v>
      </c>
      <c r="E284" s="7" t="s">
        <v>1052</v>
      </c>
      <c r="F284" s="8" t="s">
        <v>517</v>
      </c>
      <c r="G284" s="66">
        <v>2</v>
      </c>
      <c r="H284" s="30">
        <v>-105</v>
      </c>
      <c r="I284" s="10" t="s">
        <v>7</v>
      </c>
      <c r="J28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84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84" s="71">
        <f t="shared" si="10"/>
        <v>0</v>
      </c>
      <c r="M284" s="71">
        <f t="shared" si="12"/>
        <v>0</v>
      </c>
      <c r="N284" s="71" t="str">
        <f>IFERROR(VLOOKUP(M284,NCAA_Bets[[Date]:[Version]],2,0),"")</f>
        <v/>
      </c>
      <c r="O284" s="94" t="str">
        <f>COUNTIFS(NCAA_Bets[Date],M284,NCAA_Bets[Result],"W")&amp;"-"&amp;COUNTIFS(NCAA_Bets[Date],M284,NCAA_Bets[Result],"L")&amp;IF(COUNTIFS(NCAA_Bets[Date],M284,NCAA_Bets[Result],"Push")&gt;0,"-"&amp;COUNTIFS(NCAA_Bets[Date],M284,NCAA_Bets[Result],"Push"),"")</f>
        <v>0-0</v>
      </c>
      <c r="P284" s="90">
        <f>SUMIF(NCAA_Bets[Date],M284,NCAA_Bets[Winnings])-SUMIF(NCAA_Bets[Date],M284,NCAA_Bets[Risk])</f>
        <v>0</v>
      </c>
    </row>
    <row r="285" spans="2:16" x14ac:dyDescent="0.25">
      <c r="B285" s="101">
        <f t="shared" si="11"/>
        <v>23</v>
      </c>
      <c r="C285" s="6">
        <v>43522</v>
      </c>
      <c r="D285" s="6" t="s">
        <v>297</v>
      </c>
      <c r="E285" s="7" t="s">
        <v>1054</v>
      </c>
      <c r="F285" s="8" t="s">
        <v>1055</v>
      </c>
      <c r="G285" s="66">
        <v>2</v>
      </c>
      <c r="H285" s="30">
        <v>-115</v>
      </c>
      <c r="I285" s="10" t="s">
        <v>7</v>
      </c>
      <c r="J28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85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85" s="71">
        <f t="shared" si="10"/>
        <v>0</v>
      </c>
      <c r="M285" s="71">
        <f t="shared" si="12"/>
        <v>0</v>
      </c>
      <c r="N285" s="71" t="str">
        <f>IFERROR(VLOOKUP(M285,NCAA_Bets[[Date]:[Version]],2,0),"")</f>
        <v/>
      </c>
      <c r="O285" s="94" t="str">
        <f>COUNTIFS(NCAA_Bets[Date],M285,NCAA_Bets[Result],"W")&amp;"-"&amp;COUNTIFS(NCAA_Bets[Date],M285,NCAA_Bets[Result],"L")&amp;IF(COUNTIFS(NCAA_Bets[Date],M285,NCAA_Bets[Result],"Push")&gt;0,"-"&amp;COUNTIFS(NCAA_Bets[Date],M285,NCAA_Bets[Result],"Push"),"")</f>
        <v>0-0</v>
      </c>
      <c r="P285" s="90">
        <f>SUMIF(NCAA_Bets[Date],M285,NCAA_Bets[Winnings])-SUMIF(NCAA_Bets[Date],M285,NCAA_Bets[Risk])</f>
        <v>0</v>
      </c>
    </row>
    <row r="286" spans="2:16" x14ac:dyDescent="0.25">
      <c r="B286" s="101">
        <f t="shared" si="11"/>
        <v>23</v>
      </c>
      <c r="C286" s="6">
        <v>43522</v>
      </c>
      <c r="D286" s="6" t="s">
        <v>297</v>
      </c>
      <c r="E286" s="7" t="s">
        <v>1056</v>
      </c>
      <c r="F286" s="8" t="s">
        <v>481</v>
      </c>
      <c r="G286" s="66">
        <v>2</v>
      </c>
      <c r="H286" s="30">
        <v>-110</v>
      </c>
      <c r="I286" s="10" t="s">
        <v>7</v>
      </c>
      <c r="J28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86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86" s="71">
        <f t="shared" si="10"/>
        <v>0</v>
      </c>
      <c r="M286" s="71">
        <f t="shared" si="12"/>
        <v>0</v>
      </c>
      <c r="N286" s="71" t="str">
        <f>IFERROR(VLOOKUP(M286,NCAA_Bets[[Date]:[Version]],2,0),"")</f>
        <v/>
      </c>
      <c r="O286" s="94" t="str">
        <f>COUNTIFS(NCAA_Bets[Date],M286,NCAA_Bets[Result],"W")&amp;"-"&amp;COUNTIFS(NCAA_Bets[Date],M286,NCAA_Bets[Result],"L")&amp;IF(COUNTIFS(NCAA_Bets[Date],M286,NCAA_Bets[Result],"Push")&gt;0,"-"&amp;COUNTIFS(NCAA_Bets[Date],M286,NCAA_Bets[Result],"Push"),"")</f>
        <v>0-0</v>
      </c>
      <c r="P286" s="90">
        <f>SUMIF(NCAA_Bets[Date],M286,NCAA_Bets[Winnings])-SUMIF(NCAA_Bets[Date],M286,NCAA_Bets[Risk])</f>
        <v>0</v>
      </c>
    </row>
    <row r="287" spans="2:16" x14ac:dyDescent="0.25">
      <c r="B287" s="101">
        <f t="shared" si="11"/>
        <v>23</v>
      </c>
      <c r="C287" s="6">
        <v>43522</v>
      </c>
      <c r="D287" s="6" t="s">
        <v>297</v>
      </c>
      <c r="E287" s="7" t="s">
        <v>1057</v>
      </c>
      <c r="F287" s="8" t="s">
        <v>475</v>
      </c>
      <c r="G287" s="66">
        <v>2</v>
      </c>
      <c r="H287" s="30">
        <v>-105</v>
      </c>
      <c r="I287" s="10" t="s">
        <v>37</v>
      </c>
      <c r="J28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287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287" s="71">
        <f t="shared" si="10"/>
        <v>0</v>
      </c>
      <c r="M287" s="71">
        <f t="shared" si="12"/>
        <v>0</v>
      </c>
      <c r="N287" s="71" t="str">
        <f>IFERROR(VLOOKUP(M287,NCAA_Bets[[Date]:[Version]],2,0),"")</f>
        <v/>
      </c>
      <c r="O287" s="94" t="str">
        <f>COUNTIFS(NCAA_Bets[Date],M287,NCAA_Bets[Result],"W")&amp;"-"&amp;COUNTIFS(NCAA_Bets[Date],M287,NCAA_Bets[Result],"L")&amp;IF(COUNTIFS(NCAA_Bets[Date],M287,NCAA_Bets[Result],"Push")&gt;0,"-"&amp;COUNTIFS(NCAA_Bets[Date],M287,NCAA_Bets[Result],"Push"),"")</f>
        <v>0-0</v>
      </c>
      <c r="P287" s="90">
        <f>SUMIF(NCAA_Bets[Date],M287,NCAA_Bets[Winnings])-SUMIF(NCAA_Bets[Date],M287,NCAA_Bets[Risk])</f>
        <v>0</v>
      </c>
    </row>
    <row r="288" spans="2:16" x14ac:dyDescent="0.25">
      <c r="B288" s="101">
        <f t="shared" si="11"/>
        <v>23</v>
      </c>
      <c r="C288" s="6">
        <v>43522</v>
      </c>
      <c r="D288" s="6" t="s">
        <v>297</v>
      </c>
      <c r="E288" s="7" t="s">
        <v>1058</v>
      </c>
      <c r="F288" s="8" t="s">
        <v>1059</v>
      </c>
      <c r="G288" s="66">
        <v>2</v>
      </c>
      <c r="H288" s="30">
        <v>-110</v>
      </c>
      <c r="I288" s="10" t="s">
        <v>7</v>
      </c>
      <c r="J28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88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88" s="71">
        <f t="shared" si="10"/>
        <v>0</v>
      </c>
      <c r="M288" s="71">
        <f t="shared" si="12"/>
        <v>0</v>
      </c>
      <c r="N288" s="71" t="str">
        <f>IFERROR(VLOOKUP(M288,NCAA_Bets[[Date]:[Version]],2,0),"")</f>
        <v/>
      </c>
      <c r="O288" s="94" t="str">
        <f>COUNTIFS(NCAA_Bets[Date],M288,NCAA_Bets[Result],"W")&amp;"-"&amp;COUNTIFS(NCAA_Bets[Date],M288,NCAA_Bets[Result],"L")&amp;IF(COUNTIFS(NCAA_Bets[Date],M288,NCAA_Bets[Result],"Push")&gt;0,"-"&amp;COUNTIFS(NCAA_Bets[Date],M288,NCAA_Bets[Result],"Push"),"")</f>
        <v>0-0</v>
      </c>
      <c r="P288" s="90">
        <f>SUMIF(NCAA_Bets[Date],M288,NCAA_Bets[Winnings])-SUMIF(NCAA_Bets[Date],M288,NCAA_Bets[Risk])</f>
        <v>0</v>
      </c>
    </row>
    <row r="289" spans="2:16" x14ac:dyDescent="0.25">
      <c r="B289" s="101">
        <f t="shared" si="11"/>
        <v>23</v>
      </c>
      <c r="C289" s="6">
        <v>43522</v>
      </c>
      <c r="D289" s="6" t="s">
        <v>297</v>
      </c>
      <c r="E289" s="7" t="s">
        <v>1058</v>
      </c>
      <c r="F289" s="8" t="s">
        <v>1060</v>
      </c>
      <c r="G289" s="66">
        <v>2</v>
      </c>
      <c r="H289" s="30">
        <v>-115</v>
      </c>
      <c r="I289" s="10" t="s">
        <v>7</v>
      </c>
      <c r="J28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89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89" s="71">
        <f t="shared" si="10"/>
        <v>0</v>
      </c>
      <c r="M289" s="71">
        <f t="shared" si="12"/>
        <v>0</v>
      </c>
      <c r="N289" s="71" t="str">
        <f>IFERROR(VLOOKUP(M289,NCAA_Bets[[Date]:[Version]],2,0),"")</f>
        <v/>
      </c>
      <c r="O289" s="94" t="str">
        <f>COUNTIFS(NCAA_Bets[Date],M289,NCAA_Bets[Result],"W")&amp;"-"&amp;COUNTIFS(NCAA_Bets[Date],M289,NCAA_Bets[Result],"L")&amp;IF(COUNTIFS(NCAA_Bets[Date],M289,NCAA_Bets[Result],"Push")&gt;0,"-"&amp;COUNTIFS(NCAA_Bets[Date],M289,NCAA_Bets[Result],"Push"),"")</f>
        <v>0-0</v>
      </c>
      <c r="P289" s="90">
        <f>SUMIF(NCAA_Bets[Date],M289,NCAA_Bets[Winnings])-SUMIF(NCAA_Bets[Date],M289,NCAA_Bets[Risk])</f>
        <v>0</v>
      </c>
    </row>
    <row r="290" spans="2:16" x14ac:dyDescent="0.25">
      <c r="B290" s="101">
        <f t="shared" si="11"/>
        <v>24</v>
      </c>
      <c r="C290" s="6">
        <v>43524</v>
      </c>
      <c r="D290" s="6" t="s">
        <v>297</v>
      </c>
      <c r="E290" s="7" t="s">
        <v>1092</v>
      </c>
      <c r="F290" s="8" t="s">
        <v>673</v>
      </c>
      <c r="G290" s="66">
        <v>2</v>
      </c>
      <c r="H290" s="30">
        <v>-110</v>
      </c>
      <c r="I290" s="10" t="s">
        <v>37</v>
      </c>
      <c r="J29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90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90" s="71">
        <f t="shared" si="10"/>
        <v>0</v>
      </c>
      <c r="M290" s="71">
        <f t="shared" si="12"/>
        <v>0</v>
      </c>
      <c r="N290" s="71" t="str">
        <f>IFERROR(VLOOKUP(M290,NCAA_Bets[[Date]:[Version]],2,0),"")</f>
        <v/>
      </c>
      <c r="O290" s="94" t="str">
        <f>COUNTIFS(NCAA_Bets[Date],M290,NCAA_Bets[Result],"W")&amp;"-"&amp;COUNTIFS(NCAA_Bets[Date],M290,NCAA_Bets[Result],"L")&amp;IF(COUNTIFS(NCAA_Bets[Date],M290,NCAA_Bets[Result],"Push")&gt;0,"-"&amp;COUNTIFS(NCAA_Bets[Date],M290,NCAA_Bets[Result],"Push"),"")</f>
        <v>0-0</v>
      </c>
      <c r="P290" s="90">
        <f>SUMIF(NCAA_Bets[Date],M290,NCAA_Bets[Winnings])-SUMIF(NCAA_Bets[Date],M290,NCAA_Bets[Risk])</f>
        <v>0</v>
      </c>
    </row>
    <row r="291" spans="2:16" x14ac:dyDescent="0.25">
      <c r="B291" s="101">
        <f t="shared" si="11"/>
        <v>24</v>
      </c>
      <c r="C291" s="6">
        <v>43524</v>
      </c>
      <c r="D291" s="6" t="s">
        <v>297</v>
      </c>
      <c r="E291" s="7" t="s">
        <v>1093</v>
      </c>
      <c r="F291" s="8" t="s">
        <v>1094</v>
      </c>
      <c r="G291" s="66">
        <v>2</v>
      </c>
      <c r="H291" s="30">
        <v>-105</v>
      </c>
      <c r="I291" s="10" t="s">
        <v>37</v>
      </c>
      <c r="J29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3.9047619047619051</v>
      </c>
      <c r="K291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91" s="71">
        <f t="shared" si="10"/>
        <v>0</v>
      </c>
      <c r="M291" s="71">
        <f t="shared" si="12"/>
        <v>0</v>
      </c>
      <c r="N291" s="71" t="str">
        <f>IFERROR(VLOOKUP(M291,NCAA_Bets[[Date]:[Version]],2,0),"")</f>
        <v/>
      </c>
      <c r="O291" s="94" t="str">
        <f>COUNTIFS(NCAA_Bets[Date],M291,NCAA_Bets[Result],"W")&amp;"-"&amp;COUNTIFS(NCAA_Bets[Date],M291,NCAA_Bets[Result],"L")&amp;IF(COUNTIFS(NCAA_Bets[Date],M291,NCAA_Bets[Result],"Push")&gt;0,"-"&amp;COUNTIFS(NCAA_Bets[Date],M291,NCAA_Bets[Result],"Push"),"")</f>
        <v>0-0</v>
      </c>
      <c r="P291" s="90">
        <f>SUMIF(NCAA_Bets[Date],M291,NCAA_Bets[Winnings])-SUMIF(NCAA_Bets[Date],M291,NCAA_Bets[Risk])</f>
        <v>0</v>
      </c>
    </row>
    <row r="292" spans="2:16" x14ac:dyDescent="0.25">
      <c r="B292" s="101">
        <f t="shared" si="11"/>
        <v>24</v>
      </c>
      <c r="C292" s="6">
        <v>43524</v>
      </c>
      <c r="D292" s="6" t="s">
        <v>297</v>
      </c>
      <c r="E292" s="7" t="s">
        <v>1095</v>
      </c>
      <c r="F292" s="8" t="s">
        <v>1096</v>
      </c>
      <c r="G292" s="66">
        <v>2</v>
      </c>
      <c r="H292" s="30">
        <v>-115</v>
      </c>
      <c r="I292" s="10" t="s">
        <v>7</v>
      </c>
      <c r="J29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92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92" s="71">
        <f t="shared" ref="L292:L355" si="13">IFERROR(VLOOKUP(ROW()-4,B:C,2,0),0)</f>
        <v>0</v>
      </c>
      <c r="M292" s="71">
        <f t="shared" si="12"/>
        <v>0</v>
      </c>
      <c r="N292" s="71" t="str">
        <f>IFERROR(VLOOKUP(M292,NCAA_Bets[[Date]:[Version]],2,0),"")</f>
        <v/>
      </c>
      <c r="O292" s="94" t="str">
        <f>COUNTIFS(NCAA_Bets[Date],M292,NCAA_Bets[Result],"W")&amp;"-"&amp;COUNTIFS(NCAA_Bets[Date],M292,NCAA_Bets[Result],"L")&amp;IF(COUNTIFS(NCAA_Bets[Date],M292,NCAA_Bets[Result],"Push")&gt;0,"-"&amp;COUNTIFS(NCAA_Bets[Date],M292,NCAA_Bets[Result],"Push"),"")</f>
        <v>0-0</v>
      </c>
      <c r="P292" s="90">
        <f>SUMIF(NCAA_Bets[Date],M292,NCAA_Bets[Winnings])-SUMIF(NCAA_Bets[Date],M292,NCAA_Bets[Risk])</f>
        <v>0</v>
      </c>
    </row>
    <row r="293" spans="2:16" x14ac:dyDescent="0.25">
      <c r="B293" s="101">
        <f t="shared" si="11"/>
        <v>24</v>
      </c>
      <c r="C293" s="6">
        <v>43524</v>
      </c>
      <c r="D293" s="6" t="s">
        <v>297</v>
      </c>
      <c r="E293" s="7" t="s">
        <v>1097</v>
      </c>
      <c r="F293" s="8" t="s">
        <v>1098</v>
      </c>
      <c r="G293" s="66">
        <v>2</v>
      </c>
      <c r="H293" s="30">
        <v>-110</v>
      </c>
      <c r="I293" s="10" t="s">
        <v>7</v>
      </c>
      <c r="J29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93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93" s="71">
        <f t="shared" si="13"/>
        <v>0</v>
      </c>
      <c r="M293" s="71">
        <f t="shared" si="12"/>
        <v>0</v>
      </c>
      <c r="N293" s="71" t="str">
        <f>IFERROR(VLOOKUP(M293,NCAA_Bets[[Date]:[Version]],2,0),"")</f>
        <v/>
      </c>
      <c r="O293" s="94" t="str">
        <f>COUNTIFS(NCAA_Bets[Date],M293,NCAA_Bets[Result],"W")&amp;"-"&amp;COUNTIFS(NCAA_Bets[Date],M293,NCAA_Bets[Result],"L")&amp;IF(COUNTIFS(NCAA_Bets[Date],M293,NCAA_Bets[Result],"Push")&gt;0,"-"&amp;COUNTIFS(NCAA_Bets[Date],M293,NCAA_Bets[Result],"Push"),"")</f>
        <v>0-0</v>
      </c>
      <c r="P293" s="90">
        <f>SUMIF(NCAA_Bets[Date],M293,NCAA_Bets[Winnings])-SUMIF(NCAA_Bets[Date],M293,NCAA_Bets[Risk])</f>
        <v>0</v>
      </c>
    </row>
    <row r="294" spans="2:16" x14ac:dyDescent="0.25">
      <c r="B294" s="101">
        <f t="shared" si="11"/>
        <v>24</v>
      </c>
      <c r="C294" s="6">
        <v>43524</v>
      </c>
      <c r="D294" s="6" t="s">
        <v>297</v>
      </c>
      <c r="E294" s="7" t="s">
        <v>1099</v>
      </c>
      <c r="F294" s="8" t="s">
        <v>1100</v>
      </c>
      <c r="G294" s="66">
        <v>2</v>
      </c>
      <c r="H294" s="30">
        <v>-115</v>
      </c>
      <c r="I294" s="10" t="s">
        <v>37</v>
      </c>
      <c r="J29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294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94" s="71">
        <f t="shared" si="13"/>
        <v>0</v>
      </c>
      <c r="M294" s="71">
        <f t="shared" si="12"/>
        <v>0</v>
      </c>
      <c r="N294" s="71" t="str">
        <f>IFERROR(VLOOKUP(M294,NCAA_Bets[[Date]:[Version]],2,0),"")</f>
        <v/>
      </c>
      <c r="O294" s="94" t="str">
        <f>COUNTIFS(NCAA_Bets[Date],M294,NCAA_Bets[Result],"W")&amp;"-"&amp;COUNTIFS(NCAA_Bets[Date],M294,NCAA_Bets[Result],"L")&amp;IF(COUNTIFS(NCAA_Bets[Date],M294,NCAA_Bets[Result],"Push")&gt;0,"-"&amp;COUNTIFS(NCAA_Bets[Date],M294,NCAA_Bets[Result],"Push"),"")</f>
        <v>0-0</v>
      </c>
      <c r="P294" s="90">
        <f>SUMIF(NCAA_Bets[Date],M294,NCAA_Bets[Winnings])-SUMIF(NCAA_Bets[Date],M294,NCAA_Bets[Risk])</f>
        <v>0</v>
      </c>
    </row>
    <row r="295" spans="2:16" x14ac:dyDescent="0.25">
      <c r="B295" s="101">
        <f t="shared" si="11"/>
        <v>24</v>
      </c>
      <c r="C295" s="6">
        <v>43524</v>
      </c>
      <c r="D295" s="6" t="s">
        <v>297</v>
      </c>
      <c r="E295" s="7" t="s">
        <v>1099</v>
      </c>
      <c r="F295" s="8" t="s">
        <v>615</v>
      </c>
      <c r="G295" s="66">
        <v>2</v>
      </c>
      <c r="H295" s="30">
        <v>-110</v>
      </c>
      <c r="I295" s="10" t="s">
        <v>37</v>
      </c>
      <c r="J29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3.8181818181818183</v>
      </c>
      <c r="K295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95" s="71">
        <f t="shared" si="13"/>
        <v>0</v>
      </c>
      <c r="M295" s="71">
        <f t="shared" si="12"/>
        <v>0</v>
      </c>
      <c r="N295" s="71" t="str">
        <f>IFERROR(VLOOKUP(M295,NCAA_Bets[[Date]:[Version]],2,0),"")</f>
        <v/>
      </c>
      <c r="O295" s="94" t="str">
        <f>COUNTIFS(NCAA_Bets[Date],M295,NCAA_Bets[Result],"W")&amp;"-"&amp;COUNTIFS(NCAA_Bets[Date],M295,NCAA_Bets[Result],"L")&amp;IF(COUNTIFS(NCAA_Bets[Date],M295,NCAA_Bets[Result],"Push")&gt;0,"-"&amp;COUNTIFS(NCAA_Bets[Date],M295,NCAA_Bets[Result],"Push"),"")</f>
        <v>0-0</v>
      </c>
      <c r="P295" s="90">
        <f>SUMIF(NCAA_Bets[Date],M295,NCAA_Bets[Winnings])-SUMIF(NCAA_Bets[Date],M295,NCAA_Bets[Risk])</f>
        <v>0</v>
      </c>
    </row>
    <row r="296" spans="2:16" x14ac:dyDescent="0.25">
      <c r="B296" s="101">
        <f t="shared" si="11"/>
        <v>24</v>
      </c>
      <c r="C296" s="6">
        <v>43524</v>
      </c>
      <c r="D296" s="6" t="s">
        <v>297</v>
      </c>
      <c r="E296" s="7" t="s">
        <v>1101</v>
      </c>
      <c r="F296" s="8" t="s">
        <v>1102</v>
      </c>
      <c r="G296" s="66">
        <v>2</v>
      </c>
      <c r="H296" s="30">
        <v>-115</v>
      </c>
      <c r="I296" s="10" t="s">
        <v>37</v>
      </c>
      <c r="J29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3.7391304347826084</v>
      </c>
      <c r="K296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296" s="71">
        <f t="shared" si="13"/>
        <v>0</v>
      </c>
      <c r="M296" s="71">
        <f t="shared" si="12"/>
        <v>0</v>
      </c>
      <c r="N296" s="71" t="str">
        <f>IFERROR(VLOOKUP(M296,NCAA_Bets[[Date]:[Version]],2,0),"")</f>
        <v/>
      </c>
      <c r="O296" s="94" t="str">
        <f>COUNTIFS(NCAA_Bets[Date],M296,NCAA_Bets[Result],"W")&amp;"-"&amp;COUNTIFS(NCAA_Bets[Date],M296,NCAA_Bets[Result],"L")&amp;IF(COUNTIFS(NCAA_Bets[Date],M296,NCAA_Bets[Result],"Push")&gt;0,"-"&amp;COUNTIFS(NCAA_Bets[Date],M296,NCAA_Bets[Result],"Push"),"")</f>
        <v>0-0</v>
      </c>
      <c r="P296" s="90">
        <f>SUMIF(NCAA_Bets[Date],M296,NCAA_Bets[Winnings])-SUMIF(NCAA_Bets[Date],M296,NCAA_Bets[Risk])</f>
        <v>0</v>
      </c>
    </row>
    <row r="297" spans="2:16" x14ac:dyDescent="0.25">
      <c r="B297" s="101">
        <f t="shared" si="11"/>
        <v>24</v>
      </c>
      <c r="C297" s="6">
        <v>43524</v>
      </c>
      <c r="D297" s="6" t="s">
        <v>297</v>
      </c>
      <c r="E297" s="7" t="s">
        <v>1101</v>
      </c>
      <c r="F297" s="8" t="s">
        <v>521</v>
      </c>
      <c r="G297" s="66">
        <v>2</v>
      </c>
      <c r="H297" s="30">
        <v>-110</v>
      </c>
      <c r="I297" s="10" t="s">
        <v>7</v>
      </c>
      <c r="J29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97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297" s="71">
        <f t="shared" si="13"/>
        <v>0</v>
      </c>
      <c r="M297" s="71">
        <f t="shared" si="12"/>
        <v>0</v>
      </c>
      <c r="N297" s="71" t="str">
        <f>IFERROR(VLOOKUP(M297,NCAA_Bets[[Date]:[Version]],2,0),"")</f>
        <v/>
      </c>
      <c r="O297" s="94" t="str">
        <f>COUNTIFS(NCAA_Bets[Date],M297,NCAA_Bets[Result],"W")&amp;"-"&amp;COUNTIFS(NCAA_Bets[Date],M297,NCAA_Bets[Result],"L")&amp;IF(COUNTIFS(NCAA_Bets[Date],M297,NCAA_Bets[Result],"Push")&gt;0,"-"&amp;COUNTIFS(NCAA_Bets[Date],M297,NCAA_Bets[Result],"Push"),"")</f>
        <v>0-0</v>
      </c>
      <c r="P297" s="90">
        <f>SUMIF(NCAA_Bets[Date],M297,NCAA_Bets[Winnings])-SUMIF(NCAA_Bets[Date],M297,NCAA_Bets[Risk])</f>
        <v>0</v>
      </c>
    </row>
    <row r="298" spans="2:16" x14ac:dyDescent="0.25">
      <c r="B298" s="101">
        <f t="shared" si="11"/>
        <v>24</v>
      </c>
      <c r="C298" s="6">
        <v>43524</v>
      </c>
      <c r="D298" s="6" t="s">
        <v>297</v>
      </c>
      <c r="E298" s="7" t="s">
        <v>1103</v>
      </c>
      <c r="F298" s="8" t="s">
        <v>1104</v>
      </c>
      <c r="G298" s="66">
        <v>2</v>
      </c>
      <c r="H298" s="30">
        <v>-115</v>
      </c>
      <c r="I298" s="10" t="s">
        <v>7</v>
      </c>
      <c r="J29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98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98" s="71">
        <f t="shared" si="13"/>
        <v>0</v>
      </c>
      <c r="M298" s="71">
        <f t="shared" si="12"/>
        <v>0</v>
      </c>
      <c r="N298" s="71" t="str">
        <f>IFERROR(VLOOKUP(M298,NCAA_Bets[[Date]:[Version]],2,0),"")</f>
        <v/>
      </c>
      <c r="O298" s="94" t="str">
        <f>COUNTIFS(NCAA_Bets[Date],M298,NCAA_Bets[Result],"W")&amp;"-"&amp;COUNTIFS(NCAA_Bets[Date],M298,NCAA_Bets[Result],"L")&amp;IF(COUNTIFS(NCAA_Bets[Date],M298,NCAA_Bets[Result],"Push")&gt;0,"-"&amp;COUNTIFS(NCAA_Bets[Date],M298,NCAA_Bets[Result],"Push"),"")</f>
        <v>0-0</v>
      </c>
      <c r="P298" s="90">
        <f>SUMIF(NCAA_Bets[Date],M298,NCAA_Bets[Winnings])-SUMIF(NCAA_Bets[Date],M298,NCAA_Bets[Risk])</f>
        <v>0</v>
      </c>
    </row>
    <row r="299" spans="2:16" x14ac:dyDescent="0.25">
      <c r="B299" s="101">
        <f t="shared" si="11"/>
        <v>24</v>
      </c>
      <c r="C299" s="6">
        <v>43524</v>
      </c>
      <c r="D299" s="6" t="s">
        <v>297</v>
      </c>
      <c r="E299" s="7" t="s">
        <v>1105</v>
      </c>
      <c r="F299" s="8" t="s">
        <v>1106</v>
      </c>
      <c r="G299" s="66">
        <v>2</v>
      </c>
      <c r="H299" s="30">
        <v>-110</v>
      </c>
      <c r="I299" s="10" t="s">
        <v>7</v>
      </c>
      <c r="J29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299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299" s="71">
        <f t="shared" si="13"/>
        <v>0</v>
      </c>
      <c r="M299" s="71">
        <f t="shared" si="12"/>
        <v>0</v>
      </c>
      <c r="N299" s="71" t="str">
        <f>IFERROR(VLOOKUP(M299,NCAA_Bets[[Date]:[Version]],2,0),"")</f>
        <v/>
      </c>
      <c r="O299" s="94" t="str">
        <f>COUNTIFS(NCAA_Bets[Date],M299,NCAA_Bets[Result],"W")&amp;"-"&amp;COUNTIFS(NCAA_Bets[Date],M299,NCAA_Bets[Result],"L")&amp;IF(COUNTIFS(NCAA_Bets[Date],M299,NCAA_Bets[Result],"Push")&gt;0,"-"&amp;COUNTIFS(NCAA_Bets[Date],M299,NCAA_Bets[Result],"Push"),"")</f>
        <v>0-0</v>
      </c>
      <c r="P299" s="90">
        <f>SUMIF(NCAA_Bets[Date],M299,NCAA_Bets[Winnings])-SUMIF(NCAA_Bets[Date],M299,NCAA_Bets[Risk])</f>
        <v>0</v>
      </c>
    </row>
    <row r="300" spans="2:16" x14ac:dyDescent="0.25">
      <c r="B300" s="101">
        <f t="shared" si="11"/>
        <v>24</v>
      </c>
      <c r="C300" s="6">
        <v>43524</v>
      </c>
      <c r="D300" s="6" t="s">
        <v>297</v>
      </c>
      <c r="E300" s="7" t="s">
        <v>1107</v>
      </c>
      <c r="F300" s="8" t="s">
        <v>1108</v>
      </c>
      <c r="G300" s="66">
        <v>2</v>
      </c>
      <c r="H300" s="30">
        <v>-110</v>
      </c>
      <c r="I300" s="10" t="s">
        <v>7</v>
      </c>
      <c r="J30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00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00" s="71">
        <f t="shared" si="13"/>
        <v>0</v>
      </c>
      <c r="M300" s="71">
        <f t="shared" si="12"/>
        <v>0</v>
      </c>
      <c r="N300" s="71" t="str">
        <f>IFERROR(VLOOKUP(M300,NCAA_Bets[[Date]:[Version]],2,0),"")</f>
        <v/>
      </c>
      <c r="O300" s="94" t="str">
        <f>COUNTIFS(NCAA_Bets[Date],M300,NCAA_Bets[Result],"W")&amp;"-"&amp;COUNTIFS(NCAA_Bets[Date],M300,NCAA_Bets[Result],"L")&amp;IF(COUNTIFS(NCAA_Bets[Date],M300,NCAA_Bets[Result],"Push")&gt;0,"-"&amp;COUNTIFS(NCAA_Bets[Date],M300,NCAA_Bets[Result],"Push"),"")</f>
        <v>0-0</v>
      </c>
      <c r="P300" s="90">
        <f>SUMIF(NCAA_Bets[Date],M300,NCAA_Bets[Winnings])-SUMIF(NCAA_Bets[Date],M300,NCAA_Bets[Risk])</f>
        <v>0</v>
      </c>
    </row>
    <row r="301" spans="2:16" x14ac:dyDescent="0.25">
      <c r="B301" s="101">
        <f t="shared" si="11"/>
        <v>25</v>
      </c>
      <c r="C301" s="6">
        <v>43529</v>
      </c>
      <c r="D301" s="6" t="s">
        <v>297</v>
      </c>
      <c r="E301" s="7" t="s">
        <v>1126</v>
      </c>
      <c r="F301" s="8" t="s">
        <v>1127</v>
      </c>
      <c r="G301" s="66">
        <v>1</v>
      </c>
      <c r="H301" s="30">
        <v>-110</v>
      </c>
      <c r="I301" s="10" t="s">
        <v>7</v>
      </c>
      <c r="J30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01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01" s="71">
        <f t="shared" si="13"/>
        <v>0</v>
      </c>
      <c r="M301" s="71">
        <f t="shared" si="12"/>
        <v>0</v>
      </c>
      <c r="N301" s="71" t="str">
        <f>IFERROR(VLOOKUP(M301,NCAA_Bets[[Date]:[Version]],2,0),"")</f>
        <v/>
      </c>
      <c r="O301" s="94" t="str">
        <f>COUNTIFS(NCAA_Bets[Date],M301,NCAA_Bets[Result],"W")&amp;"-"&amp;COUNTIFS(NCAA_Bets[Date],M301,NCAA_Bets[Result],"L")&amp;IF(COUNTIFS(NCAA_Bets[Date],M301,NCAA_Bets[Result],"Push")&gt;0,"-"&amp;COUNTIFS(NCAA_Bets[Date],M301,NCAA_Bets[Result],"Push"),"")</f>
        <v>0-0</v>
      </c>
      <c r="P301" s="90">
        <f>SUMIF(NCAA_Bets[Date],M301,NCAA_Bets[Winnings])-SUMIF(NCAA_Bets[Date],M301,NCAA_Bets[Risk])</f>
        <v>0</v>
      </c>
    </row>
    <row r="302" spans="2:16" x14ac:dyDescent="0.25">
      <c r="B302" s="101">
        <f t="shared" si="11"/>
        <v>25</v>
      </c>
      <c r="C302" s="6">
        <v>43529</v>
      </c>
      <c r="D302" s="6" t="s">
        <v>297</v>
      </c>
      <c r="E302" s="7" t="s">
        <v>1128</v>
      </c>
      <c r="F302" s="8" t="s">
        <v>858</v>
      </c>
      <c r="G302" s="66">
        <v>1</v>
      </c>
      <c r="H302" s="30">
        <v>-115</v>
      </c>
      <c r="I302" s="10" t="s">
        <v>37</v>
      </c>
      <c r="J30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1.8695652173913042</v>
      </c>
      <c r="K302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302" s="71">
        <f t="shared" si="13"/>
        <v>0</v>
      </c>
      <c r="M302" s="71">
        <f t="shared" si="12"/>
        <v>0</v>
      </c>
      <c r="N302" s="71" t="str">
        <f>IFERROR(VLOOKUP(M302,NCAA_Bets[[Date]:[Version]],2,0),"")</f>
        <v/>
      </c>
      <c r="O302" s="94" t="str">
        <f>COUNTIFS(NCAA_Bets[Date],M302,NCAA_Bets[Result],"W")&amp;"-"&amp;COUNTIFS(NCAA_Bets[Date],M302,NCAA_Bets[Result],"L")&amp;IF(COUNTIFS(NCAA_Bets[Date],M302,NCAA_Bets[Result],"Push")&gt;0,"-"&amp;COUNTIFS(NCAA_Bets[Date],M302,NCAA_Bets[Result],"Push"),"")</f>
        <v>0-0</v>
      </c>
      <c r="P302" s="90">
        <f>SUMIF(NCAA_Bets[Date],M302,NCAA_Bets[Winnings])-SUMIF(NCAA_Bets[Date],M302,NCAA_Bets[Risk])</f>
        <v>0</v>
      </c>
    </row>
    <row r="303" spans="2:16" x14ac:dyDescent="0.25">
      <c r="B303" s="101">
        <f t="shared" si="11"/>
        <v>25</v>
      </c>
      <c r="C303" s="6">
        <v>43529</v>
      </c>
      <c r="D303" s="6" t="s">
        <v>297</v>
      </c>
      <c r="E303" s="7" t="s">
        <v>1129</v>
      </c>
      <c r="F303" s="8" t="s">
        <v>477</v>
      </c>
      <c r="G303" s="66">
        <v>1</v>
      </c>
      <c r="H303" s="30">
        <v>-110</v>
      </c>
      <c r="I303" s="10" t="s">
        <v>7</v>
      </c>
      <c r="J30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03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03" s="71">
        <f t="shared" si="13"/>
        <v>0</v>
      </c>
      <c r="M303" s="71">
        <f t="shared" si="12"/>
        <v>0</v>
      </c>
      <c r="N303" s="71" t="str">
        <f>IFERROR(VLOOKUP(M303,NCAA_Bets[[Date]:[Version]],2,0),"")</f>
        <v/>
      </c>
      <c r="O303" s="94" t="str">
        <f>COUNTIFS(NCAA_Bets[Date],M303,NCAA_Bets[Result],"W")&amp;"-"&amp;COUNTIFS(NCAA_Bets[Date],M303,NCAA_Bets[Result],"L")&amp;IF(COUNTIFS(NCAA_Bets[Date],M303,NCAA_Bets[Result],"Push")&gt;0,"-"&amp;COUNTIFS(NCAA_Bets[Date],M303,NCAA_Bets[Result],"Push"),"")</f>
        <v>0-0</v>
      </c>
      <c r="P303" s="90">
        <f>SUMIF(NCAA_Bets[Date],M303,NCAA_Bets[Winnings])-SUMIF(NCAA_Bets[Date],M303,NCAA_Bets[Risk])</f>
        <v>0</v>
      </c>
    </row>
    <row r="304" spans="2:16" x14ac:dyDescent="0.25">
      <c r="B304" s="101">
        <f t="shared" si="11"/>
        <v>25</v>
      </c>
      <c r="C304" s="6">
        <v>43529</v>
      </c>
      <c r="D304" s="6" t="s">
        <v>297</v>
      </c>
      <c r="E304" s="7" t="s">
        <v>1130</v>
      </c>
      <c r="F304" s="8" t="s">
        <v>1131</v>
      </c>
      <c r="G304" s="66">
        <v>1</v>
      </c>
      <c r="H304" s="30">
        <v>-110</v>
      </c>
      <c r="I304" s="10" t="s">
        <v>7</v>
      </c>
      <c r="J30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04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04" s="71">
        <f t="shared" si="13"/>
        <v>0</v>
      </c>
      <c r="M304" s="71">
        <f t="shared" si="12"/>
        <v>0</v>
      </c>
      <c r="N304" s="71" t="str">
        <f>IFERROR(VLOOKUP(M304,NCAA_Bets[[Date]:[Version]],2,0),"")</f>
        <v/>
      </c>
      <c r="O304" s="94" t="str">
        <f>COUNTIFS(NCAA_Bets[Date],M304,NCAA_Bets[Result],"W")&amp;"-"&amp;COUNTIFS(NCAA_Bets[Date],M304,NCAA_Bets[Result],"L")&amp;IF(COUNTIFS(NCAA_Bets[Date],M304,NCAA_Bets[Result],"Push")&gt;0,"-"&amp;COUNTIFS(NCAA_Bets[Date],M304,NCAA_Bets[Result],"Push"),"")</f>
        <v>0-0</v>
      </c>
      <c r="P304" s="90">
        <f>SUMIF(NCAA_Bets[Date],M304,NCAA_Bets[Winnings])-SUMIF(NCAA_Bets[Date],M304,NCAA_Bets[Risk])</f>
        <v>0</v>
      </c>
    </row>
    <row r="305" spans="2:16" x14ac:dyDescent="0.25">
      <c r="B305" s="101">
        <f t="shared" si="11"/>
        <v>25</v>
      </c>
      <c r="C305" s="6">
        <v>43529</v>
      </c>
      <c r="D305" s="6" t="s">
        <v>297</v>
      </c>
      <c r="E305" s="7" t="s">
        <v>1132</v>
      </c>
      <c r="F305" s="8" t="s">
        <v>1133</v>
      </c>
      <c r="G305" s="66">
        <v>1</v>
      </c>
      <c r="H305" s="30">
        <v>-110</v>
      </c>
      <c r="I305" s="10" t="s">
        <v>37</v>
      </c>
      <c r="J30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1.9090909090909092</v>
      </c>
      <c r="K305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05" s="71">
        <f t="shared" si="13"/>
        <v>0</v>
      </c>
      <c r="M305" s="71">
        <f t="shared" si="12"/>
        <v>0</v>
      </c>
      <c r="N305" s="71" t="str">
        <f>IFERROR(VLOOKUP(M305,NCAA_Bets[[Date]:[Version]],2,0),"")</f>
        <v/>
      </c>
      <c r="O305" s="94" t="str">
        <f>COUNTIFS(NCAA_Bets[Date],M305,NCAA_Bets[Result],"W")&amp;"-"&amp;COUNTIFS(NCAA_Bets[Date],M305,NCAA_Bets[Result],"L")&amp;IF(COUNTIFS(NCAA_Bets[Date],M305,NCAA_Bets[Result],"Push")&gt;0,"-"&amp;COUNTIFS(NCAA_Bets[Date],M305,NCAA_Bets[Result],"Push"),"")</f>
        <v>0-0</v>
      </c>
      <c r="P305" s="90">
        <f>SUMIF(NCAA_Bets[Date],M305,NCAA_Bets[Winnings])-SUMIF(NCAA_Bets[Date],M305,NCAA_Bets[Risk])</f>
        <v>0</v>
      </c>
    </row>
    <row r="306" spans="2:16" x14ac:dyDescent="0.25">
      <c r="B306" s="101">
        <f t="shared" si="11"/>
        <v>25</v>
      </c>
      <c r="C306" s="6">
        <v>43529</v>
      </c>
      <c r="D306" s="6" t="s">
        <v>297</v>
      </c>
      <c r="E306" s="7" t="s">
        <v>1132</v>
      </c>
      <c r="F306" s="8" t="s">
        <v>517</v>
      </c>
      <c r="G306" s="66">
        <v>1</v>
      </c>
      <c r="H306" s="30">
        <v>-105</v>
      </c>
      <c r="I306" s="10" t="s">
        <v>37</v>
      </c>
      <c r="J30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1.9523809523809526</v>
      </c>
      <c r="K306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306" s="71">
        <f t="shared" si="13"/>
        <v>0</v>
      </c>
      <c r="M306" s="71">
        <f t="shared" si="12"/>
        <v>0</v>
      </c>
      <c r="N306" s="71" t="str">
        <f>IFERROR(VLOOKUP(M306,NCAA_Bets[[Date]:[Version]],2,0),"")</f>
        <v/>
      </c>
      <c r="O306" s="94" t="str">
        <f>COUNTIFS(NCAA_Bets[Date],M306,NCAA_Bets[Result],"W")&amp;"-"&amp;COUNTIFS(NCAA_Bets[Date],M306,NCAA_Bets[Result],"L")&amp;IF(COUNTIFS(NCAA_Bets[Date],M306,NCAA_Bets[Result],"Push")&gt;0,"-"&amp;COUNTIFS(NCAA_Bets[Date],M306,NCAA_Bets[Result],"Push"),"")</f>
        <v>0-0</v>
      </c>
      <c r="P306" s="90">
        <f>SUMIF(NCAA_Bets[Date],M306,NCAA_Bets[Winnings])-SUMIF(NCAA_Bets[Date],M306,NCAA_Bets[Risk])</f>
        <v>0</v>
      </c>
    </row>
    <row r="307" spans="2:16" x14ac:dyDescent="0.25">
      <c r="B307" s="101">
        <f t="shared" si="11"/>
        <v>25</v>
      </c>
      <c r="C307" s="6">
        <v>43529</v>
      </c>
      <c r="D307" s="6" t="s">
        <v>297</v>
      </c>
      <c r="E307" s="7" t="s">
        <v>1134</v>
      </c>
      <c r="F307" s="8" t="s">
        <v>1135</v>
      </c>
      <c r="G307" s="66">
        <v>1</v>
      </c>
      <c r="H307" s="30">
        <v>-115</v>
      </c>
      <c r="I307" s="10" t="s">
        <v>7</v>
      </c>
      <c r="J30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07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07" s="71">
        <f t="shared" si="13"/>
        <v>0</v>
      </c>
      <c r="M307" s="71">
        <f t="shared" si="12"/>
        <v>0</v>
      </c>
      <c r="N307" s="71" t="str">
        <f>IFERROR(VLOOKUP(M307,NCAA_Bets[[Date]:[Version]],2,0),"")</f>
        <v/>
      </c>
      <c r="O307" s="94" t="str">
        <f>COUNTIFS(NCAA_Bets[Date],M307,NCAA_Bets[Result],"W")&amp;"-"&amp;COUNTIFS(NCAA_Bets[Date],M307,NCAA_Bets[Result],"L")&amp;IF(COUNTIFS(NCAA_Bets[Date],M307,NCAA_Bets[Result],"Push")&gt;0,"-"&amp;COUNTIFS(NCAA_Bets[Date],M307,NCAA_Bets[Result],"Push"),"")</f>
        <v>0-0</v>
      </c>
      <c r="P307" s="90">
        <f>SUMIF(NCAA_Bets[Date],M307,NCAA_Bets[Winnings])-SUMIF(NCAA_Bets[Date],M307,NCAA_Bets[Risk])</f>
        <v>0</v>
      </c>
    </row>
    <row r="308" spans="2:16" x14ac:dyDescent="0.25">
      <c r="B308" s="101">
        <f t="shared" si="11"/>
        <v>25</v>
      </c>
      <c r="C308" s="6">
        <v>43529</v>
      </c>
      <c r="D308" s="6" t="s">
        <v>297</v>
      </c>
      <c r="E308" s="7" t="s">
        <v>1136</v>
      </c>
      <c r="F308" s="8" t="s">
        <v>1137</v>
      </c>
      <c r="G308" s="66">
        <v>1</v>
      </c>
      <c r="H308" s="30">
        <v>-110</v>
      </c>
      <c r="I308" s="10" t="s">
        <v>7</v>
      </c>
      <c r="J30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08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08" s="71">
        <f t="shared" si="13"/>
        <v>0</v>
      </c>
      <c r="M308" s="71">
        <f t="shared" si="12"/>
        <v>0</v>
      </c>
      <c r="N308" s="71" t="str">
        <f>IFERROR(VLOOKUP(M308,NCAA_Bets[[Date]:[Version]],2,0),"")</f>
        <v/>
      </c>
      <c r="O308" s="94" t="str">
        <f>COUNTIFS(NCAA_Bets[Date],M308,NCAA_Bets[Result],"W")&amp;"-"&amp;COUNTIFS(NCAA_Bets[Date],M308,NCAA_Bets[Result],"L")&amp;IF(COUNTIFS(NCAA_Bets[Date],M308,NCAA_Bets[Result],"Push")&gt;0,"-"&amp;COUNTIFS(NCAA_Bets[Date],M308,NCAA_Bets[Result],"Push"),"")</f>
        <v>0-0</v>
      </c>
      <c r="P308" s="90">
        <f>SUMIF(NCAA_Bets[Date],M308,NCAA_Bets[Winnings])-SUMIF(NCAA_Bets[Date],M308,NCAA_Bets[Risk])</f>
        <v>0</v>
      </c>
    </row>
    <row r="309" spans="2:16" x14ac:dyDescent="0.25">
      <c r="B309" s="101">
        <f t="shared" si="11"/>
        <v>26</v>
      </c>
      <c r="C309" s="6">
        <v>43530</v>
      </c>
      <c r="D309" s="6" t="s">
        <v>297</v>
      </c>
      <c r="E309" s="7" t="s">
        <v>1153</v>
      </c>
      <c r="F309" s="8" t="s">
        <v>1154</v>
      </c>
      <c r="G309" s="66">
        <v>1</v>
      </c>
      <c r="H309" s="30">
        <v>-110</v>
      </c>
      <c r="I309" s="10" t="s">
        <v>37</v>
      </c>
      <c r="J30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1.9090909090909092</v>
      </c>
      <c r="K309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09" s="71">
        <f t="shared" si="13"/>
        <v>0</v>
      </c>
      <c r="M309" s="71">
        <f t="shared" si="12"/>
        <v>0</v>
      </c>
      <c r="N309" s="71" t="str">
        <f>IFERROR(VLOOKUP(M309,NCAA_Bets[[Date]:[Version]],2,0),"")</f>
        <v/>
      </c>
      <c r="O309" s="94" t="str">
        <f>COUNTIFS(NCAA_Bets[Date],M309,NCAA_Bets[Result],"W")&amp;"-"&amp;COUNTIFS(NCAA_Bets[Date],M309,NCAA_Bets[Result],"L")&amp;IF(COUNTIFS(NCAA_Bets[Date],M309,NCAA_Bets[Result],"Push")&gt;0,"-"&amp;COUNTIFS(NCAA_Bets[Date],M309,NCAA_Bets[Result],"Push"),"")</f>
        <v>0-0</v>
      </c>
      <c r="P309" s="90">
        <f>SUMIF(NCAA_Bets[Date],M309,NCAA_Bets[Winnings])-SUMIF(NCAA_Bets[Date],M309,NCAA_Bets[Risk])</f>
        <v>0</v>
      </c>
    </row>
    <row r="310" spans="2:16" x14ac:dyDescent="0.25">
      <c r="B310" s="101">
        <f t="shared" si="11"/>
        <v>26</v>
      </c>
      <c r="C310" s="6">
        <v>43530</v>
      </c>
      <c r="D310" s="6" t="s">
        <v>297</v>
      </c>
      <c r="E310" s="7" t="s">
        <v>1155</v>
      </c>
      <c r="F310" s="8" t="s">
        <v>1156</v>
      </c>
      <c r="G310" s="66">
        <v>1</v>
      </c>
      <c r="H310" s="30">
        <v>-105</v>
      </c>
      <c r="I310" s="10" t="s">
        <v>7</v>
      </c>
      <c r="J31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10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10" s="71">
        <f t="shared" si="13"/>
        <v>0</v>
      </c>
      <c r="M310" s="71">
        <f t="shared" si="12"/>
        <v>0</v>
      </c>
      <c r="N310" s="71" t="str">
        <f>IFERROR(VLOOKUP(M310,NCAA_Bets[[Date]:[Version]],2,0),"")</f>
        <v/>
      </c>
      <c r="O310" s="94" t="str">
        <f>COUNTIFS(NCAA_Bets[Date],M310,NCAA_Bets[Result],"W")&amp;"-"&amp;COUNTIFS(NCAA_Bets[Date],M310,NCAA_Bets[Result],"L")&amp;IF(COUNTIFS(NCAA_Bets[Date],M310,NCAA_Bets[Result],"Push")&gt;0,"-"&amp;COUNTIFS(NCAA_Bets[Date],M310,NCAA_Bets[Result],"Push"),"")</f>
        <v>0-0</v>
      </c>
      <c r="P310" s="90">
        <f>SUMIF(NCAA_Bets[Date],M310,NCAA_Bets[Winnings])-SUMIF(NCAA_Bets[Date],M310,NCAA_Bets[Risk])</f>
        <v>0</v>
      </c>
    </row>
    <row r="311" spans="2:16" x14ac:dyDescent="0.25">
      <c r="B311" s="101">
        <f t="shared" si="11"/>
        <v>26</v>
      </c>
      <c r="C311" s="6">
        <v>43530</v>
      </c>
      <c r="D311" s="6" t="s">
        <v>297</v>
      </c>
      <c r="E311" s="7" t="s">
        <v>1155</v>
      </c>
      <c r="F311" s="8" t="s">
        <v>517</v>
      </c>
      <c r="G311" s="66">
        <v>1</v>
      </c>
      <c r="H311" s="30">
        <v>-105</v>
      </c>
      <c r="I311" s="10" t="s">
        <v>37</v>
      </c>
      <c r="J31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1.9523809523809526</v>
      </c>
      <c r="K311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311" s="71">
        <f t="shared" si="13"/>
        <v>0</v>
      </c>
      <c r="M311" s="71">
        <f t="shared" si="12"/>
        <v>0</v>
      </c>
      <c r="N311" s="71" t="str">
        <f>IFERROR(VLOOKUP(M311,NCAA_Bets[[Date]:[Version]],2,0),"")</f>
        <v/>
      </c>
      <c r="O311" s="94" t="str">
        <f>COUNTIFS(NCAA_Bets[Date],M311,NCAA_Bets[Result],"W")&amp;"-"&amp;COUNTIFS(NCAA_Bets[Date],M311,NCAA_Bets[Result],"L")&amp;IF(COUNTIFS(NCAA_Bets[Date],M311,NCAA_Bets[Result],"Push")&gt;0,"-"&amp;COUNTIFS(NCAA_Bets[Date],M311,NCAA_Bets[Result],"Push"),"")</f>
        <v>0-0</v>
      </c>
      <c r="P311" s="90">
        <f>SUMIF(NCAA_Bets[Date],M311,NCAA_Bets[Winnings])-SUMIF(NCAA_Bets[Date],M311,NCAA_Bets[Risk])</f>
        <v>0</v>
      </c>
    </row>
    <row r="312" spans="2:16" x14ac:dyDescent="0.25">
      <c r="B312" s="101">
        <f t="shared" si="11"/>
        <v>26</v>
      </c>
      <c r="C312" s="6">
        <v>43530</v>
      </c>
      <c r="D312" s="6" t="s">
        <v>297</v>
      </c>
      <c r="E312" s="7" t="s">
        <v>1157</v>
      </c>
      <c r="F312" s="8" t="s">
        <v>1158</v>
      </c>
      <c r="G312" s="66">
        <v>1</v>
      </c>
      <c r="H312" s="30">
        <v>-105</v>
      </c>
      <c r="I312" s="10" t="s">
        <v>37</v>
      </c>
      <c r="J31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1.9523809523809526</v>
      </c>
      <c r="K312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12" s="71">
        <f t="shared" si="13"/>
        <v>0</v>
      </c>
      <c r="M312" s="71">
        <f t="shared" si="12"/>
        <v>0</v>
      </c>
      <c r="N312" s="71" t="str">
        <f>IFERROR(VLOOKUP(M312,NCAA_Bets[[Date]:[Version]],2,0),"")</f>
        <v/>
      </c>
      <c r="O312" s="94" t="str">
        <f>COUNTIFS(NCAA_Bets[Date],M312,NCAA_Bets[Result],"W")&amp;"-"&amp;COUNTIFS(NCAA_Bets[Date],M312,NCAA_Bets[Result],"L")&amp;IF(COUNTIFS(NCAA_Bets[Date],M312,NCAA_Bets[Result],"Push")&gt;0,"-"&amp;COUNTIFS(NCAA_Bets[Date],M312,NCAA_Bets[Result],"Push"),"")</f>
        <v>0-0</v>
      </c>
      <c r="P312" s="90">
        <f>SUMIF(NCAA_Bets[Date],M312,NCAA_Bets[Winnings])-SUMIF(NCAA_Bets[Date],M312,NCAA_Bets[Risk])</f>
        <v>0</v>
      </c>
    </row>
    <row r="313" spans="2:16" x14ac:dyDescent="0.25">
      <c r="B313" s="101">
        <f t="shared" si="11"/>
        <v>26</v>
      </c>
      <c r="C313" s="6">
        <v>43530</v>
      </c>
      <c r="D313" s="6" t="s">
        <v>297</v>
      </c>
      <c r="E313" s="7" t="s">
        <v>1157</v>
      </c>
      <c r="F313" s="8" t="s">
        <v>858</v>
      </c>
      <c r="G313" s="66">
        <v>1</v>
      </c>
      <c r="H313" s="30">
        <v>-115</v>
      </c>
      <c r="I313" s="10" t="s">
        <v>7</v>
      </c>
      <c r="J31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13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313" s="71">
        <f t="shared" si="13"/>
        <v>0</v>
      </c>
      <c r="M313" s="71">
        <f t="shared" si="12"/>
        <v>0</v>
      </c>
      <c r="N313" s="71" t="str">
        <f>IFERROR(VLOOKUP(M313,NCAA_Bets[[Date]:[Version]],2,0),"")</f>
        <v/>
      </c>
      <c r="O313" s="94" t="str">
        <f>COUNTIFS(NCAA_Bets[Date],M313,NCAA_Bets[Result],"W")&amp;"-"&amp;COUNTIFS(NCAA_Bets[Date],M313,NCAA_Bets[Result],"L")&amp;IF(COUNTIFS(NCAA_Bets[Date],M313,NCAA_Bets[Result],"Push")&gt;0,"-"&amp;COUNTIFS(NCAA_Bets[Date],M313,NCAA_Bets[Result],"Push"),"")</f>
        <v>0-0</v>
      </c>
      <c r="P313" s="90">
        <f>SUMIF(NCAA_Bets[Date],M313,NCAA_Bets[Winnings])-SUMIF(NCAA_Bets[Date],M313,NCAA_Bets[Risk])</f>
        <v>0</v>
      </c>
    </row>
    <row r="314" spans="2:16" x14ac:dyDescent="0.25">
      <c r="B314" s="101">
        <f t="shared" si="11"/>
        <v>26</v>
      </c>
      <c r="C314" s="6">
        <v>43530</v>
      </c>
      <c r="D314" s="6" t="s">
        <v>297</v>
      </c>
      <c r="E314" s="7" t="s">
        <v>1159</v>
      </c>
      <c r="F314" s="8" t="s">
        <v>1160</v>
      </c>
      <c r="G314" s="66">
        <v>1</v>
      </c>
      <c r="H314" s="30">
        <v>-115</v>
      </c>
      <c r="I314" s="10" t="s">
        <v>37</v>
      </c>
      <c r="J31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1.8695652173913042</v>
      </c>
      <c r="K314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14" s="71">
        <f t="shared" si="13"/>
        <v>0</v>
      </c>
      <c r="M314" s="71">
        <f t="shared" si="12"/>
        <v>0</v>
      </c>
      <c r="N314" s="71" t="str">
        <f>IFERROR(VLOOKUP(M314,NCAA_Bets[[Date]:[Version]],2,0),"")</f>
        <v/>
      </c>
      <c r="O314" s="94" t="str">
        <f>COUNTIFS(NCAA_Bets[Date],M314,NCAA_Bets[Result],"W")&amp;"-"&amp;COUNTIFS(NCAA_Bets[Date],M314,NCAA_Bets[Result],"L")&amp;IF(COUNTIFS(NCAA_Bets[Date],M314,NCAA_Bets[Result],"Push")&gt;0,"-"&amp;COUNTIFS(NCAA_Bets[Date],M314,NCAA_Bets[Result],"Push"),"")</f>
        <v>0-0</v>
      </c>
      <c r="P314" s="90">
        <f>SUMIF(NCAA_Bets[Date],M314,NCAA_Bets[Winnings])-SUMIF(NCAA_Bets[Date],M314,NCAA_Bets[Risk])</f>
        <v>0</v>
      </c>
    </row>
    <row r="315" spans="2:16" x14ac:dyDescent="0.25">
      <c r="B315" s="101">
        <f t="shared" si="11"/>
        <v>26</v>
      </c>
      <c r="C315" s="6">
        <v>43530</v>
      </c>
      <c r="D315" s="6" t="s">
        <v>297</v>
      </c>
      <c r="E315" s="7" t="s">
        <v>1159</v>
      </c>
      <c r="F315" s="8" t="s">
        <v>1161</v>
      </c>
      <c r="G315" s="66">
        <v>1</v>
      </c>
      <c r="H315" s="30">
        <v>-110</v>
      </c>
      <c r="I315" s="10" t="s">
        <v>7</v>
      </c>
      <c r="J31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15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315" s="71">
        <f t="shared" si="13"/>
        <v>0</v>
      </c>
      <c r="M315" s="71">
        <f t="shared" si="12"/>
        <v>0</v>
      </c>
      <c r="N315" s="71" t="str">
        <f>IFERROR(VLOOKUP(M315,NCAA_Bets[[Date]:[Version]],2,0),"")</f>
        <v/>
      </c>
      <c r="O315" s="94" t="str">
        <f>COUNTIFS(NCAA_Bets[Date],M315,NCAA_Bets[Result],"W")&amp;"-"&amp;COUNTIFS(NCAA_Bets[Date],M315,NCAA_Bets[Result],"L")&amp;IF(COUNTIFS(NCAA_Bets[Date],M315,NCAA_Bets[Result],"Push")&gt;0,"-"&amp;COUNTIFS(NCAA_Bets[Date],M315,NCAA_Bets[Result],"Push"),"")</f>
        <v>0-0</v>
      </c>
      <c r="P315" s="90">
        <f>SUMIF(NCAA_Bets[Date],M315,NCAA_Bets[Winnings])-SUMIF(NCAA_Bets[Date],M315,NCAA_Bets[Risk])</f>
        <v>0</v>
      </c>
    </row>
    <row r="316" spans="2:16" x14ac:dyDescent="0.25">
      <c r="B316" s="101">
        <f t="shared" si="11"/>
        <v>26</v>
      </c>
      <c r="C316" s="6">
        <v>43530</v>
      </c>
      <c r="D316" s="6" t="s">
        <v>297</v>
      </c>
      <c r="E316" s="7" t="s">
        <v>1162</v>
      </c>
      <c r="F316" s="8" t="s">
        <v>1163</v>
      </c>
      <c r="G316" s="66">
        <v>1</v>
      </c>
      <c r="H316" s="30">
        <v>-110</v>
      </c>
      <c r="I316" s="10" t="s">
        <v>7</v>
      </c>
      <c r="J31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16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16" s="71">
        <f t="shared" si="13"/>
        <v>0</v>
      </c>
      <c r="M316" s="71">
        <f t="shared" si="12"/>
        <v>0</v>
      </c>
      <c r="N316" s="71" t="str">
        <f>IFERROR(VLOOKUP(M316,NCAA_Bets[[Date]:[Version]],2,0),"")</f>
        <v/>
      </c>
      <c r="O316" s="94" t="str">
        <f>COUNTIFS(NCAA_Bets[Date],M316,NCAA_Bets[Result],"W")&amp;"-"&amp;COUNTIFS(NCAA_Bets[Date],M316,NCAA_Bets[Result],"L")&amp;IF(COUNTIFS(NCAA_Bets[Date],M316,NCAA_Bets[Result],"Push")&gt;0,"-"&amp;COUNTIFS(NCAA_Bets[Date],M316,NCAA_Bets[Result],"Push"),"")</f>
        <v>0-0</v>
      </c>
      <c r="P316" s="90">
        <f>SUMIF(NCAA_Bets[Date],M316,NCAA_Bets[Winnings])-SUMIF(NCAA_Bets[Date],M316,NCAA_Bets[Risk])</f>
        <v>0</v>
      </c>
    </row>
    <row r="317" spans="2:16" x14ac:dyDescent="0.25">
      <c r="B317" s="101">
        <f t="shared" si="11"/>
        <v>26</v>
      </c>
      <c r="C317" s="6">
        <v>43530</v>
      </c>
      <c r="D317" s="6" t="s">
        <v>297</v>
      </c>
      <c r="E317" s="7" t="s">
        <v>1162</v>
      </c>
      <c r="F317" s="8" t="s">
        <v>540</v>
      </c>
      <c r="G317" s="66">
        <v>1</v>
      </c>
      <c r="H317" s="30">
        <v>-110</v>
      </c>
      <c r="I317" s="10" t="s">
        <v>7</v>
      </c>
      <c r="J31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17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317" s="71">
        <f t="shared" si="13"/>
        <v>0</v>
      </c>
      <c r="M317" s="71">
        <f t="shared" si="12"/>
        <v>0</v>
      </c>
      <c r="N317" s="71" t="str">
        <f>IFERROR(VLOOKUP(M317,NCAA_Bets[[Date]:[Version]],2,0),"")</f>
        <v/>
      </c>
      <c r="O317" s="94" t="str">
        <f>COUNTIFS(NCAA_Bets[Date],M317,NCAA_Bets[Result],"W")&amp;"-"&amp;COUNTIFS(NCAA_Bets[Date],M317,NCAA_Bets[Result],"L")&amp;IF(COUNTIFS(NCAA_Bets[Date],M317,NCAA_Bets[Result],"Push")&gt;0,"-"&amp;COUNTIFS(NCAA_Bets[Date],M317,NCAA_Bets[Result],"Push"),"")</f>
        <v>0-0</v>
      </c>
      <c r="P317" s="90">
        <f>SUMIF(NCAA_Bets[Date],M317,NCAA_Bets[Winnings])-SUMIF(NCAA_Bets[Date],M317,NCAA_Bets[Risk])</f>
        <v>0</v>
      </c>
    </row>
    <row r="318" spans="2:16" x14ac:dyDescent="0.25">
      <c r="B318" s="101">
        <f t="shared" si="11"/>
        <v>26</v>
      </c>
      <c r="C318" s="6">
        <v>43530</v>
      </c>
      <c r="D318" s="6" t="s">
        <v>297</v>
      </c>
      <c r="E318" s="7" t="s">
        <v>1164</v>
      </c>
      <c r="F318" s="8" t="s">
        <v>1165</v>
      </c>
      <c r="G318" s="66">
        <v>1</v>
      </c>
      <c r="H318" s="30">
        <v>-110</v>
      </c>
      <c r="I318" s="10" t="s">
        <v>7</v>
      </c>
      <c r="J31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18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18" s="71">
        <f t="shared" si="13"/>
        <v>0</v>
      </c>
      <c r="M318" s="71">
        <f t="shared" si="12"/>
        <v>0</v>
      </c>
      <c r="N318" s="71" t="str">
        <f>IFERROR(VLOOKUP(M318,NCAA_Bets[[Date]:[Version]],2,0),"")</f>
        <v/>
      </c>
      <c r="O318" s="94" t="str">
        <f>COUNTIFS(NCAA_Bets[Date],M318,NCAA_Bets[Result],"W")&amp;"-"&amp;COUNTIFS(NCAA_Bets[Date],M318,NCAA_Bets[Result],"L")&amp;IF(COUNTIFS(NCAA_Bets[Date],M318,NCAA_Bets[Result],"Push")&gt;0,"-"&amp;COUNTIFS(NCAA_Bets[Date],M318,NCAA_Bets[Result],"Push"),"")</f>
        <v>0-0</v>
      </c>
      <c r="P318" s="90">
        <f>SUMIF(NCAA_Bets[Date],M318,NCAA_Bets[Winnings])-SUMIF(NCAA_Bets[Date],M318,NCAA_Bets[Risk])</f>
        <v>0</v>
      </c>
    </row>
    <row r="319" spans="2:16" x14ac:dyDescent="0.25">
      <c r="B319" s="101">
        <f t="shared" si="11"/>
        <v>26</v>
      </c>
      <c r="C319" s="6">
        <v>43530</v>
      </c>
      <c r="D319" s="6" t="s">
        <v>297</v>
      </c>
      <c r="E319" s="7" t="s">
        <v>1164</v>
      </c>
      <c r="F319" s="8" t="s">
        <v>750</v>
      </c>
      <c r="G319" s="66">
        <v>1</v>
      </c>
      <c r="H319" s="30">
        <v>-250</v>
      </c>
      <c r="I319" s="10" t="s">
        <v>7</v>
      </c>
      <c r="J31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19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319" s="71">
        <f t="shared" si="13"/>
        <v>0</v>
      </c>
      <c r="M319" s="71">
        <f t="shared" si="12"/>
        <v>0</v>
      </c>
      <c r="N319" s="71" t="str">
        <f>IFERROR(VLOOKUP(M319,NCAA_Bets[[Date]:[Version]],2,0),"")</f>
        <v/>
      </c>
      <c r="O319" s="94" t="str">
        <f>COUNTIFS(NCAA_Bets[Date],M319,NCAA_Bets[Result],"W")&amp;"-"&amp;COUNTIFS(NCAA_Bets[Date],M319,NCAA_Bets[Result],"L")&amp;IF(COUNTIFS(NCAA_Bets[Date],M319,NCAA_Bets[Result],"Push")&gt;0,"-"&amp;COUNTIFS(NCAA_Bets[Date],M319,NCAA_Bets[Result],"Push"),"")</f>
        <v>0-0</v>
      </c>
      <c r="P319" s="90">
        <f>SUMIF(NCAA_Bets[Date],M319,NCAA_Bets[Winnings])-SUMIF(NCAA_Bets[Date],M319,NCAA_Bets[Risk])</f>
        <v>0</v>
      </c>
    </row>
    <row r="320" spans="2:16" x14ac:dyDescent="0.25">
      <c r="B320" s="101">
        <f t="shared" si="11"/>
        <v>26</v>
      </c>
      <c r="C320" s="6">
        <v>43530</v>
      </c>
      <c r="D320" s="6" t="s">
        <v>297</v>
      </c>
      <c r="E320" s="7" t="s">
        <v>1164</v>
      </c>
      <c r="F320" s="8" t="s">
        <v>1166</v>
      </c>
      <c r="G320" s="66">
        <v>1</v>
      </c>
      <c r="H320" s="30">
        <v>-110</v>
      </c>
      <c r="I320" s="10" t="s">
        <v>7</v>
      </c>
      <c r="J32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20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320" s="71">
        <f t="shared" si="13"/>
        <v>0</v>
      </c>
      <c r="M320" s="71">
        <f t="shared" si="12"/>
        <v>0</v>
      </c>
      <c r="N320" s="71" t="str">
        <f>IFERROR(VLOOKUP(M320,NCAA_Bets[[Date]:[Version]],2,0),"")</f>
        <v/>
      </c>
      <c r="O320" s="94" t="str">
        <f>COUNTIFS(NCAA_Bets[Date],M320,NCAA_Bets[Result],"W")&amp;"-"&amp;COUNTIFS(NCAA_Bets[Date],M320,NCAA_Bets[Result],"L")&amp;IF(COUNTIFS(NCAA_Bets[Date],M320,NCAA_Bets[Result],"Push")&gt;0,"-"&amp;COUNTIFS(NCAA_Bets[Date],M320,NCAA_Bets[Result],"Push"),"")</f>
        <v>0-0</v>
      </c>
      <c r="P320" s="90">
        <f>SUMIF(NCAA_Bets[Date],M320,NCAA_Bets[Winnings])-SUMIF(NCAA_Bets[Date],M320,NCAA_Bets[Risk])</f>
        <v>0</v>
      </c>
    </row>
    <row r="321" spans="2:16" x14ac:dyDescent="0.25">
      <c r="B321" s="101">
        <f t="shared" si="11"/>
        <v>26</v>
      </c>
      <c r="C321" s="6">
        <v>43530</v>
      </c>
      <c r="D321" s="6" t="s">
        <v>297</v>
      </c>
      <c r="E321" s="7" t="s">
        <v>1167</v>
      </c>
      <c r="F321" s="8" t="s">
        <v>1168</v>
      </c>
      <c r="G321" s="66">
        <v>1</v>
      </c>
      <c r="H321" s="30">
        <v>-115</v>
      </c>
      <c r="I321" s="10" t="s">
        <v>37</v>
      </c>
      <c r="J32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1.8695652173913042</v>
      </c>
      <c r="K321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21" s="71">
        <f t="shared" si="13"/>
        <v>0</v>
      </c>
      <c r="M321" s="71">
        <f t="shared" si="12"/>
        <v>0</v>
      </c>
      <c r="N321" s="71" t="str">
        <f>IFERROR(VLOOKUP(M321,NCAA_Bets[[Date]:[Version]],2,0),"")</f>
        <v/>
      </c>
      <c r="O321" s="94" t="str">
        <f>COUNTIFS(NCAA_Bets[Date],M321,NCAA_Bets[Result],"W")&amp;"-"&amp;COUNTIFS(NCAA_Bets[Date],M321,NCAA_Bets[Result],"L")&amp;IF(COUNTIFS(NCAA_Bets[Date],M321,NCAA_Bets[Result],"Push")&gt;0,"-"&amp;COUNTIFS(NCAA_Bets[Date],M321,NCAA_Bets[Result],"Push"),"")</f>
        <v>0-0</v>
      </c>
      <c r="P321" s="90">
        <f>SUMIF(NCAA_Bets[Date],M321,NCAA_Bets[Winnings])-SUMIF(NCAA_Bets[Date],M321,NCAA_Bets[Risk])</f>
        <v>0</v>
      </c>
    </row>
    <row r="322" spans="2:16" x14ac:dyDescent="0.25">
      <c r="B322" s="101">
        <f t="shared" si="11"/>
        <v>26</v>
      </c>
      <c r="C322" s="6">
        <v>43530</v>
      </c>
      <c r="D322" s="6" t="s">
        <v>297</v>
      </c>
      <c r="E322" s="7" t="s">
        <v>1167</v>
      </c>
      <c r="F322" s="8" t="s">
        <v>779</v>
      </c>
      <c r="G322" s="66">
        <v>1</v>
      </c>
      <c r="H322" s="30">
        <v>-110</v>
      </c>
      <c r="I322" s="10" t="s">
        <v>7</v>
      </c>
      <c r="J32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22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322" s="71">
        <f t="shared" si="13"/>
        <v>0</v>
      </c>
      <c r="M322" s="71">
        <f t="shared" si="12"/>
        <v>0</v>
      </c>
      <c r="N322" s="71" t="str">
        <f>IFERROR(VLOOKUP(M322,NCAA_Bets[[Date]:[Version]],2,0),"")</f>
        <v/>
      </c>
      <c r="O322" s="94" t="str">
        <f>COUNTIFS(NCAA_Bets[Date],M322,NCAA_Bets[Result],"W")&amp;"-"&amp;COUNTIFS(NCAA_Bets[Date],M322,NCAA_Bets[Result],"L")&amp;IF(COUNTIFS(NCAA_Bets[Date],M322,NCAA_Bets[Result],"Push")&gt;0,"-"&amp;COUNTIFS(NCAA_Bets[Date],M322,NCAA_Bets[Result],"Push"),"")</f>
        <v>0-0</v>
      </c>
      <c r="P322" s="90">
        <f>SUMIF(NCAA_Bets[Date],M322,NCAA_Bets[Winnings])-SUMIF(NCAA_Bets[Date],M322,NCAA_Bets[Risk])</f>
        <v>0</v>
      </c>
    </row>
    <row r="323" spans="2:16" x14ac:dyDescent="0.25">
      <c r="B323" s="101">
        <f t="shared" si="11"/>
        <v>26</v>
      </c>
      <c r="C323" s="6">
        <v>43530</v>
      </c>
      <c r="D323" s="6" t="s">
        <v>297</v>
      </c>
      <c r="E323" s="7" t="s">
        <v>1169</v>
      </c>
      <c r="F323" s="8" t="s">
        <v>839</v>
      </c>
      <c r="G323" s="66">
        <v>1</v>
      </c>
      <c r="H323" s="30">
        <v>-115</v>
      </c>
      <c r="I323" s="10" t="s">
        <v>7</v>
      </c>
      <c r="J32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23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O</v>
      </c>
      <c r="L323" s="71">
        <f t="shared" si="13"/>
        <v>0</v>
      </c>
      <c r="M323" s="71">
        <f t="shared" si="12"/>
        <v>0</v>
      </c>
      <c r="N323" s="71" t="str">
        <f>IFERROR(VLOOKUP(M323,NCAA_Bets[[Date]:[Version]],2,0),"")</f>
        <v/>
      </c>
      <c r="O323" s="94" t="str">
        <f>COUNTIFS(NCAA_Bets[Date],M323,NCAA_Bets[Result],"W")&amp;"-"&amp;COUNTIFS(NCAA_Bets[Date],M323,NCAA_Bets[Result],"L")&amp;IF(COUNTIFS(NCAA_Bets[Date],M323,NCAA_Bets[Result],"Push")&gt;0,"-"&amp;COUNTIFS(NCAA_Bets[Date],M323,NCAA_Bets[Result],"Push"),"")</f>
        <v>0-0</v>
      </c>
      <c r="P323" s="90">
        <f>SUMIF(NCAA_Bets[Date],M323,NCAA_Bets[Winnings])-SUMIF(NCAA_Bets[Date],M323,NCAA_Bets[Risk])</f>
        <v>0</v>
      </c>
    </row>
    <row r="324" spans="2:16" x14ac:dyDescent="0.25">
      <c r="B324" s="101">
        <f t="shared" si="11"/>
        <v>26</v>
      </c>
      <c r="C324" s="6">
        <v>43530</v>
      </c>
      <c r="D324" s="6" t="s">
        <v>297</v>
      </c>
      <c r="E324" s="7" t="s">
        <v>1170</v>
      </c>
      <c r="F324" s="8" t="s">
        <v>1171</v>
      </c>
      <c r="G324" s="66">
        <v>1</v>
      </c>
      <c r="H324" s="30">
        <v>-110</v>
      </c>
      <c r="I324" s="10" t="s">
        <v>37</v>
      </c>
      <c r="J32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1.9090909090909092</v>
      </c>
      <c r="K324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24" s="71">
        <f t="shared" si="13"/>
        <v>0</v>
      </c>
      <c r="M324" s="71">
        <f t="shared" si="12"/>
        <v>0</v>
      </c>
      <c r="N324" s="71" t="str">
        <f>IFERROR(VLOOKUP(M324,NCAA_Bets[[Date]:[Version]],2,0),"")</f>
        <v/>
      </c>
      <c r="O324" s="94" t="str">
        <f>COUNTIFS(NCAA_Bets[Date],M324,NCAA_Bets[Result],"W")&amp;"-"&amp;COUNTIFS(NCAA_Bets[Date],M324,NCAA_Bets[Result],"L")&amp;IF(COUNTIFS(NCAA_Bets[Date],M324,NCAA_Bets[Result],"Push")&gt;0,"-"&amp;COUNTIFS(NCAA_Bets[Date],M324,NCAA_Bets[Result],"Push"),"")</f>
        <v>0-0</v>
      </c>
      <c r="P324" s="90">
        <f>SUMIF(NCAA_Bets[Date],M324,NCAA_Bets[Winnings])-SUMIF(NCAA_Bets[Date],M324,NCAA_Bets[Risk])</f>
        <v>0</v>
      </c>
    </row>
    <row r="325" spans="2:16" x14ac:dyDescent="0.25">
      <c r="B325" s="101">
        <f t="shared" si="11"/>
        <v>26</v>
      </c>
      <c r="C325" s="6">
        <v>43530</v>
      </c>
      <c r="D325" s="6" t="s">
        <v>297</v>
      </c>
      <c r="E325" s="7" t="s">
        <v>1170</v>
      </c>
      <c r="F325" s="8" t="s">
        <v>1172</v>
      </c>
      <c r="G325" s="66">
        <v>1</v>
      </c>
      <c r="H325" s="30">
        <v>-300</v>
      </c>
      <c r="I325" s="10" t="s">
        <v>37</v>
      </c>
      <c r="J32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1.3333333333333335</v>
      </c>
      <c r="K325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MF</v>
      </c>
      <c r="L325" s="71">
        <f t="shared" si="13"/>
        <v>0</v>
      </c>
      <c r="M325" s="71">
        <f t="shared" si="12"/>
        <v>0</v>
      </c>
      <c r="N325" s="71" t="str">
        <f>IFERROR(VLOOKUP(M325,NCAA_Bets[[Date]:[Version]],2,0),"")</f>
        <v/>
      </c>
      <c r="O325" s="94" t="str">
        <f>COUNTIFS(NCAA_Bets[Date],M325,NCAA_Bets[Result],"W")&amp;"-"&amp;COUNTIFS(NCAA_Bets[Date],M325,NCAA_Bets[Result],"L")&amp;IF(COUNTIFS(NCAA_Bets[Date],M325,NCAA_Bets[Result],"Push")&gt;0,"-"&amp;COUNTIFS(NCAA_Bets[Date],M325,NCAA_Bets[Result],"Push"),"")</f>
        <v>0-0</v>
      </c>
      <c r="P325" s="90">
        <f>SUMIF(NCAA_Bets[Date],M325,NCAA_Bets[Winnings])-SUMIF(NCAA_Bets[Date],M325,NCAA_Bets[Risk])</f>
        <v>0</v>
      </c>
    </row>
    <row r="326" spans="2:16" ht="90" x14ac:dyDescent="0.25">
      <c r="B326" s="101">
        <f t="shared" ref="B326:B389" si="14">IF(C326=C325,B325,B325+1)</f>
        <v>26</v>
      </c>
      <c r="C326" s="6">
        <v>43530</v>
      </c>
      <c r="D326" s="6" t="s">
        <v>297</v>
      </c>
      <c r="E326" s="113" t="s">
        <v>1174</v>
      </c>
      <c r="F326" s="114" t="s">
        <v>1173</v>
      </c>
      <c r="G326" s="66">
        <v>2</v>
      </c>
      <c r="H326" s="30">
        <v>1804</v>
      </c>
      <c r="I326" s="10" t="s">
        <v>7</v>
      </c>
      <c r="J32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26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P</v>
      </c>
      <c r="L326" s="71">
        <f t="shared" si="13"/>
        <v>0</v>
      </c>
      <c r="M326" s="71">
        <f t="shared" si="12"/>
        <v>0</v>
      </c>
      <c r="N326" s="71" t="str">
        <f>IFERROR(VLOOKUP(M326,NCAA_Bets[[Date]:[Version]],2,0),"")</f>
        <v/>
      </c>
      <c r="O326" s="94" t="str">
        <f>COUNTIFS(NCAA_Bets[Date],M326,NCAA_Bets[Result],"W")&amp;"-"&amp;COUNTIFS(NCAA_Bets[Date],M326,NCAA_Bets[Result],"L")&amp;IF(COUNTIFS(NCAA_Bets[Date],M326,NCAA_Bets[Result],"Push")&gt;0,"-"&amp;COUNTIFS(NCAA_Bets[Date],M326,NCAA_Bets[Result],"Push"),"")</f>
        <v>0-0</v>
      </c>
      <c r="P326" s="90">
        <f>SUMIF(NCAA_Bets[Date],M326,NCAA_Bets[Winnings])-SUMIF(NCAA_Bets[Date],M326,NCAA_Bets[Risk])</f>
        <v>0</v>
      </c>
    </row>
    <row r="327" spans="2:16" x14ac:dyDescent="0.25">
      <c r="B327" s="101">
        <f t="shared" si="14"/>
        <v>27</v>
      </c>
      <c r="C327" s="6">
        <v>43547</v>
      </c>
      <c r="D327" s="6" t="s">
        <v>277</v>
      </c>
      <c r="E327" s="7" t="s">
        <v>1229</v>
      </c>
      <c r="F327" s="8" t="s">
        <v>443</v>
      </c>
      <c r="G327" s="66">
        <v>11.5</v>
      </c>
      <c r="H327" s="30">
        <v>-115</v>
      </c>
      <c r="I327" s="10" t="s">
        <v>37</v>
      </c>
      <c r="J32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21.5</v>
      </c>
      <c r="K327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27" s="71">
        <f t="shared" si="13"/>
        <v>0</v>
      </c>
      <c r="M327" s="71">
        <f t="shared" si="12"/>
        <v>0</v>
      </c>
      <c r="N327" s="71" t="str">
        <f>IFERROR(VLOOKUP(M327,NCAA_Bets[[Date]:[Version]],2,0),"")</f>
        <v/>
      </c>
      <c r="O327" s="94" t="str">
        <f>COUNTIFS(NCAA_Bets[Date],M327,NCAA_Bets[Result],"W")&amp;"-"&amp;COUNTIFS(NCAA_Bets[Date],M327,NCAA_Bets[Result],"L")&amp;IF(COUNTIFS(NCAA_Bets[Date],M327,NCAA_Bets[Result],"Push")&gt;0,"-"&amp;COUNTIFS(NCAA_Bets[Date],M327,NCAA_Bets[Result],"Push"),"")</f>
        <v>0-0</v>
      </c>
      <c r="P327" s="90">
        <f>SUMIF(NCAA_Bets[Date],M327,NCAA_Bets[Winnings])-SUMIF(NCAA_Bets[Date],M327,NCAA_Bets[Risk])</f>
        <v>0</v>
      </c>
    </row>
    <row r="328" spans="2:16" x14ac:dyDescent="0.25">
      <c r="B328" s="101">
        <f t="shared" si="14"/>
        <v>27</v>
      </c>
      <c r="C328" s="6">
        <v>43547</v>
      </c>
      <c r="D328" s="6" t="s">
        <v>277</v>
      </c>
      <c r="E328" s="7" t="s">
        <v>1230</v>
      </c>
      <c r="F328" s="8" t="s">
        <v>1231</v>
      </c>
      <c r="G328" s="66">
        <v>10</v>
      </c>
      <c r="H328" s="30">
        <v>200</v>
      </c>
      <c r="I328" s="10" t="s">
        <v>7</v>
      </c>
      <c r="J32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28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MD</v>
      </c>
      <c r="L328" s="71">
        <f t="shared" si="13"/>
        <v>0</v>
      </c>
      <c r="M328" s="71">
        <f t="shared" si="12"/>
        <v>0</v>
      </c>
      <c r="N328" s="71" t="str">
        <f>IFERROR(VLOOKUP(M328,NCAA_Bets[[Date]:[Version]],2,0),"")</f>
        <v/>
      </c>
      <c r="O328" s="94" t="str">
        <f>COUNTIFS(NCAA_Bets[Date],M328,NCAA_Bets[Result],"W")&amp;"-"&amp;COUNTIFS(NCAA_Bets[Date],M328,NCAA_Bets[Result],"L")&amp;IF(COUNTIFS(NCAA_Bets[Date],M328,NCAA_Bets[Result],"Push")&gt;0,"-"&amp;COUNTIFS(NCAA_Bets[Date],M328,NCAA_Bets[Result],"Push"),"")</f>
        <v>0-0</v>
      </c>
      <c r="P328" s="90">
        <f>SUMIF(NCAA_Bets[Date],M328,NCAA_Bets[Winnings])-SUMIF(NCAA_Bets[Date],M328,NCAA_Bets[Risk])</f>
        <v>0</v>
      </c>
    </row>
    <row r="329" spans="2:16" x14ac:dyDescent="0.25">
      <c r="B329" s="101">
        <f t="shared" si="14"/>
        <v>27</v>
      </c>
      <c r="C329" s="6">
        <v>43547</v>
      </c>
      <c r="D329" s="6" t="s">
        <v>277</v>
      </c>
      <c r="E329" s="7" t="s">
        <v>1232</v>
      </c>
      <c r="F329" s="8" t="s">
        <v>1233</v>
      </c>
      <c r="G329" s="66">
        <v>11</v>
      </c>
      <c r="H329" s="30">
        <v>-110</v>
      </c>
      <c r="I329" s="10" t="s">
        <v>37</v>
      </c>
      <c r="J32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21</v>
      </c>
      <c r="K329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29" s="71">
        <f t="shared" si="13"/>
        <v>0</v>
      </c>
      <c r="M329" s="71">
        <f t="shared" si="12"/>
        <v>0</v>
      </c>
      <c r="N329" s="71" t="str">
        <f>IFERROR(VLOOKUP(M329,NCAA_Bets[[Date]:[Version]],2,0),"")</f>
        <v/>
      </c>
      <c r="O329" s="94" t="str">
        <f>COUNTIFS(NCAA_Bets[Date],M329,NCAA_Bets[Result],"W")&amp;"-"&amp;COUNTIFS(NCAA_Bets[Date],M329,NCAA_Bets[Result],"L")&amp;IF(COUNTIFS(NCAA_Bets[Date],M329,NCAA_Bets[Result],"Push")&gt;0,"-"&amp;COUNTIFS(NCAA_Bets[Date],M329,NCAA_Bets[Result],"Push"),"")</f>
        <v>0-0</v>
      </c>
      <c r="P329" s="90">
        <f>SUMIF(NCAA_Bets[Date],M329,NCAA_Bets[Winnings])-SUMIF(NCAA_Bets[Date],M329,NCAA_Bets[Risk])</f>
        <v>0</v>
      </c>
    </row>
    <row r="330" spans="2:16" x14ac:dyDescent="0.25">
      <c r="B330" s="101">
        <f t="shared" si="14"/>
        <v>27</v>
      </c>
      <c r="C330" s="6">
        <v>43547</v>
      </c>
      <c r="D330" s="6" t="s">
        <v>277</v>
      </c>
      <c r="E330" s="7" t="s">
        <v>1234</v>
      </c>
      <c r="F330" s="8" t="s">
        <v>1235</v>
      </c>
      <c r="G330" s="66">
        <v>10.5</v>
      </c>
      <c r="H330" s="30">
        <v>-105</v>
      </c>
      <c r="I330" s="10" t="s">
        <v>37</v>
      </c>
      <c r="J33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20.5</v>
      </c>
      <c r="K330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30" s="71">
        <f t="shared" si="13"/>
        <v>0</v>
      </c>
      <c r="M330" s="71">
        <f t="shared" si="12"/>
        <v>0</v>
      </c>
      <c r="N330" s="71" t="str">
        <f>IFERROR(VLOOKUP(M330,NCAA_Bets[[Date]:[Version]],2,0),"")</f>
        <v/>
      </c>
      <c r="O330" s="94" t="str">
        <f>COUNTIFS(NCAA_Bets[Date],M330,NCAA_Bets[Result],"W")&amp;"-"&amp;COUNTIFS(NCAA_Bets[Date],M330,NCAA_Bets[Result],"L")&amp;IF(COUNTIFS(NCAA_Bets[Date],M330,NCAA_Bets[Result],"Push")&gt;0,"-"&amp;COUNTIFS(NCAA_Bets[Date],M330,NCAA_Bets[Result],"Push"),"")</f>
        <v>0-0</v>
      </c>
      <c r="P330" s="90">
        <f>SUMIF(NCAA_Bets[Date],M330,NCAA_Bets[Winnings])-SUMIF(NCAA_Bets[Date],M330,NCAA_Bets[Risk])</f>
        <v>0</v>
      </c>
    </row>
    <row r="331" spans="2:16" x14ac:dyDescent="0.25">
      <c r="B331" s="101">
        <f t="shared" si="14"/>
        <v>27</v>
      </c>
      <c r="C331" s="6">
        <v>43547</v>
      </c>
      <c r="D331" s="6" t="s">
        <v>277</v>
      </c>
      <c r="E331" s="7" t="s">
        <v>1236</v>
      </c>
      <c r="F331" s="8" t="s">
        <v>1237</v>
      </c>
      <c r="G331" s="66">
        <v>11.5</v>
      </c>
      <c r="H331" s="30">
        <v>-105</v>
      </c>
      <c r="I331" s="10" t="s">
        <v>37</v>
      </c>
      <c r="J33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22.452380952380953</v>
      </c>
      <c r="K331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31" s="71">
        <f t="shared" si="13"/>
        <v>0</v>
      </c>
      <c r="M331" s="71">
        <f t="shared" si="12"/>
        <v>0</v>
      </c>
      <c r="N331" s="71" t="str">
        <f>IFERROR(VLOOKUP(M331,NCAA_Bets[[Date]:[Version]],2,0),"")</f>
        <v/>
      </c>
      <c r="O331" s="94" t="str">
        <f>COUNTIFS(NCAA_Bets[Date],M331,NCAA_Bets[Result],"W")&amp;"-"&amp;COUNTIFS(NCAA_Bets[Date],M331,NCAA_Bets[Result],"L")&amp;IF(COUNTIFS(NCAA_Bets[Date],M331,NCAA_Bets[Result],"Push")&gt;0,"-"&amp;COUNTIFS(NCAA_Bets[Date],M331,NCAA_Bets[Result],"Push"),"")</f>
        <v>0-0</v>
      </c>
      <c r="P331" s="90">
        <f>SUMIF(NCAA_Bets[Date],M331,NCAA_Bets[Winnings])-SUMIF(NCAA_Bets[Date],M331,NCAA_Bets[Risk])</f>
        <v>0</v>
      </c>
    </row>
    <row r="332" spans="2:16" x14ac:dyDescent="0.25">
      <c r="B332" s="101">
        <f t="shared" si="14"/>
        <v>27</v>
      </c>
      <c r="C332" s="6">
        <v>43547</v>
      </c>
      <c r="D332" s="6" t="s">
        <v>277</v>
      </c>
      <c r="E332" s="7" t="s">
        <v>1238</v>
      </c>
      <c r="F332" s="8" t="s">
        <v>1239</v>
      </c>
      <c r="G332" s="66">
        <v>10.5</v>
      </c>
      <c r="H332" s="30">
        <v>-115</v>
      </c>
      <c r="I332" s="10" t="s">
        <v>7</v>
      </c>
      <c r="J33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32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32" s="71">
        <f t="shared" si="13"/>
        <v>0</v>
      </c>
      <c r="M332" s="71">
        <f t="shared" si="12"/>
        <v>0</v>
      </c>
      <c r="N332" s="71" t="str">
        <f>IFERROR(VLOOKUP(M332,NCAA_Bets[[Date]:[Version]],2,0),"")</f>
        <v/>
      </c>
      <c r="O332" s="94" t="str">
        <f>COUNTIFS(NCAA_Bets[Date],M332,NCAA_Bets[Result],"W")&amp;"-"&amp;COUNTIFS(NCAA_Bets[Date],M332,NCAA_Bets[Result],"L")&amp;IF(COUNTIFS(NCAA_Bets[Date],M332,NCAA_Bets[Result],"Push")&gt;0,"-"&amp;COUNTIFS(NCAA_Bets[Date],M332,NCAA_Bets[Result],"Push"),"")</f>
        <v>0-0</v>
      </c>
      <c r="P332" s="90">
        <f>SUMIF(NCAA_Bets[Date],M332,NCAA_Bets[Winnings])-SUMIF(NCAA_Bets[Date],M332,NCAA_Bets[Risk])</f>
        <v>0</v>
      </c>
    </row>
    <row r="333" spans="2:16" x14ac:dyDescent="0.25">
      <c r="B333" s="101">
        <f t="shared" si="14"/>
        <v>28</v>
      </c>
      <c r="C333" s="6">
        <v>43548</v>
      </c>
      <c r="D333" s="6" t="s">
        <v>277</v>
      </c>
      <c r="E333" s="7" t="s">
        <v>1240</v>
      </c>
      <c r="F333" s="8" t="s">
        <v>1241</v>
      </c>
      <c r="G333" s="66">
        <v>11</v>
      </c>
      <c r="H333" s="30">
        <v>-110</v>
      </c>
      <c r="I333" s="10" t="s">
        <v>37</v>
      </c>
      <c r="J33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21</v>
      </c>
      <c r="K333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33" s="71">
        <f t="shared" si="13"/>
        <v>0</v>
      </c>
      <c r="M333" s="71">
        <f t="shared" si="12"/>
        <v>0</v>
      </c>
      <c r="N333" s="71" t="str">
        <f>IFERROR(VLOOKUP(M333,NCAA_Bets[[Date]:[Version]],2,0),"")</f>
        <v/>
      </c>
      <c r="O333" s="94" t="str">
        <f>COUNTIFS(NCAA_Bets[Date],M333,NCAA_Bets[Result],"W")&amp;"-"&amp;COUNTIFS(NCAA_Bets[Date],M333,NCAA_Bets[Result],"L")&amp;IF(COUNTIFS(NCAA_Bets[Date],M333,NCAA_Bets[Result],"Push")&gt;0,"-"&amp;COUNTIFS(NCAA_Bets[Date],M333,NCAA_Bets[Result],"Push"),"")</f>
        <v>0-0</v>
      </c>
      <c r="P333" s="90">
        <f>SUMIF(NCAA_Bets[Date],M333,NCAA_Bets[Winnings])-SUMIF(NCAA_Bets[Date],M333,NCAA_Bets[Risk])</f>
        <v>0</v>
      </c>
    </row>
    <row r="334" spans="2:16" x14ac:dyDescent="0.25">
      <c r="B334" s="101">
        <f t="shared" si="14"/>
        <v>28</v>
      </c>
      <c r="C334" s="6">
        <v>43548</v>
      </c>
      <c r="D334" s="6" t="s">
        <v>277</v>
      </c>
      <c r="E334" s="7" t="s">
        <v>1242</v>
      </c>
      <c r="F334" s="8" t="s">
        <v>1243</v>
      </c>
      <c r="G334" s="66">
        <v>11</v>
      </c>
      <c r="H334" s="30">
        <v>-110</v>
      </c>
      <c r="I334" s="10" t="s">
        <v>7</v>
      </c>
      <c r="J33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34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34" s="71">
        <f t="shared" si="13"/>
        <v>0</v>
      </c>
      <c r="M334" s="71">
        <f t="shared" si="12"/>
        <v>0</v>
      </c>
      <c r="N334" s="71" t="str">
        <f>IFERROR(VLOOKUP(M334,NCAA_Bets[[Date]:[Version]],2,0),"")</f>
        <v/>
      </c>
      <c r="O334" s="94" t="str">
        <f>COUNTIFS(NCAA_Bets[Date],M334,NCAA_Bets[Result],"W")&amp;"-"&amp;COUNTIFS(NCAA_Bets[Date],M334,NCAA_Bets[Result],"L")&amp;IF(COUNTIFS(NCAA_Bets[Date],M334,NCAA_Bets[Result],"Push")&gt;0,"-"&amp;COUNTIFS(NCAA_Bets[Date],M334,NCAA_Bets[Result],"Push"),"")</f>
        <v>0-0</v>
      </c>
      <c r="P334" s="90">
        <f>SUMIF(NCAA_Bets[Date],M334,NCAA_Bets[Winnings])-SUMIF(NCAA_Bets[Date],M334,NCAA_Bets[Risk])</f>
        <v>0</v>
      </c>
    </row>
    <row r="335" spans="2:16" x14ac:dyDescent="0.25">
      <c r="B335" s="101">
        <f t="shared" si="14"/>
        <v>28</v>
      </c>
      <c r="C335" s="6">
        <v>43548</v>
      </c>
      <c r="D335" s="6" t="s">
        <v>277</v>
      </c>
      <c r="E335" s="7" t="s">
        <v>1244</v>
      </c>
      <c r="F335" s="8" t="s">
        <v>1245</v>
      </c>
      <c r="G335" s="66">
        <v>11.5</v>
      </c>
      <c r="H335" s="30">
        <v>-115</v>
      </c>
      <c r="I335" s="10" t="s">
        <v>37</v>
      </c>
      <c r="J33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21.5</v>
      </c>
      <c r="K335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35" s="71">
        <f t="shared" si="13"/>
        <v>0</v>
      </c>
      <c r="M335" s="71">
        <f t="shared" si="12"/>
        <v>0</v>
      </c>
      <c r="N335" s="71" t="str">
        <f>IFERROR(VLOOKUP(M335,NCAA_Bets[[Date]:[Version]],2,0),"")</f>
        <v/>
      </c>
      <c r="O335" s="94" t="str">
        <f>COUNTIFS(NCAA_Bets[Date],M335,NCAA_Bets[Result],"W")&amp;"-"&amp;COUNTIFS(NCAA_Bets[Date],M335,NCAA_Bets[Result],"L")&amp;IF(COUNTIFS(NCAA_Bets[Date],M335,NCAA_Bets[Result],"Push")&gt;0,"-"&amp;COUNTIFS(NCAA_Bets[Date],M335,NCAA_Bets[Result],"Push"),"")</f>
        <v>0-0</v>
      </c>
      <c r="P335" s="90">
        <f>SUMIF(NCAA_Bets[Date],M335,NCAA_Bets[Winnings])-SUMIF(NCAA_Bets[Date],M335,NCAA_Bets[Risk])</f>
        <v>0</v>
      </c>
    </row>
    <row r="336" spans="2:16" x14ac:dyDescent="0.25">
      <c r="B336" s="101">
        <f t="shared" si="14"/>
        <v>28</v>
      </c>
      <c r="C336" s="6">
        <v>43548</v>
      </c>
      <c r="D336" s="6" t="s">
        <v>277</v>
      </c>
      <c r="E336" s="7" t="s">
        <v>1246</v>
      </c>
      <c r="F336" s="8" t="s">
        <v>1247</v>
      </c>
      <c r="G336" s="66">
        <v>11.5</v>
      </c>
      <c r="H336" s="30">
        <v>-115</v>
      </c>
      <c r="I336" s="10" t="s">
        <v>37</v>
      </c>
      <c r="J33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21.5</v>
      </c>
      <c r="K336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36" s="71">
        <f t="shared" si="13"/>
        <v>0</v>
      </c>
      <c r="M336" s="71">
        <f t="shared" si="12"/>
        <v>0</v>
      </c>
      <c r="N336" s="71" t="str">
        <f>IFERROR(VLOOKUP(M336,NCAA_Bets[[Date]:[Version]],2,0),"")</f>
        <v/>
      </c>
      <c r="O336" s="94" t="str">
        <f>COUNTIFS(NCAA_Bets[Date],M336,NCAA_Bets[Result],"W")&amp;"-"&amp;COUNTIFS(NCAA_Bets[Date],M336,NCAA_Bets[Result],"L")&amp;IF(COUNTIFS(NCAA_Bets[Date],M336,NCAA_Bets[Result],"Push")&gt;0,"-"&amp;COUNTIFS(NCAA_Bets[Date],M336,NCAA_Bets[Result],"Push"),"")</f>
        <v>0-0</v>
      </c>
      <c r="P336" s="90">
        <f>SUMIF(NCAA_Bets[Date],M336,NCAA_Bets[Winnings])-SUMIF(NCAA_Bets[Date],M336,NCAA_Bets[Risk])</f>
        <v>0</v>
      </c>
    </row>
    <row r="337" spans="2:16" x14ac:dyDescent="0.25">
      <c r="B337" s="101">
        <f t="shared" si="14"/>
        <v>28</v>
      </c>
      <c r="C337" s="6">
        <v>43548</v>
      </c>
      <c r="D337" s="6" t="s">
        <v>277</v>
      </c>
      <c r="E337" s="7" t="s">
        <v>1248</v>
      </c>
      <c r="F337" s="8" t="s">
        <v>1249</v>
      </c>
      <c r="G337" s="66">
        <v>10.5</v>
      </c>
      <c r="H337" s="30">
        <v>-105</v>
      </c>
      <c r="I337" s="10" t="s">
        <v>7</v>
      </c>
      <c r="J337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37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37" s="71">
        <f t="shared" si="13"/>
        <v>0</v>
      </c>
      <c r="M337" s="71">
        <f t="shared" si="12"/>
        <v>0</v>
      </c>
      <c r="N337" s="71" t="str">
        <f>IFERROR(VLOOKUP(M337,NCAA_Bets[[Date]:[Version]],2,0),"")</f>
        <v/>
      </c>
      <c r="O337" s="94" t="str">
        <f>COUNTIFS(NCAA_Bets[Date],M337,NCAA_Bets[Result],"W")&amp;"-"&amp;COUNTIFS(NCAA_Bets[Date],M337,NCAA_Bets[Result],"L")&amp;IF(COUNTIFS(NCAA_Bets[Date],M337,NCAA_Bets[Result],"Push")&gt;0,"-"&amp;COUNTIFS(NCAA_Bets[Date],M337,NCAA_Bets[Result],"Push"),"")</f>
        <v>0-0</v>
      </c>
      <c r="P337" s="90">
        <f>SUMIF(NCAA_Bets[Date],M337,NCAA_Bets[Winnings])-SUMIF(NCAA_Bets[Date],M337,NCAA_Bets[Risk])</f>
        <v>0</v>
      </c>
    </row>
    <row r="338" spans="2:16" x14ac:dyDescent="0.25">
      <c r="B338" s="101">
        <f t="shared" si="14"/>
        <v>28</v>
      </c>
      <c r="C338" s="6">
        <v>43548</v>
      </c>
      <c r="D338" s="6" t="s">
        <v>277</v>
      </c>
      <c r="E338" s="7" t="s">
        <v>1250</v>
      </c>
      <c r="F338" s="8" t="s">
        <v>1251</v>
      </c>
      <c r="G338" s="66">
        <v>11</v>
      </c>
      <c r="H338" s="30">
        <v>-110</v>
      </c>
      <c r="I338" s="10" t="s">
        <v>7</v>
      </c>
      <c r="J33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38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38" s="71">
        <f t="shared" si="13"/>
        <v>0</v>
      </c>
      <c r="M338" s="71">
        <f t="shared" si="12"/>
        <v>0</v>
      </c>
      <c r="N338" s="71" t="str">
        <f>IFERROR(VLOOKUP(M338,NCAA_Bets[[Date]:[Version]],2,0),"")</f>
        <v/>
      </c>
      <c r="O338" s="94" t="str">
        <f>COUNTIFS(NCAA_Bets[Date],M338,NCAA_Bets[Result],"W")&amp;"-"&amp;COUNTIFS(NCAA_Bets[Date],M338,NCAA_Bets[Result],"L")&amp;IF(COUNTIFS(NCAA_Bets[Date],M338,NCAA_Bets[Result],"Push")&gt;0,"-"&amp;COUNTIFS(NCAA_Bets[Date],M338,NCAA_Bets[Result],"Push"),"")</f>
        <v>0-0</v>
      </c>
      <c r="P338" s="90">
        <f>SUMIF(NCAA_Bets[Date],M338,NCAA_Bets[Winnings])-SUMIF(NCAA_Bets[Date],M338,NCAA_Bets[Risk])</f>
        <v>0</v>
      </c>
    </row>
    <row r="339" spans="2:16" x14ac:dyDescent="0.25">
      <c r="B339" s="101">
        <f t="shared" si="14"/>
        <v>28</v>
      </c>
      <c r="C339" s="6">
        <v>43548</v>
      </c>
      <c r="D339" s="6" t="s">
        <v>277</v>
      </c>
      <c r="E339" s="7" t="s">
        <v>1252</v>
      </c>
      <c r="F339" s="8" t="s">
        <v>1253</v>
      </c>
      <c r="G339" s="66">
        <v>11.5</v>
      </c>
      <c r="H339" s="30">
        <v>-115</v>
      </c>
      <c r="I339" s="10" t="s">
        <v>7</v>
      </c>
      <c r="J33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39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39" s="71">
        <f t="shared" si="13"/>
        <v>0</v>
      </c>
      <c r="M339" s="71">
        <f t="shared" si="12"/>
        <v>0</v>
      </c>
      <c r="N339" s="71" t="str">
        <f>IFERROR(VLOOKUP(M339,NCAA_Bets[[Date]:[Version]],2,0),"")</f>
        <v/>
      </c>
      <c r="O339" s="94" t="str">
        <f>COUNTIFS(NCAA_Bets[Date],M339,NCAA_Bets[Result],"W")&amp;"-"&amp;COUNTIFS(NCAA_Bets[Date],M339,NCAA_Bets[Result],"L")&amp;IF(COUNTIFS(NCAA_Bets[Date],M339,NCAA_Bets[Result],"Push")&gt;0,"-"&amp;COUNTIFS(NCAA_Bets[Date],M339,NCAA_Bets[Result],"Push"),"")</f>
        <v>0-0</v>
      </c>
      <c r="P339" s="90">
        <f>SUMIF(NCAA_Bets[Date],M339,NCAA_Bets[Winnings])-SUMIF(NCAA_Bets[Date],M339,NCAA_Bets[Risk])</f>
        <v>0</v>
      </c>
    </row>
    <row r="340" spans="2:16" x14ac:dyDescent="0.25">
      <c r="B340" s="101">
        <f t="shared" si="14"/>
        <v>28</v>
      </c>
      <c r="C340" s="6">
        <v>43548</v>
      </c>
      <c r="D340" s="6" t="s">
        <v>277</v>
      </c>
      <c r="E340" s="7" t="s">
        <v>1252</v>
      </c>
      <c r="F340" s="8" t="s">
        <v>1254</v>
      </c>
      <c r="G340" s="66">
        <v>11</v>
      </c>
      <c r="H340" s="30">
        <v>-110</v>
      </c>
      <c r="I340" s="10" t="s">
        <v>69</v>
      </c>
      <c r="J34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11</v>
      </c>
      <c r="K340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340" s="71">
        <f t="shared" si="13"/>
        <v>0</v>
      </c>
      <c r="M340" s="71">
        <f t="shared" si="12"/>
        <v>0</v>
      </c>
      <c r="N340" s="71" t="str">
        <f>IFERROR(VLOOKUP(M340,NCAA_Bets[[Date]:[Version]],2,0),"")</f>
        <v/>
      </c>
      <c r="O340" s="94" t="str">
        <f>COUNTIFS(NCAA_Bets[Date],M340,NCAA_Bets[Result],"W")&amp;"-"&amp;COUNTIFS(NCAA_Bets[Date],M340,NCAA_Bets[Result],"L")&amp;IF(COUNTIFS(NCAA_Bets[Date],M340,NCAA_Bets[Result],"Push")&gt;0,"-"&amp;COUNTIFS(NCAA_Bets[Date],M340,NCAA_Bets[Result],"Push"),"")</f>
        <v>0-0</v>
      </c>
      <c r="P340" s="90">
        <f>SUMIF(NCAA_Bets[Date],M340,NCAA_Bets[Winnings])-SUMIF(NCAA_Bets[Date],M340,NCAA_Bets[Risk])</f>
        <v>0</v>
      </c>
    </row>
    <row r="341" spans="2:16" x14ac:dyDescent="0.25">
      <c r="B341" s="101">
        <f t="shared" si="14"/>
        <v>29</v>
      </c>
      <c r="C341" s="6">
        <v>43552</v>
      </c>
      <c r="D341" s="6" t="s">
        <v>366</v>
      </c>
      <c r="E341" s="70" t="s">
        <v>1317</v>
      </c>
      <c r="F341" s="70" t="s">
        <v>1318</v>
      </c>
      <c r="G341" s="66">
        <v>11</v>
      </c>
      <c r="H341" s="30">
        <v>-110</v>
      </c>
      <c r="I341" s="10" t="s">
        <v>37</v>
      </c>
      <c r="J34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21</v>
      </c>
      <c r="K341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41" s="71">
        <f t="shared" si="13"/>
        <v>0</v>
      </c>
      <c r="M341" s="71">
        <f t="shared" si="12"/>
        <v>0</v>
      </c>
      <c r="N341" s="71" t="str">
        <f>IFERROR(VLOOKUP(M341,NCAA_Bets[[Date]:[Version]],2,0),"")</f>
        <v/>
      </c>
      <c r="O341" s="94" t="str">
        <f>COUNTIFS(NCAA_Bets[Date],M341,NCAA_Bets[Result],"W")&amp;"-"&amp;COUNTIFS(NCAA_Bets[Date],M341,NCAA_Bets[Result],"L")&amp;IF(COUNTIFS(NCAA_Bets[Date],M341,NCAA_Bets[Result],"Push")&gt;0,"-"&amp;COUNTIFS(NCAA_Bets[Date],M341,NCAA_Bets[Result],"Push"),"")</f>
        <v>0-0</v>
      </c>
      <c r="P341" s="90">
        <f>SUMIF(NCAA_Bets[Date],M341,NCAA_Bets[Winnings])-SUMIF(NCAA_Bets[Date],M341,NCAA_Bets[Risk])</f>
        <v>0</v>
      </c>
    </row>
    <row r="342" spans="2:16" x14ac:dyDescent="0.25">
      <c r="B342" s="101">
        <f t="shared" si="14"/>
        <v>29</v>
      </c>
      <c r="C342" s="6">
        <v>43552</v>
      </c>
      <c r="D342" s="6" t="s">
        <v>277</v>
      </c>
      <c r="E342" s="7" t="s">
        <v>1319</v>
      </c>
      <c r="F342" s="8" t="s">
        <v>1320</v>
      </c>
      <c r="G342" s="66">
        <v>5.5</v>
      </c>
      <c r="H342" s="30">
        <v>-110</v>
      </c>
      <c r="I342" s="10" t="s">
        <v>7</v>
      </c>
      <c r="J342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42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42" s="71">
        <f t="shared" si="13"/>
        <v>0</v>
      </c>
      <c r="M342" s="71">
        <f t="shared" si="12"/>
        <v>0</v>
      </c>
      <c r="N342" s="71" t="str">
        <f>IFERROR(VLOOKUP(M342,NCAA_Bets[[Date]:[Version]],2,0),"")</f>
        <v/>
      </c>
      <c r="O342" s="94" t="str">
        <f>COUNTIFS(NCAA_Bets[Date],M342,NCAA_Bets[Result],"W")&amp;"-"&amp;COUNTIFS(NCAA_Bets[Date],M342,NCAA_Bets[Result],"L")&amp;IF(COUNTIFS(NCAA_Bets[Date],M342,NCAA_Bets[Result],"Push")&gt;0,"-"&amp;COUNTIFS(NCAA_Bets[Date],M342,NCAA_Bets[Result],"Push"),"")</f>
        <v>0-0</v>
      </c>
      <c r="P342" s="90">
        <f>SUMIF(NCAA_Bets[Date],M342,NCAA_Bets[Winnings])-SUMIF(NCAA_Bets[Date],M342,NCAA_Bets[Risk])</f>
        <v>0</v>
      </c>
    </row>
    <row r="343" spans="2:16" x14ac:dyDescent="0.25">
      <c r="B343" s="101">
        <f t="shared" si="14"/>
        <v>30</v>
      </c>
      <c r="C343" s="6">
        <v>43553</v>
      </c>
      <c r="D343" s="6" t="s">
        <v>366</v>
      </c>
      <c r="E343" s="7" t="s">
        <v>1321</v>
      </c>
      <c r="F343" s="8" t="s">
        <v>1322</v>
      </c>
      <c r="G343" s="66">
        <v>21</v>
      </c>
      <c r="H343" s="30">
        <v>-105</v>
      </c>
      <c r="I343" s="10" t="s">
        <v>37</v>
      </c>
      <c r="J343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41</v>
      </c>
      <c r="K343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43" s="71">
        <f t="shared" si="13"/>
        <v>0</v>
      </c>
      <c r="M343" s="71">
        <f t="shared" si="12"/>
        <v>0</v>
      </c>
      <c r="N343" s="71" t="str">
        <f>IFERROR(VLOOKUP(M343,NCAA_Bets[[Date]:[Version]],2,0),"")</f>
        <v/>
      </c>
      <c r="O343" s="94" t="str">
        <f>COUNTIFS(NCAA_Bets[Date],M343,NCAA_Bets[Result],"W")&amp;"-"&amp;COUNTIFS(NCAA_Bets[Date],M343,NCAA_Bets[Result],"L")&amp;IF(COUNTIFS(NCAA_Bets[Date],M343,NCAA_Bets[Result],"Push")&gt;0,"-"&amp;COUNTIFS(NCAA_Bets[Date],M343,NCAA_Bets[Result],"Push"),"")</f>
        <v>0-0</v>
      </c>
      <c r="P343" s="90">
        <f>SUMIF(NCAA_Bets[Date],M343,NCAA_Bets[Winnings])-SUMIF(NCAA_Bets[Date],M343,NCAA_Bets[Risk])</f>
        <v>0</v>
      </c>
    </row>
    <row r="344" spans="2:16" x14ac:dyDescent="0.25">
      <c r="B344" s="101">
        <f t="shared" si="14"/>
        <v>30</v>
      </c>
      <c r="C344" s="6">
        <v>43553</v>
      </c>
      <c r="D344" s="6" t="s">
        <v>277</v>
      </c>
      <c r="E344" s="7" t="s">
        <v>1323</v>
      </c>
      <c r="F344" s="8" t="s">
        <v>1324</v>
      </c>
      <c r="G344" s="66">
        <v>5.75</v>
      </c>
      <c r="H344" s="30">
        <v>-115</v>
      </c>
      <c r="I344" s="10" t="s">
        <v>7</v>
      </c>
      <c r="J344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44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44" s="71">
        <f t="shared" si="13"/>
        <v>0</v>
      </c>
      <c r="M344" s="71">
        <f t="shared" si="12"/>
        <v>0</v>
      </c>
      <c r="N344" s="71" t="str">
        <f>IFERROR(VLOOKUP(M344,NCAA_Bets[[Date]:[Version]],2,0),"")</f>
        <v/>
      </c>
      <c r="O344" s="94" t="str">
        <f>COUNTIFS(NCAA_Bets[Date],M344,NCAA_Bets[Result],"W")&amp;"-"&amp;COUNTIFS(NCAA_Bets[Date],M344,NCAA_Bets[Result],"L")&amp;IF(COUNTIFS(NCAA_Bets[Date],M344,NCAA_Bets[Result],"Push")&gt;0,"-"&amp;COUNTIFS(NCAA_Bets[Date],M344,NCAA_Bets[Result],"Push"),"")</f>
        <v>0-0</v>
      </c>
      <c r="P344" s="90">
        <f>SUMIF(NCAA_Bets[Date],M344,NCAA_Bets[Winnings])-SUMIF(NCAA_Bets[Date],M344,NCAA_Bets[Risk])</f>
        <v>0</v>
      </c>
    </row>
    <row r="345" spans="2:16" x14ac:dyDescent="0.25">
      <c r="B345" s="101">
        <f t="shared" si="14"/>
        <v>30</v>
      </c>
      <c r="C345" s="6">
        <v>43553</v>
      </c>
      <c r="D345" s="6" t="s">
        <v>277</v>
      </c>
      <c r="E345" s="7" t="s">
        <v>1325</v>
      </c>
      <c r="F345" s="8" t="s">
        <v>1326</v>
      </c>
      <c r="G345" s="66">
        <v>11</v>
      </c>
      <c r="H345" s="30">
        <v>-110</v>
      </c>
      <c r="I345" s="10" t="s">
        <v>7</v>
      </c>
      <c r="J345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45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45" s="71">
        <f t="shared" si="13"/>
        <v>0</v>
      </c>
      <c r="M345" s="71">
        <f t="shared" si="12"/>
        <v>0</v>
      </c>
      <c r="N345" s="71" t="str">
        <f>IFERROR(VLOOKUP(M345,NCAA_Bets[[Date]:[Version]],2,0),"")</f>
        <v/>
      </c>
      <c r="O345" s="94" t="str">
        <f>COUNTIFS(NCAA_Bets[Date],M345,NCAA_Bets[Result],"W")&amp;"-"&amp;COUNTIFS(NCAA_Bets[Date],M345,NCAA_Bets[Result],"L")&amp;IF(COUNTIFS(NCAA_Bets[Date],M345,NCAA_Bets[Result],"Push")&gt;0,"-"&amp;COUNTIFS(NCAA_Bets[Date],M345,NCAA_Bets[Result],"Push"),"")</f>
        <v>0-0</v>
      </c>
      <c r="P345" s="90">
        <f>SUMIF(NCAA_Bets[Date],M345,NCAA_Bets[Winnings])-SUMIF(NCAA_Bets[Date],M345,NCAA_Bets[Risk])</f>
        <v>0</v>
      </c>
    </row>
    <row r="346" spans="2:16" x14ac:dyDescent="0.25">
      <c r="B346" s="101">
        <f t="shared" si="14"/>
        <v>31</v>
      </c>
      <c r="C346" s="6">
        <v>43554</v>
      </c>
      <c r="D346" s="6" t="s">
        <v>277</v>
      </c>
      <c r="E346" s="7" t="s">
        <v>1327</v>
      </c>
      <c r="F346" s="8" t="s">
        <v>1328</v>
      </c>
      <c r="G346" s="66">
        <v>10.5</v>
      </c>
      <c r="H346" s="30">
        <v>-105</v>
      </c>
      <c r="I346" s="10" t="s">
        <v>37</v>
      </c>
      <c r="J346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20.5</v>
      </c>
      <c r="K346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46" s="71">
        <f t="shared" si="13"/>
        <v>0</v>
      </c>
      <c r="M346" s="71">
        <f t="shared" ref="M346:M409" si="15">IFERROR(VLOOKUP(ROW()-4,B:C,2,0),0)</f>
        <v>0</v>
      </c>
      <c r="N346" s="71" t="str">
        <f>IFERROR(VLOOKUP(M346,NCAA_Bets[[Date]:[Version]],2,0),"")</f>
        <v/>
      </c>
      <c r="O346" s="94" t="str">
        <f>COUNTIFS(NCAA_Bets[Date],M346,NCAA_Bets[Result],"W")&amp;"-"&amp;COUNTIFS(NCAA_Bets[Date],M346,NCAA_Bets[Result],"L")&amp;IF(COUNTIFS(NCAA_Bets[Date],M346,NCAA_Bets[Result],"Push")&gt;0,"-"&amp;COUNTIFS(NCAA_Bets[Date],M346,NCAA_Bets[Result],"Push"),"")</f>
        <v>0-0</v>
      </c>
      <c r="P346" s="90">
        <f>SUMIF(NCAA_Bets[Date],M346,NCAA_Bets[Winnings])-SUMIF(NCAA_Bets[Date],M346,NCAA_Bets[Risk])</f>
        <v>0</v>
      </c>
    </row>
    <row r="347" spans="2:16" x14ac:dyDescent="0.25">
      <c r="B347" s="101">
        <f t="shared" si="14"/>
        <v>31</v>
      </c>
      <c r="C347" s="6">
        <v>43554</v>
      </c>
      <c r="D347" s="6" t="s">
        <v>277</v>
      </c>
      <c r="E347" s="7" t="s">
        <v>1329</v>
      </c>
      <c r="F347" s="8" t="s">
        <v>1330</v>
      </c>
      <c r="G347" s="66">
        <v>11</v>
      </c>
      <c r="H347" s="30">
        <v>-110</v>
      </c>
      <c r="I347" s="10" t="s">
        <v>37</v>
      </c>
      <c r="J347" s="134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21</v>
      </c>
      <c r="K347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47" s="71">
        <f t="shared" si="13"/>
        <v>0</v>
      </c>
      <c r="M347" s="71">
        <f t="shared" si="15"/>
        <v>0</v>
      </c>
      <c r="N347" s="71" t="str">
        <f>IFERROR(VLOOKUP(M347,NCAA_Bets[[Date]:[Version]],2,0),"")</f>
        <v/>
      </c>
      <c r="O347" s="94" t="str">
        <f>COUNTIFS(NCAA_Bets[Date],M347,NCAA_Bets[Result],"W")&amp;"-"&amp;COUNTIFS(NCAA_Bets[Date],M347,NCAA_Bets[Result],"L")&amp;IF(COUNTIFS(NCAA_Bets[Date],M347,NCAA_Bets[Result],"Push")&gt;0,"-"&amp;COUNTIFS(NCAA_Bets[Date],M347,NCAA_Bets[Result],"Push"),"")</f>
        <v>0-0</v>
      </c>
      <c r="P347" s="90">
        <f>SUMIF(NCAA_Bets[Date],M347,NCAA_Bets[Winnings])-SUMIF(NCAA_Bets[Date],M347,NCAA_Bets[Risk])</f>
        <v>0</v>
      </c>
    </row>
    <row r="348" spans="2:16" x14ac:dyDescent="0.25">
      <c r="B348" s="101">
        <f t="shared" si="14"/>
        <v>32</v>
      </c>
      <c r="C348" s="6">
        <v>43555</v>
      </c>
      <c r="D348" s="6" t="s">
        <v>277</v>
      </c>
      <c r="E348" s="7" t="s">
        <v>1331</v>
      </c>
      <c r="F348" s="8" t="s">
        <v>1332</v>
      </c>
      <c r="G348" s="66">
        <v>11</v>
      </c>
      <c r="H348" s="30">
        <v>-110</v>
      </c>
      <c r="I348" s="10" t="s">
        <v>37</v>
      </c>
      <c r="J348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21</v>
      </c>
      <c r="K348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D</v>
      </c>
      <c r="L348" s="71">
        <f t="shared" si="13"/>
        <v>0</v>
      </c>
      <c r="M348" s="71">
        <f t="shared" si="15"/>
        <v>0</v>
      </c>
      <c r="N348" s="71" t="str">
        <f>IFERROR(VLOOKUP(M348,NCAA_Bets[[Date]:[Version]],2,0),"")</f>
        <v/>
      </c>
      <c r="O348" s="94" t="str">
        <f>COUNTIFS(NCAA_Bets[Date],M348,NCAA_Bets[Result],"W")&amp;"-"&amp;COUNTIFS(NCAA_Bets[Date],M348,NCAA_Bets[Result],"L")&amp;IF(COUNTIFS(NCAA_Bets[Date],M348,NCAA_Bets[Result],"Push")&gt;0,"-"&amp;COUNTIFS(NCAA_Bets[Date],M348,NCAA_Bets[Result],"Push"),"")</f>
        <v>0-0</v>
      </c>
      <c r="P348" s="90">
        <f>SUMIF(NCAA_Bets[Date],M348,NCAA_Bets[Winnings])-SUMIF(NCAA_Bets[Date],M348,NCAA_Bets[Risk])</f>
        <v>0</v>
      </c>
    </row>
    <row r="349" spans="2:16" ht="30" x14ac:dyDescent="0.25">
      <c r="B349" s="101">
        <f t="shared" si="14"/>
        <v>32</v>
      </c>
      <c r="C349" s="6">
        <v>43555</v>
      </c>
      <c r="D349" s="6" t="s">
        <v>277</v>
      </c>
      <c r="E349" s="113" t="s">
        <v>1333</v>
      </c>
      <c r="F349" s="114" t="s">
        <v>1334</v>
      </c>
      <c r="G349" s="66">
        <v>7.56</v>
      </c>
      <c r="H349" s="30">
        <v>264</v>
      </c>
      <c r="I349" s="10" t="s">
        <v>37</v>
      </c>
      <c r="J349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27.5184</v>
      </c>
      <c r="K349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P</v>
      </c>
      <c r="L349" s="71">
        <f t="shared" si="13"/>
        <v>0</v>
      </c>
      <c r="M349" s="71">
        <f t="shared" si="15"/>
        <v>0</v>
      </c>
      <c r="N349" s="71" t="str">
        <f>IFERROR(VLOOKUP(M349,NCAA_Bets[[Date]:[Version]],2,0),"")</f>
        <v/>
      </c>
      <c r="O349" s="94" t="str">
        <f>COUNTIFS(NCAA_Bets[Date],M349,NCAA_Bets[Result],"W")&amp;"-"&amp;COUNTIFS(NCAA_Bets[Date],M349,NCAA_Bets[Result],"L")&amp;IF(COUNTIFS(NCAA_Bets[Date],M349,NCAA_Bets[Result],"Push")&gt;0,"-"&amp;COUNTIFS(NCAA_Bets[Date],M349,NCAA_Bets[Result],"Push"),"")</f>
        <v>0-0</v>
      </c>
      <c r="P349" s="90">
        <f>SUMIF(NCAA_Bets[Date],M349,NCAA_Bets[Winnings])-SUMIF(NCAA_Bets[Date],M349,NCAA_Bets[Risk])</f>
        <v>0</v>
      </c>
    </row>
    <row r="350" spans="2:16" x14ac:dyDescent="0.25">
      <c r="B350" s="101">
        <f t="shared" si="14"/>
        <v>32</v>
      </c>
      <c r="C350" s="6">
        <v>43555</v>
      </c>
      <c r="D350" s="6" t="s">
        <v>277</v>
      </c>
      <c r="E350" s="7" t="s">
        <v>1335</v>
      </c>
      <c r="F350" s="8" t="s">
        <v>774</v>
      </c>
      <c r="G350" s="66">
        <v>10.5</v>
      </c>
      <c r="H350" s="30">
        <v>-105</v>
      </c>
      <c r="I350" s="10" t="s">
        <v>37</v>
      </c>
      <c r="J350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20.5</v>
      </c>
      <c r="K350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U</v>
      </c>
      <c r="L350" s="71">
        <f t="shared" si="13"/>
        <v>0</v>
      </c>
      <c r="M350" s="71">
        <f t="shared" si="15"/>
        <v>0</v>
      </c>
      <c r="N350" s="71" t="str">
        <f>IFERROR(VLOOKUP(M350,NCAA_Bets[[Date]:[Version]],2,0),"")</f>
        <v/>
      </c>
      <c r="O350" s="94" t="str">
        <f>COUNTIFS(NCAA_Bets[Date],M350,NCAA_Bets[Result],"W")&amp;"-"&amp;COUNTIFS(NCAA_Bets[Date],M350,NCAA_Bets[Result],"L")&amp;IF(COUNTIFS(NCAA_Bets[Date],M350,NCAA_Bets[Result],"Push")&gt;0,"-"&amp;COUNTIFS(NCAA_Bets[Date],M350,NCAA_Bets[Result],"Push"),"")</f>
        <v>0-0</v>
      </c>
      <c r="P350" s="90">
        <f>SUMIF(NCAA_Bets[Date],M350,NCAA_Bets[Winnings])-SUMIF(NCAA_Bets[Date],M350,NCAA_Bets[Risk])</f>
        <v>0</v>
      </c>
    </row>
    <row r="351" spans="2:16" x14ac:dyDescent="0.25">
      <c r="B351" s="101">
        <f t="shared" si="14"/>
        <v>32</v>
      </c>
      <c r="C351" s="6">
        <v>43555</v>
      </c>
      <c r="D351" s="6" t="s">
        <v>277</v>
      </c>
      <c r="E351" s="7" t="s">
        <v>1335</v>
      </c>
      <c r="F351" s="8" t="s">
        <v>1336</v>
      </c>
      <c r="G351" s="66">
        <v>11</v>
      </c>
      <c r="H351" s="30">
        <v>-110</v>
      </c>
      <c r="I351" s="10" t="s">
        <v>7</v>
      </c>
      <c r="J351" s="39">
        <f>IF(NCAA_Bets[[#This Row],[Result]]="L",0,IF(NCAA_Bets[[#This Row],[Result]]="Push",NCAA_Bets[[#This Row],[Risk]],IF(NCAA_Bets[[#This Row],[Result]]="W",IF(NCAA_Bets[[#This Row],[Odds]]&gt;0,NCAA_Bets[[#This Row],[Odds]]/100*NCAA_Bets[[#This Row],[Risk]]+NCAA_Bets[[#This Row],[Risk]],(NCAA_Bets[[#This Row],[Risk]]/NCAA_Bets[[#This Row],[Odds]]*-100)+NCAA_Bets[[#This Row],[Risk]]),"")))</f>
        <v>0</v>
      </c>
      <c r="K351" s="110" t="str">
        <f>IF(ISNUMBER(SEARCH(CHAR(10),NCAA_Bets[[#This Row],[Bet]])),"P",IF(ISNUMBER(SEARCH("Under",NCAA_Bets[[#This Row],[Bet]])),"U",IF(ISNUMBER(SEARCH("Over",NCAA_Bets[[#This Row],[Bet]])),"O",IF(ISNUMBER(SEARCH("+",NCAA_Bets[[#This Row],[Bet]])),"D",IF(ISNUMBER(SEARCH("-",NCAA_Bets[[#This Row],[Bet]])),"F",IF(ISNUMBER(SEARCH("Moneyline",NCAA_Bets[[#This Row],[Bet]])),IF(NCAA_Bets[[#This Row],[Odds]]&lt;0,"MF","MD"),""))))))</f>
        <v>F</v>
      </c>
      <c r="L351" s="71">
        <f t="shared" si="13"/>
        <v>0</v>
      </c>
      <c r="M351" s="71">
        <f t="shared" si="15"/>
        <v>0</v>
      </c>
      <c r="N351" s="71" t="str">
        <f>IFERROR(VLOOKUP(M351,NCAA_Bets[[Date]:[Version]],2,0),"")</f>
        <v/>
      </c>
      <c r="O351" s="94" t="str">
        <f>COUNTIFS(NCAA_Bets[Date],M351,NCAA_Bets[Result],"W")&amp;"-"&amp;COUNTIFS(NCAA_Bets[Date],M351,NCAA_Bets[Result],"L")&amp;IF(COUNTIFS(NCAA_Bets[Date],M351,NCAA_Bets[Result],"Push")&gt;0,"-"&amp;COUNTIFS(NCAA_Bets[Date],M351,NCAA_Bets[Result],"Push"),"")</f>
        <v>0-0</v>
      </c>
      <c r="P351" s="90">
        <f>SUMIF(NCAA_Bets[Date],M351,NCAA_Bets[Winnings])-SUMIF(NCAA_Bets[Date],M351,NCAA_Bets[Risk])</f>
        <v>0</v>
      </c>
    </row>
    <row r="352" spans="2:16" x14ac:dyDescent="0.25">
      <c r="B352" s="101">
        <f t="shared" si="14"/>
        <v>33</v>
      </c>
      <c r="L352" s="71">
        <f t="shared" si="13"/>
        <v>0</v>
      </c>
      <c r="M352" s="71">
        <f t="shared" si="15"/>
        <v>0</v>
      </c>
      <c r="N352" s="71" t="str">
        <f>IFERROR(VLOOKUP(M352,NCAA_Bets[[Date]:[Version]],2,0),"")</f>
        <v/>
      </c>
      <c r="O352" s="94" t="str">
        <f>COUNTIFS(NCAA_Bets[Date],M352,NCAA_Bets[Result],"W")&amp;"-"&amp;COUNTIFS(NCAA_Bets[Date],M352,NCAA_Bets[Result],"L")&amp;IF(COUNTIFS(NCAA_Bets[Date],M352,NCAA_Bets[Result],"Push")&gt;0,"-"&amp;COUNTIFS(NCAA_Bets[Date],M352,NCAA_Bets[Result],"Push"),"")</f>
        <v>0-0</v>
      </c>
      <c r="P352" s="90">
        <f>SUMIF(NCAA_Bets[Date],M352,NCAA_Bets[Winnings])-SUMIF(NCAA_Bets[Date],M352,NCAA_Bets[Risk])</f>
        <v>0</v>
      </c>
    </row>
    <row r="353" spans="2:16" x14ac:dyDescent="0.25">
      <c r="B353" s="101">
        <f t="shared" si="14"/>
        <v>33</v>
      </c>
      <c r="E353" s="70"/>
      <c r="F353" s="70"/>
      <c r="L353" s="71">
        <f t="shared" si="13"/>
        <v>0</v>
      </c>
      <c r="M353" s="71">
        <f t="shared" si="15"/>
        <v>0</v>
      </c>
      <c r="N353" s="71" t="str">
        <f>IFERROR(VLOOKUP(M353,NCAA_Bets[[Date]:[Version]],2,0),"")</f>
        <v/>
      </c>
      <c r="O353" s="94" t="str">
        <f>COUNTIFS(NCAA_Bets[Date],M353,NCAA_Bets[Result],"W")&amp;"-"&amp;COUNTIFS(NCAA_Bets[Date],M353,NCAA_Bets[Result],"L")&amp;IF(COUNTIFS(NCAA_Bets[Date],M353,NCAA_Bets[Result],"Push")&gt;0,"-"&amp;COUNTIFS(NCAA_Bets[Date],M353,NCAA_Bets[Result],"Push"),"")</f>
        <v>0-0</v>
      </c>
      <c r="P353" s="90">
        <f>SUMIF(NCAA_Bets[Date],M353,NCAA_Bets[Winnings])-SUMIF(NCAA_Bets[Date],M353,NCAA_Bets[Risk])</f>
        <v>0</v>
      </c>
    </row>
    <row r="354" spans="2:16" x14ac:dyDescent="0.25">
      <c r="B354" s="101">
        <f t="shared" si="14"/>
        <v>33</v>
      </c>
      <c r="E354" s="70"/>
      <c r="F354" s="70"/>
      <c r="L354" s="71">
        <f t="shared" si="13"/>
        <v>0</v>
      </c>
      <c r="M354" s="71">
        <f t="shared" si="15"/>
        <v>0</v>
      </c>
      <c r="N354" s="71" t="str">
        <f>IFERROR(VLOOKUP(M354,NCAA_Bets[[Date]:[Version]],2,0),"")</f>
        <v/>
      </c>
      <c r="O354" s="94" t="str">
        <f>COUNTIFS(NCAA_Bets[Date],M354,NCAA_Bets[Result],"W")&amp;"-"&amp;COUNTIFS(NCAA_Bets[Date],M354,NCAA_Bets[Result],"L")&amp;IF(COUNTIFS(NCAA_Bets[Date],M354,NCAA_Bets[Result],"Push")&gt;0,"-"&amp;COUNTIFS(NCAA_Bets[Date],M354,NCAA_Bets[Result],"Push"),"")</f>
        <v>0-0</v>
      </c>
      <c r="P354" s="90">
        <f>SUMIF(NCAA_Bets[Date],M354,NCAA_Bets[Winnings])-SUMIF(NCAA_Bets[Date],M354,NCAA_Bets[Risk])</f>
        <v>0</v>
      </c>
    </row>
    <row r="355" spans="2:16" x14ac:dyDescent="0.25">
      <c r="B355" s="101">
        <f t="shared" si="14"/>
        <v>33</v>
      </c>
      <c r="E355" s="70"/>
      <c r="F355" s="70"/>
      <c r="L355" s="71">
        <f t="shared" si="13"/>
        <v>0</v>
      </c>
      <c r="M355" s="71">
        <f t="shared" si="15"/>
        <v>0</v>
      </c>
      <c r="N355" s="71" t="str">
        <f>IFERROR(VLOOKUP(M355,NCAA_Bets[[Date]:[Version]],2,0),"")</f>
        <v/>
      </c>
      <c r="O355" s="94" t="str">
        <f>COUNTIFS(NCAA_Bets[Date],M355,NCAA_Bets[Result],"W")&amp;"-"&amp;COUNTIFS(NCAA_Bets[Date],M355,NCAA_Bets[Result],"L")&amp;IF(COUNTIFS(NCAA_Bets[Date],M355,NCAA_Bets[Result],"Push")&gt;0,"-"&amp;COUNTIFS(NCAA_Bets[Date],M355,NCAA_Bets[Result],"Push"),"")</f>
        <v>0-0</v>
      </c>
      <c r="P355" s="90">
        <f>SUMIF(NCAA_Bets[Date],M355,NCAA_Bets[Winnings])-SUMIF(NCAA_Bets[Date],M355,NCAA_Bets[Risk])</f>
        <v>0</v>
      </c>
    </row>
    <row r="356" spans="2:16" x14ac:dyDescent="0.25">
      <c r="B356" s="101">
        <f t="shared" si="14"/>
        <v>33</v>
      </c>
      <c r="E356" s="70"/>
      <c r="F356" s="70"/>
      <c r="L356" s="71">
        <f t="shared" ref="L356:L419" si="16">IFERROR(VLOOKUP(ROW()-4,B:C,2,0),0)</f>
        <v>0</v>
      </c>
      <c r="M356" s="71">
        <f t="shared" si="15"/>
        <v>0</v>
      </c>
      <c r="N356" s="71" t="str">
        <f>IFERROR(VLOOKUP(M356,NCAA_Bets[[Date]:[Version]],2,0),"")</f>
        <v/>
      </c>
      <c r="O356" s="94" t="str">
        <f>COUNTIFS(NCAA_Bets[Date],M356,NCAA_Bets[Result],"W")&amp;"-"&amp;COUNTIFS(NCAA_Bets[Date],M356,NCAA_Bets[Result],"L")&amp;IF(COUNTIFS(NCAA_Bets[Date],M356,NCAA_Bets[Result],"Push")&gt;0,"-"&amp;COUNTIFS(NCAA_Bets[Date],M356,NCAA_Bets[Result],"Push"),"")</f>
        <v>0-0</v>
      </c>
      <c r="P356" s="90">
        <f>SUMIF(NCAA_Bets[Date],M356,NCAA_Bets[Winnings])-SUMIF(NCAA_Bets[Date],M356,NCAA_Bets[Risk])</f>
        <v>0</v>
      </c>
    </row>
    <row r="357" spans="2:16" x14ac:dyDescent="0.25">
      <c r="B357" s="101">
        <f t="shared" si="14"/>
        <v>33</v>
      </c>
      <c r="E357" s="70"/>
      <c r="F357" s="70"/>
      <c r="L357" s="71">
        <f t="shared" si="16"/>
        <v>0</v>
      </c>
      <c r="M357" s="71">
        <f t="shared" si="15"/>
        <v>0</v>
      </c>
      <c r="N357" s="71" t="str">
        <f>IFERROR(VLOOKUP(M357,NCAA_Bets[[Date]:[Version]],2,0),"")</f>
        <v/>
      </c>
      <c r="O357" s="94" t="str">
        <f>COUNTIFS(NCAA_Bets[Date],M357,NCAA_Bets[Result],"W")&amp;"-"&amp;COUNTIFS(NCAA_Bets[Date],M357,NCAA_Bets[Result],"L")&amp;IF(COUNTIFS(NCAA_Bets[Date],M357,NCAA_Bets[Result],"Push")&gt;0,"-"&amp;COUNTIFS(NCAA_Bets[Date],M357,NCAA_Bets[Result],"Push"),"")</f>
        <v>0-0</v>
      </c>
      <c r="P357" s="90">
        <f>SUMIF(NCAA_Bets[Date],M357,NCAA_Bets[Winnings])-SUMIF(NCAA_Bets[Date],M357,NCAA_Bets[Risk])</f>
        <v>0</v>
      </c>
    </row>
    <row r="358" spans="2:16" x14ac:dyDescent="0.25">
      <c r="B358" s="101">
        <f t="shared" si="14"/>
        <v>33</v>
      </c>
      <c r="E358" s="70"/>
      <c r="F358" s="70"/>
      <c r="L358" s="71">
        <f t="shared" si="16"/>
        <v>0</v>
      </c>
      <c r="M358" s="71">
        <f t="shared" si="15"/>
        <v>0</v>
      </c>
      <c r="N358" s="71" t="str">
        <f>IFERROR(VLOOKUP(M358,NCAA_Bets[[Date]:[Version]],2,0),"")</f>
        <v/>
      </c>
      <c r="O358" s="94" t="str">
        <f>COUNTIFS(NCAA_Bets[Date],M358,NCAA_Bets[Result],"W")&amp;"-"&amp;COUNTIFS(NCAA_Bets[Date],M358,NCAA_Bets[Result],"L")&amp;IF(COUNTIFS(NCAA_Bets[Date],M358,NCAA_Bets[Result],"Push")&gt;0,"-"&amp;COUNTIFS(NCAA_Bets[Date],M358,NCAA_Bets[Result],"Push"),"")</f>
        <v>0-0</v>
      </c>
      <c r="P358" s="90">
        <f>SUMIF(NCAA_Bets[Date],M358,NCAA_Bets[Winnings])-SUMIF(NCAA_Bets[Date],M358,NCAA_Bets[Risk])</f>
        <v>0</v>
      </c>
    </row>
    <row r="359" spans="2:16" x14ac:dyDescent="0.25">
      <c r="B359" s="101">
        <f t="shared" si="14"/>
        <v>33</v>
      </c>
      <c r="E359" s="70"/>
      <c r="F359" s="70"/>
      <c r="L359" s="71">
        <f t="shared" si="16"/>
        <v>0</v>
      </c>
      <c r="M359" s="71">
        <f t="shared" si="15"/>
        <v>0</v>
      </c>
      <c r="N359" s="71" t="str">
        <f>IFERROR(VLOOKUP(M359,NCAA_Bets[[Date]:[Version]],2,0),"")</f>
        <v/>
      </c>
      <c r="O359" s="94" t="str">
        <f>COUNTIFS(NCAA_Bets[Date],M359,NCAA_Bets[Result],"W")&amp;"-"&amp;COUNTIFS(NCAA_Bets[Date],M359,NCAA_Bets[Result],"L")&amp;IF(COUNTIFS(NCAA_Bets[Date],M359,NCAA_Bets[Result],"Push")&gt;0,"-"&amp;COUNTIFS(NCAA_Bets[Date],M359,NCAA_Bets[Result],"Push"),"")</f>
        <v>0-0</v>
      </c>
      <c r="P359" s="90">
        <f>SUMIF(NCAA_Bets[Date],M359,NCAA_Bets[Winnings])-SUMIF(NCAA_Bets[Date],M359,NCAA_Bets[Risk])</f>
        <v>0</v>
      </c>
    </row>
    <row r="360" spans="2:16" x14ac:dyDescent="0.25">
      <c r="B360" s="101">
        <f t="shared" si="14"/>
        <v>33</v>
      </c>
      <c r="E360" s="70"/>
      <c r="F360" s="70"/>
      <c r="L360" s="71">
        <f t="shared" si="16"/>
        <v>0</v>
      </c>
      <c r="M360" s="71">
        <f t="shared" si="15"/>
        <v>0</v>
      </c>
      <c r="N360" s="71" t="str">
        <f>IFERROR(VLOOKUP(M360,NCAA_Bets[[Date]:[Version]],2,0),"")</f>
        <v/>
      </c>
      <c r="O360" s="94" t="str">
        <f>COUNTIFS(NCAA_Bets[Date],M360,NCAA_Bets[Result],"W")&amp;"-"&amp;COUNTIFS(NCAA_Bets[Date],M360,NCAA_Bets[Result],"L")&amp;IF(COUNTIFS(NCAA_Bets[Date],M360,NCAA_Bets[Result],"Push")&gt;0,"-"&amp;COUNTIFS(NCAA_Bets[Date],M360,NCAA_Bets[Result],"Push"),"")</f>
        <v>0-0</v>
      </c>
      <c r="P360" s="90">
        <f>SUMIF(NCAA_Bets[Date],M360,NCAA_Bets[Winnings])-SUMIF(NCAA_Bets[Date],M360,NCAA_Bets[Risk])</f>
        <v>0</v>
      </c>
    </row>
    <row r="361" spans="2:16" x14ac:dyDescent="0.25">
      <c r="B361" s="101">
        <f t="shared" si="14"/>
        <v>33</v>
      </c>
      <c r="E361" s="70"/>
      <c r="F361" s="70"/>
      <c r="L361" s="71">
        <f t="shared" si="16"/>
        <v>0</v>
      </c>
      <c r="M361" s="71">
        <f t="shared" si="15"/>
        <v>0</v>
      </c>
      <c r="N361" s="71" t="str">
        <f>IFERROR(VLOOKUP(M361,NCAA_Bets[[Date]:[Version]],2,0),"")</f>
        <v/>
      </c>
      <c r="O361" s="94" t="str">
        <f>COUNTIFS(NCAA_Bets[Date],M361,NCAA_Bets[Result],"W")&amp;"-"&amp;COUNTIFS(NCAA_Bets[Date],M361,NCAA_Bets[Result],"L")&amp;IF(COUNTIFS(NCAA_Bets[Date],M361,NCAA_Bets[Result],"Push")&gt;0,"-"&amp;COUNTIFS(NCAA_Bets[Date],M361,NCAA_Bets[Result],"Push"),"")</f>
        <v>0-0</v>
      </c>
      <c r="P361" s="90">
        <f>SUMIF(NCAA_Bets[Date],M361,NCAA_Bets[Winnings])-SUMIF(NCAA_Bets[Date],M361,NCAA_Bets[Risk])</f>
        <v>0</v>
      </c>
    </row>
    <row r="362" spans="2:16" x14ac:dyDescent="0.25">
      <c r="B362" s="101">
        <f t="shared" si="14"/>
        <v>33</v>
      </c>
      <c r="E362" s="70"/>
      <c r="F362" s="70"/>
      <c r="L362" s="71">
        <f t="shared" si="16"/>
        <v>0</v>
      </c>
      <c r="M362" s="71">
        <f t="shared" si="15"/>
        <v>0</v>
      </c>
      <c r="N362" s="71" t="str">
        <f>IFERROR(VLOOKUP(M362,NCAA_Bets[[Date]:[Version]],2,0),"")</f>
        <v/>
      </c>
      <c r="O362" s="94" t="str">
        <f>COUNTIFS(NCAA_Bets[Date],M362,NCAA_Bets[Result],"W")&amp;"-"&amp;COUNTIFS(NCAA_Bets[Date],M362,NCAA_Bets[Result],"L")&amp;IF(COUNTIFS(NCAA_Bets[Date],M362,NCAA_Bets[Result],"Push")&gt;0,"-"&amp;COUNTIFS(NCAA_Bets[Date],M362,NCAA_Bets[Result],"Push"),"")</f>
        <v>0-0</v>
      </c>
      <c r="P362" s="90">
        <f>SUMIF(NCAA_Bets[Date],M362,NCAA_Bets[Winnings])-SUMIF(NCAA_Bets[Date],M362,NCAA_Bets[Risk])</f>
        <v>0</v>
      </c>
    </row>
    <row r="363" spans="2:16" x14ac:dyDescent="0.25">
      <c r="B363" s="101">
        <f t="shared" si="14"/>
        <v>33</v>
      </c>
      <c r="L363" s="71">
        <f t="shared" si="16"/>
        <v>0</v>
      </c>
      <c r="M363" s="71">
        <f t="shared" si="15"/>
        <v>0</v>
      </c>
      <c r="N363" s="71" t="str">
        <f>IFERROR(VLOOKUP(M363,NCAA_Bets[[Date]:[Version]],2,0),"")</f>
        <v/>
      </c>
      <c r="O363" s="94" t="str">
        <f>COUNTIFS(NCAA_Bets[Date],M363,NCAA_Bets[Result],"W")&amp;"-"&amp;COUNTIFS(NCAA_Bets[Date],M363,NCAA_Bets[Result],"L")&amp;IF(COUNTIFS(NCAA_Bets[Date],M363,NCAA_Bets[Result],"Push")&gt;0,"-"&amp;COUNTIFS(NCAA_Bets[Date],M363,NCAA_Bets[Result],"Push"),"")</f>
        <v>0-0</v>
      </c>
      <c r="P363" s="90">
        <f>SUMIF(NCAA_Bets[Date],M363,NCAA_Bets[Winnings])-SUMIF(NCAA_Bets[Date],M363,NCAA_Bets[Risk])</f>
        <v>0</v>
      </c>
    </row>
    <row r="364" spans="2:16" x14ac:dyDescent="0.25">
      <c r="B364" s="101">
        <f t="shared" si="14"/>
        <v>33</v>
      </c>
      <c r="L364" s="71">
        <f t="shared" si="16"/>
        <v>0</v>
      </c>
      <c r="M364" s="71">
        <f t="shared" si="15"/>
        <v>0</v>
      </c>
      <c r="N364" s="71" t="str">
        <f>IFERROR(VLOOKUP(M364,NCAA_Bets[[Date]:[Version]],2,0),"")</f>
        <v/>
      </c>
      <c r="O364" s="94" t="str">
        <f>COUNTIFS(NCAA_Bets[Date],M364,NCAA_Bets[Result],"W")&amp;"-"&amp;COUNTIFS(NCAA_Bets[Date],M364,NCAA_Bets[Result],"L")&amp;IF(COUNTIFS(NCAA_Bets[Date],M364,NCAA_Bets[Result],"Push")&gt;0,"-"&amp;COUNTIFS(NCAA_Bets[Date],M364,NCAA_Bets[Result],"Push"),"")</f>
        <v>0-0</v>
      </c>
      <c r="P364" s="90">
        <f>SUMIF(NCAA_Bets[Date],M364,NCAA_Bets[Winnings])-SUMIF(NCAA_Bets[Date],M364,NCAA_Bets[Risk])</f>
        <v>0</v>
      </c>
    </row>
    <row r="365" spans="2:16" x14ac:dyDescent="0.25">
      <c r="B365" s="101">
        <f t="shared" si="14"/>
        <v>33</v>
      </c>
      <c r="L365" s="71">
        <f t="shared" si="16"/>
        <v>0</v>
      </c>
      <c r="M365" s="71">
        <f t="shared" si="15"/>
        <v>0</v>
      </c>
      <c r="N365" s="71" t="str">
        <f>IFERROR(VLOOKUP(M365,NCAA_Bets[[Date]:[Version]],2,0),"")</f>
        <v/>
      </c>
      <c r="O365" s="94" t="str">
        <f>COUNTIFS(NCAA_Bets[Date],M365,NCAA_Bets[Result],"W")&amp;"-"&amp;COUNTIFS(NCAA_Bets[Date],M365,NCAA_Bets[Result],"L")&amp;IF(COUNTIFS(NCAA_Bets[Date],M365,NCAA_Bets[Result],"Push")&gt;0,"-"&amp;COUNTIFS(NCAA_Bets[Date],M365,NCAA_Bets[Result],"Push"),"")</f>
        <v>0-0</v>
      </c>
      <c r="P365" s="90">
        <f>SUMIF(NCAA_Bets[Date],M365,NCAA_Bets[Winnings])-SUMIF(NCAA_Bets[Date],M365,NCAA_Bets[Risk])</f>
        <v>0</v>
      </c>
    </row>
    <row r="366" spans="2:16" x14ac:dyDescent="0.25">
      <c r="B366" s="101">
        <f t="shared" si="14"/>
        <v>33</v>
      </c>
      <c r="L366" s="71">
        <f t="shared" si="16"/>
        <v>0</v>
      </c>
      <c r="M366" s="71">
        <f t="shared" si="15"/>
        <v>0</v>
      </c>
      <c r="N366" s="71" t="str">
        <f>IFERROR(VLOOKUP(M366,NCAA_Bets[[Date]:[Version]],2,0),"")</f>
        <v/>
      </c>
      <c r="O366" s="94" t="str">
        <f>COUNTIFS(NCAA_Bets[Date],M366,NCAA_Bets[Result],"W")&amp;"-"&amp;COUNTIFS(NCAA_Bets[Date],M366,NCAA_Bets[Result],"L")&amp;IF(COUNTIFS(NCAA_Bets[Date],M366,NCAA_Bets[Result],"Push")&gt;0,"-"&amp;COUNTIFS(NCAA_Bets[Date],M366,NCAA_Bets[Result],"Push"),"")</f>
        <v>0-0</v>
      </c>
      <c r="P366" s="90">
        <f>SUMIF(NCAA_Bets[Date],M366,NCAA_Bets[Winnings])-SUMIF(NCAA_Bets[Date],M366,NCAA_Bets[Risk])</f>
        <v>0</v>
      </c>
    </row>
    <row r="367" spans="2:16" x14ac:dyDescent="0.25">
      <c r="B367" s="101">
        <f t="shared" si="14"/>
        <v>33</v>
      </c>
      <c r="L367" s="71">
        <f t="shared" si="16"/>
        <v>0</v>
      </c>
      <c r="M367" s="71">
        <f t="shared" si="15"/>
        <v>0</v>
      </c>
      <c r="N367" s="71" t="str">
        <f>IFERROR(VLOOKUP(M367,NCAA_Bets[[Date]:[Version]],2,0),"")</f>
        <v/>
      </c>
      <c r="O367" s="94" t="str">
        <f>COUNTIFS(NCAA_Bets[Date],M367,NCAA_Bets[Result],"W")&amp;"-"&amp;COUNTIFS(NCAA_Bets[Date],M367,NCAA_Bets[Result],"L")&amp;IF(COUNTIFS(NCAA_Bets[Date],M367,NCAA_Bets[Result],"Push")&gt;0,"-"&amp;COUNTIFS(NCAA_Bets[Date],M367,NCAA_Bets[Result],"Push"),"")</f>
        <v>0-0</v>
      </c>
      <c r="P367" s="90">
        <f>SUMIF(NCAA_Bets[Date],M367,NCAA_Bets[Winnings])-SUMIF(NCAA_Bets[Date],M367,NCAA_Bets[Risk])</f>
        <v>0</v>
      </c>
    </row>
    <row r="368" spans="2:16" x14ac:dyDescent="0.25">
      <c r="B368" s="101">
        <f t="shared" si="14"/>
        <v>33</v>
      </c>
      <c r="L368" s="71">
        <f t="shared" si="16"/>
        <v>0</v>
      </c>
      <c r="M368" s="71">
        <f t="shared" si="15"/>
        <v>0</v>
      </c>
      <c r="N368" s="71" t="str">
        <f>IFERROR(VLOOKUP(M368,NCAA_Bets[[Date]:[Version]],2,0),"")</f>
        <v/>
      </c>
      <c r="O368" s="94" t="str">
        <f>COUNTIFS(NCAA_Bets[Date],M368,NCAA_Bets[Result],"W")&amp;"-"&amp;COUNTIFS(NCAA_Bets[Date],M368,NCAA_Bets[Result],"L")&amp;IF(COUNTIFS(NCAA_Bets[Date],M368,NCAA_Bets[Result],"Push")&gt;0,"-"&amp;COUNTIFS(NCAA_Bets[Date],M368,NCAA_Bets[Result],"Push"),"")</f>
        <v>0-0</v>
      </c>
      <c r="P368" s="90">
        <f>SUMIF(NCAA_Bets[Date],M368,NCAA_Bets[Winnings])-SUMIF(NCAA_Bets[Date],M368,NCAA_Bets[Risk])</f>
        <v>0</v>
      </c>
    </row>
    <row r="369" spans="2:16" x14ac:dyDescent="0.25">
      <c r="B369" s="101">
        <f t="shared" si="14"/>
        <v>33</v>
      </c>
      <c r="L369" s="71">
        <f t="shared" si="16"/>
        <v>0</v>
      </c>
      <c r="M369" s="71">
        <f t="shared" si="15"/>
        <v>0</v>
      </c>
      <c r="N369" s="71" t="str">
        <f>IFERROR(VLOOKUP(M369,NCAA_Bets[[Date]:[Version]],2,0),"")</f>
        <v/>
      </c>
      <c r="O369" s="94" t="str">
        <f>COUNTIFS(NCAA_Bets[Date],M369,NCAA_Bets[Result],"W")&amp;"-"&amp;COUNTIFS(NCAA_Bets[Date],M369,NCAA_Bets[Result],"L")&amp;IF(COUNTIFS(NCAA_Bets[Date],M369,NCAA_Bets[Result],"Push")&gt;0,"-"&amp;COUNTIFS(NCAA_Bets[Date],M369,NCAA_Bets[Result],"Push"),"")</f>
        <v>0-0</v>
      </c>
      <c r="P369" s="90">
        <f>SUMIF(NCAA_Bets[Date],M369,NCAA_Bets[Winnings])-SUMIF(NCAA_Bets[Date],M369,NCAA_Bets[Risk])</f>
        <v>0</v>
      </c>
    </row>
    <row r="370" spans="2:16" x14ac:dyDescent="0.25">
      <c r="B370" s="101">
        <f t="shared" si="14"/>
        <v>33</v>
      </c>
      <c r="L370" s="71">
        <f t="shared" si="16"/>
        <v>0</v>
      </c>
      <c r="M370" s="71">
        <f t="shared" si="15"/>
        <v>0</v>
      </c>
      <c r="N370" s="71" t="str">
        <f>IFERROR(VLOOKUP(M370,NCAA_Bets[[Date]:[Version]],2,0),"")</f>
        <v/>
      </c>
      <c r="O370" s="94" t="str">
        <f>COUNTIFS(NCAA_Bets[Date],M370,NCAA_Bets[Result],"W")&amp;"-"&amp;COUNTIFS(NCAA_Bets[Date],M370,NCAA_Bets[Result],"L")&amp;IF(COUNTIFS(NCAA_Bets[Date],M370,NCAA_Bets[Result],"Push")&gt;0,"-"&amp;COUNTIFS(NCAA_Bets[Date],M370,NCAA_Bets[Result],"Push"),"")</f>
        <v>0-0</v>
      </c>
      <c r="P370" s="90">
        <f>SUMIF(NCAA_Bets[Date],M370,NCAA_Bets[Winnings])-SUMIF(NCAA_Bets[Date],M370,NCAA_Bets[Risk])</f>
        <v>0</v>
      </c>
    </row>
    <row r="371" spans="2:16" x14ac:dyDescent="0.25">
      <c r="B371" s="101">
        <f t="shared" si="14"/>
        <v>33</v>
      </c>
      <c r="L371" s="71">
        <f t="shared" si="16"/>
        <v>0</v>
      </c>
      <c r="M371" s="71">
        <f t="shared" si="15"/>
        <v>0</v>
      </c>
      <c r="N371" s="71" t="str">
        <f>IFERROR(VLOOKUP(M371,NCAA_Bets[[Date]:[Version]],2,0),"")</f>
        <v/>
      </c>
      <c r="O371" s="94" t="str">
        <f>COUNTIFS(NCAA_Bets[Date],M371,NCAA_Bets[Result],"W")&amp;"-"&amp;COUNTIFS(NCAA_Bets[Date],M371,NCAA_Bets[Result],"L")&amp;IF(COUNTIFS(NCAA_Bets[Date],M371,NCAA_Bets[Result],"Push")&gt;0,"-"&amp;COUNTIFS(NCAA_Bets[Date],M371,NCAA_Bets[Result],"Push"),"")</f>
        <v>0-0</v>
      </c>
      <c r="P371" s="90">
        <f>SUMIF(NCAA_Bets[Date],M371,NCAA_Bets[Winnings])-SUMIF(NCAA_Bets[Date],M371,NCAA_Bets[Risk])</f>
        <v>0</v>
      </c>
    </row>
    <row r="372" spans="2:16" x14ac:dyDescent="0.25">
      <c r="B372" s="101">
        <f t="shared" si="14"/>
        <v>33</v>
      </c>
      <c r="L372" s="71">
        <f t="shared" si="16"/>
        <v>0</v>
      </c>
      <c r="M372" s="71">
        <f t="shared" si="15"/>
        <v>0</v>
      </c>
      <c r="N372" s="71" t="str">
        <f>IFERROR(VLOOKUP(M372,NCAA_Bets[[Date]:[Version]],2,0),"")</f>
        <v/>
      </c>
      <c r="O372" s="94" t="str">
        <f>COUNTIFS(NCAA_Bets[Date],M372,NCAA_Bets[Result],"W")&amp;"-"&amp;COUNTIFS(NCAA_Bets[Date],M372,NCAA_Bets[Result],"L")&amp;IF(COUNTIFS(NCAA_Bets[Date],M372,NCAA_Bets[Result],"Push")&gt;0,"-"&amp;COUNTIFS(NCAA_Bets[Date],M372,NCAA_Bets[Result],"Push"),"")</f>
        <v>0-0</v>
      </c>
      <c r="P372" s="90">
        <f>SUMIF(NCAA_Bets[Date],M372,NCAA_Bets[Winnings])-SUMIF(NCAA_Bets[Date],M372,NCAA_Bets[Risk])</f>
        <v>0</v>
      </c>
    </row>
    <row r="373" spans="2:16" x14ac:dyDescent="0.25">
      <c r="B373" s="101">
        <f t="shared" si="14"/>
        <v>33</v>
      </c>
      <c r="L373" s="71">
        <f t="shared" si="16"/>
        <v>0</v>
      </c>
      <c r="M373" s="71">
        <f t="shared" si="15"/>
        <v>0</v>
      </c>
      <c r="N373" s="71" t="str">
        <f>IFERROR(VLOOKUP(M373,NCAA_Bets[[Date]:[Version]],2,0),"")</f>
        <v/>
      </c>
      <c r="O373" s="94" t="str">
        <f>COUNTIFS(NCAA_Bets[Date],M373,NCAA_Bets[Result],"W")&amp;"-"&amp;COUNTIFS(NCAA_Bets[Date],M373,NCAA_Bets[Result],"L")&amp;IF(COUNTIFS(NCAA_Bets[Date],M373,NCAA_Bets[Result],"Push")&gt;0,"-"&amp;COUNTIFS(NCAA_Bets[Date],M373,NCAA_Bets[Result],"Push"),"")</f>
        <v>0-0</v>
      </c>
      <c r="P373" s="90">
        <f>SUMIF(NCAA_Bets[Date],M373,NCAA_Bets[Winnings])-SUMIF(NCAA_Bets[Date],M373,NCAA_Bets[Risk])</f>
        <v>0</v>
      </c>
    </row>
    <row r="374" spans="2:16" x14ac:dyDescent="0.25">
      <c r="B374" s="101">
        <f t="shared" si="14"/>
        <v>33</v>
      </c>
      <c r="L374" s="71">
        <f t="shared" si="16"/>
        <v>0</v>
      </c>
      <c r="M374" s="71">
        <f t="shared" si="15"/>
        <v>0</v>
      </c>
      <c r="N374" s="71" t="str">
        <f>IFERROR(VLOOKUP(M374,NCAA_Bets[[Date]:[Version]],2,0),"")</f>
        <v/>
      </c>
      <c r="O374" s="94" t="str">
        <f>COUNTIFS(NCAA_Bets[Date],M374,NCAA_Bets[Result],"W")&amp;"-"&amp;COUNTIFS(NCAA_Bets[Date],M374,NCAA_Bets[Result],"L")&amp;IF(COUNTIFS(NCAA_Bets[Date],M374,NCAA_Bets[Result],"Push")&gt;0,"-"&amp;COUNTIFS(NCAA_Bets[Date],M374,NCAA_Bets[Result],"Push"),"")</f>
        <v>0-0</v>
      </c>
      <c r="P374" s="90">
        <f>SUMIF(NCAA_Bets[Date],M374,NCAA_Bets[Winnings])-SUMIF(NCAA_Bets[Date],M374,NCAA_Bets[Risk])</f>
        <v>0</v>
      </c>
    </row>
    <row r="375" spans="2:16" x14ac:dyDescent="0.25">
      <c r="B375" s="101">
        <f t="shared" si="14"/>
        <v>33</v>
      </c>
      <c r="L375" s="71">
        <f t="shared" si="16"/>
        <v>0</v>
      </c>
      <c r="M375" s="71">
        <f t="shared" si="15"/>
        <v>0</v>
      </c>
      <c r="N375" s="71" t="str">
        <f>IFERROR(VLOOKUP(M375,NCAA_Bets[[Date]:[Version]],2,0),"")</f>
        <v/>
      </c>
      <c r="O375" s="94" t="str">
        <f>COUNTIFS(NCAA_Bets[Date],M375,NCAA_Bets[Result],"W")&amp;"-"&amp;COUNTIFS(NCAA_Bets[Date],M375,NCAA_Bets[Result],"L")&amp;IF(COUNTIFS(NCAA_Bets[Date],M375,NCAA_Bets[Result],"Push")&gt;0,"-"&amp;COUNTIFS(NCAA_Bets[Date],M375,NCAA_Bets[Result],"Push"),"")</f>
        <v>0-0</v>
      </c>
      <c r="P375" s="90">
        <f>SUMIF(NCAA_Bets[Date],M375,NCAA_Bets[Winnings])-SUMIF(NCAA_Bets[Date],M375,NCAA_Bets[Risk])</f>
        <v>0</v>
      </c>
    </row>
    <row r="376" spans="2:16" x14ac:dyDescent="0.25">
      <c r="B376" s="101">
        <f t="shared" si="14"/>
        <v>33</v>
      </c>
      <c r="L376" s="71">
        <f t="shared" si="16"/>
        <v>0</v>
      </c>
      <c r="M376" s="71">
        <f t="shared" si="15"/>
        <v>0</v>
      </c>
      <c r="N376" s="71" t="str">
        <f>IFERROR(VLOOKUP(M376,NCAA_Bets[[Date]:[Version]],2,0),"")</f>
        <v/>
      </c>
      <c r="O376" s="94" t="str">
        <f>COUNTIFS(NCAA_Bets[Date],M376,NCAA_Bets[Result],"W")&amp;"-"&amp;COUNTIFS(NCAA_Bets[Date],M376,NCAA_Bets[Result],"L")&amp;IF(COUNTIFS(NCAA_Bets[Date],M376,NCAA_Bets[Result],"Push")&gt;0,"-"&amp;COUNTIFS(NCAA_Bets[Date],M376,NCAA_Bets[Result],"Push"),"")</f>
        <v>0-0</v>
      </c>
      <c r="P376" s="90">
        <f>SUMIF(NCAA_Bets[Date],M376,NCAA_Bets[Winnings])-SUMIF(NCAA_Bets[Date],M376,NCAA_Bets[Risk])</f>
        <v>0</v>
      </c>
    </row>
    <row r="377" spans="2:16" x14ac:dyDescent="0.25">
      <c r="B377" s="101">
        <f t="shared" si="14"/>
        <v>33</v>
      </c>
      <c r="L377" s="71">
        <f t="shared" si="16"/>
        <v>0</v>
      </c>
      <c r="M377" s="71">
        <f t="shared" si="15"/>
        <v>0</v>
      </c>
      <c r="N377" s="71" t="str">
        <f>IFERROR(VLOOKUP(M377,NCAA_Bets[[Date]:[Version]],2,0),"")</f>
        <v/>
      </c>
      <c r="O377" s="94" t="str">
        <f>COUNTIFS(NCAA_Bets[Date],M377,NCAA_Bets[Result],"W")&amp;"-"&amp;COUNTIFS(NCAA_Bets[Date],M377,NCAA_Bets[Result],"L")&amp;IF(COUNTIFS(NCAA_Bets[Date],M377,NCAA_Bets[Result],"Push")&gt;0,"-"&amp;COUNTIFS(NCAA_Bets[Date],M377,NCAA_Bets[Result],"Push"),"")</f>
        <v>0-0</v>
      </c>
      <c r="P377" s="90">
        <f>SUMIF(NCAA_Bets[Date],M377,NCAA_Bets[Winnings])-SUMIF(NCAA_Bets[Date],M377,NCAA_Bets[Risk])</f>
        <v>0</v>
      </c>
    </row>
    <row r="378" spans="2:16" x14ac:dyDescent="0.25">
      <c r="B378" s="101">
        <f t="shared" si="14"/>
        <v>33</v>
      </c>
      <c r="L378" s="71">
        <f t="shared" si="16"/>
        <v>0</v>
      </c>
      <c r="M378" s="71">
        <f t="shared" si="15"/>
        <v>0</v>
      </c>
      <c r="N378" s="71" t="str">
        <f>IFERROR(VLOOKUP(M378,NCAA_Bets[[Date]:[Version]],2,0),"")</f>
        <v/>
      </c>
      <c r="O378" s="94" t="str">
        <f>COUNTIFS(NCAA_Bets[Date],M378,NCAA_Bets[Result],"W")&amp;"-"&amp;COUNTIFS(NCAA_Bets[Date],M378,NCAA_Bets[Result],"L")&amp;IF(COUNTIFS(NCAA_Bets[Date],M378,NCAA_Bets[Result],"Push")&gt;0,"-"&amp;COUNTIFS(NCAA_Bets[Date],M378,NCAA_Bets[Result],"Push"),"")</f>
        <v>0-0</v>
      </c>
      <c r="P378" s="90">
        <f>SUMIF(NCAA_Bets[Date],M378,NCAA_Bets[Winnings])-SUMIF(NCAA_Bets[Date],M378,NCAA_Bets[Risk])</f>
        <v>0</v>
      </c>
    </row>
    <row r="379" spans="2:16" x14ac:dyDescent="0.25">
      <c r="B379" s="101">
        <f t="shared" si="14"/>
        <v>33</v>
      </c>
      <c r="L379" s="71">
        <f t="shared" si="16"/>
        <v>0</v>
      </c>
      <c r="M379" s="71">
        <f t="shared" si="15"/>
        <v>0</v>
      </c>
      <c r="N379" s="71" t="str">
        <f>IFERROR(VLOOKUP(M379,NCAA_Bets[[Date]:[Version]],2,0),"")</f>
        <v/>
      </c>
      <c r="O379" s="94" t="str">
        <f>COUNTIFS(NCAA_Bets[Date],M379,NCAA_Bets[Result],"W")&amp;"-"&amp;COUNTIFS(NCAA_Bets[Date],M379,NCAA_Bets[Result],"L")&amp;IF(COUNTIFS(NCAA_Bets[Date],M379,NCAA_Bets[Result],"Push")&gt;0,"-"&amp;COUNTIFS(NCAA_Bets[Date],M379,NCAA_Bets[Result],"Push"),"")</f>
        <v>0-0</v>
      </c>
      <c r="P379" s="90">
        <f>SUMIF(NCAA_Bets[Date],M379,NCAA_Bets[Winnings])-SUMIF(NCAA_Bets[Date],M379,NCAA_Bets[Risk])</f>
        <v>0</v>
      </c>
    </row>
    <row r="380" spans="2:16" x14ac:dyDescent="0.25">
      <c r="B380" s="101">
        <f t="shared" si="14"/>
        <v>33</v>
      </c>
      <c r="L380" s="71">
        <f t="shared" si="16"/>
        <v>0</v>
      </c>
      <c r="M380" s="71">
        <f t="shared" si="15"/>
        <v>0</v>
      </c>
      <c r="N380" s="71" t="str">
        <f>IFERROR(VLOOKUP(M380,NCAA_Bets[[Date]:[Version]],2,0),"")</f>
        <v/>
      </c>
      <c r="O380" s="94" t="str">
        <f>COUNTIFS(NCAA_Bets[Date],M380,NCAA_Bets[Result],"W")&amp;"-"&amp;COUNTIFS(NCAA_Bets[Date],M380,NCAA_Bets[Result],"L")&amp;IF(COUNTIFS(NCAA_Bets[Date],M380,NCAA_Bets[Result],"Push")&gt;0,"-"&amp;COUNTIFS(NCAA_Bets[Date],M380,NCAA_Bets[Result],"Push"),"")</f>
        <v>0-0</v>
      </c>
      <c r="P380" s="90">
        <f>SUMIF(NCAA_Bets[Date],M380,NCAA_Bets[Winnings])-SUMIF(NCAA_Bets[Date],M380,NCAA_Bets[Risk])</f>
        <v>0</v>
      </c>
    </row>
    <row r="381" spans="2:16" x14ac:dyDescent="0.25">
      <c r="B381" s="101">
        <f t="shared" si="14"/>
        <v>33</v>
      </c>
      <c r="L381" s="71">
        <f t="shared" si="16"/>
        <v>0</v>
      </c>
      <c r="M381" s="71">
        <f t="shared" si="15"/>
        <v>0</v>
      </c>
      <c r="N381" s="71" t="str">
        <f>IFERROR(VLOOKUP(M381,NCAA_Bets[[Date]:[Version]],2,0),"")</f>
        <v/>
      </c>
      <c r="O381" s="94" t="str">
        <f>COUNTIFS(NCAA_Bets[Date],M381,NCAA_Bets[Result],"W")&amp;"-"&amp;COUNTIFS(NCAA_Bets[Date],M381,NCAA_Bets[Result],"L")&amp;IF(COUNTIFS(NCAA_Bets[Date],M381,NCAA_Bets[Result],"Push")&gt;0,"-"&amp;COUNTIFS(NCAA_Bets[Date],M381,NCAA_Bets[Result],"Push"),"")</f>
        <v>0-0</v>
      </c>
      <c r="P381" s="90">
        <f>SUMIF(NCAA_Bets[Date],M381,NCAA_Bets[Winnings])-SUMIF(NCAA_Bets[Date],M381,NCAA_Bets[Risk])</f>
        <v>0</v>
      </c>
    </row>
    <row r="382" spans="2:16" x14ac:dyDescent="0.25">
      <c r="B382" s="101">
        <f t="shared" si="14"/>
        <v>33</v>
      </c>
      <c r="L382" s="71">
        <f t="shared" si="16"/>
        <v>0</v>
      </c>
      <c r="M382" s="71">
        <f t="shared" si="15"/>
        <v>0</v>
      </c>
      <c r="N382" s="71" t="str">
        <f>IFERROR(VLOOKUP(M382,NCAA_Bets[[Date]:[Version]],2,0),"")</f>
        <v/>
      </c>
      <c r="O382" s="94" t="str">
        <f>COUNTIFS(NCAA_Bets[Date],M382,NCAA_Bets[Result],"W")&amp;"-"&amp;COUNTIFS(NCAA_Bets[Date],M382,NCAA_Bets[Result],"L")&amp;IF(COUNTIFS(NCAA_Bets[Date],M382,NCAA_Bets[Result],"Push")&gt;0,"-"&amp;COUNTIFS(NCAA_Bets[Date],M382,NCAA_Bets[Result],"Push"),"")</f>
        <v>0-0</v>
      </c>
      <c r="P382" s="90">
        <f>SUMIF(NCAA_Bets[Date],M382,NCAA_Bets[Winnings])-SUMIF(NCAA_Bets[Date],M382,NCAA_Bets[Risk])</f>
        <v>0</v>
      </c>
    </row>
    <row r="383" spans="2:16" x14ac:dyDescent="0.25">
      <c r="B383" s="101">
        <f t="shared" si="14"/>
        <v>33</v>
      </c>
      <c r="L383" s="71">
        <f t="shared" si="16"/>
        <v>0</v>
      </c>
      <c r="M383" s="71">
        <f t="shared" si="15"/>
        <v>0</v>
      </c>
      <c r="N383" s="71" t="str">
        <f>IFERROR(VLOOKUP(M383,NCAA_Bets[[Date]:[Version]],2,0),"")</f>
        <v/>
      </c>
      <c r="O383" s="94" t="str">
        <f>COUNTIFS(NCAA_Bets[Date],M383,NCAA_Bets[Result],"W")&amp;"-"&amp;COUNTIFS(NCAA_Bets[Date],M383,NCAA_Bets[Result],"L")&amp;IF(COUNTIFS(NCAA_Bets[Date],M383,NCAA_Bets[Result],"Push")&gt;0,"-"&amp;COUNTIFS(NCAA_Bets[Date],M383,NCAA_Bets[Result],"Push"),"")</f>
        <v>0-0</v>
      </c>
      <c r="P383" s="90">
        <f>SUMIF(NCAA_Bets[Date],M383,NCAA_Bets[Winnings])-SUMIF(NCAA_Bets[Date],M383,NCAA_Bets[Risk])</f>
        <v>0</v>
      </c>
    </row>
    <row r="384" spans="2:16" x14ac:dyDescent="0.25">
      <c r="B384" s="101">
        <f t="shared" si="14"/>
        <v>33</v>
      </c>
      <c r="L384" s="71">
        <f t="shared" si="16"/>
        <v>0</v>
      </c>
      <c r="M384" s="71">
        <f t="shared" si="15"/>
        <v>0</v>
      </c>
      <c r="N384" s="71" t="str">
        <f>IFERROR(VLOOKUP(M384,NCAA_Bets[[Date]:[Version]],2,0),"")</f>
        <v/>
      </c>
      <c r="O384" s="94" t="str">
        <f>COUNTIFS(NCAA_Bets[Date],M384,NCAA_Bets[Result],"W")&amp;"-"&amp;COUNTIFS(NCAA_Bets[Date],M384,NCAA_Bets[Result],"L")&amp;IF(COUNTIFS(NCAA_Bets[Date],M384,NCAA_Bets[Result],"Push")&gt;0,"-"&amp;COUNTIFS(NCAA_Bets[Date],M384,NCAA_Bets[Result],"Push"),"")</f>
        <v>0-0</v>
      </c>
      <c r="P384" s="90">
        <f>SUMIF(NCAA_Bets[Date],M384,NCAA_Bets[Winnings])-SUMIF(NCAA_Bets[Date],M384,NCAA_Bets[Risk])</f>
        <v>0</v>
      </c>
    </row>
    <row r="385" spans="2:16" x14ac:dyDescent="0.25">
      <c r="B385" s="101">
        <f t="shared" si="14"/>
        <v>33</v>
      </c>
      <c r="L385" s="71">
        <f t="shared" si="16"/>
        <v>0</v>
      </c>
      <c r="M385" s="71">
        <f t="shared" si="15"/>
        <v>0</v>
      </c>
      <c r="N385" s="71" t="str">
        <f>IFERROR(VLOOKUP(M385,NCAA_Bets[[Date]:[Version]],2,0),"")</f>
        <v/>
      </c>
      <c r="O385" s="94" t="str">
        <f>COUNTIFS(NCAA_Bets[Date],M385,NCAA_Bets[Result],"W")&amp;"-"&amp;COUNTIFS(NCAA_Bets[Date],M385,NCAA_Bets[Result],"L")&amp;IF(COUNTIFS(NCAA_Bets[Date],M385,NCAA_Bets[Result],"Push")&gt;0,"-"&amp;COUNTIFS(NCAA_Bets[Date],M385,NCAA_Bets[Result],"Push"),"")</f>
        <v>0-0</v>
      </c>
      <c r="P385" s="90">
        <f>SUMIF(NCAA_Bets[Date],M385,NCAA_Bets[Winnings])-SUMIF(NCAA_Bets[Date],M385,NCAA_Bets[Risk])</f>
        <v>0</v>
      </c>
    </row>
    <row r="386" spans="2:16" x14ac:dyDescent="0.25">
      <c r="B386" s="101">
        <f t="shared" si="14"/>
        <v>33</v>
      </c>
      <c r="L386" s="71">
        <f t="shared" si="16"/>
        <v>0</v>
      </c>
      <c r="M386" s="71">
        <f t="shared" si="15"/>
        <v>0</v>
      </c>
      <c r="N386" s="71" t="str">
        <f>IFERROR(VLOOKUP(M386,NCAA_Bets[[Date]:[Version]],2,0),"")</f>
        <v/>
      </c>
      <c r="O386" s="94" t="str">
        <f>COUNTIFS(NCAA_Bets[Date],M386,NCAA_Bets[Result],"W")&amp;"-"&amp;COUNTIFS(NCAA_Bets[Date],M386,NCAA_Bets[Result],"L")&amp;IF(COUNTIFS(NCAA_Bets[Date],M386,NCAA_Bets[Result],"Push")&gt;0,"-"&amp;COUNTIFS(NCAA_Bets[Date],M386,NCAA_Bets[Result],"Push"),"")</f>
        <v>0-0</v>
      </c>
      <c r="P386" s="90">
        <f>SUMIF(NCAA_Bets[Date],M386,NCAA_Bets[Winnings])-SUMIF(NCAA_Bets[Date],M386,NCAA_Bets[Risk])</f>
        <v>0</v>
      </c>
    </row>
    <row r="387" spans="2:16" x14ac:dyDescent="0.25">
      <c r="B387" s="101">
        <f t="shared" si="14"/>
        <v>33</v>
      </c>
      <c r="L387" s="71">
        <f t="shared" si="16"/>
        <v>0</v>
      </c>
      <c r="M387" s="71">
        <f t="shared" si="15"/>
        <v>0</v>
      </c>
      <c r="N387" s="71" t="str">
        <f>IFERROR(VLOOKUP(M387,NCAA_Bets[[Date]:[Version]],2,0),"")</f>
        <v/>
      </c>
      <c r="O387" s="94" t="str">
        <f>COUNTIFS(NCAA_Bets[Date],M387,NCAA_Bets[Result],"W")&amp;"-"&amp;COUNTIFS(NCAA_Bets[Date],M387,NCAA_Bets[Result],"L")&amp;IF(COUNTIFS(NCAA_Bets[Date],M387,NCAA_Bets[Result],"Push")&gt;0,"-"&amp;COUNTIFS(NCAA_Bets[Date],M387,NCAA_Bets[Result],"Push"),"")</f>
        <v>0-0</v>
      </c>
      <c r="P387" s="90">
        <f>SUMIF(NCAA_Bets[Date],M387,NCAA_Bets[Winnings])-SUMIF(NCAA_Bets[Date],M387,NCAA_Bets[Risk])</f>
        <v>0</v>
      </c>
    </row>
    <row r="388" spans="2:16" x14ac:dyDescent="0.25">
      <c r="B388" s="101">
        <f t="shared" si="14"/>
        <v>33</v>
      </c>
      <c r="L388" s="71">
        <f t="shared" si="16"/>
        <v>0</v>
      </c>
      <c r="M388" s="71">
        <f t="shared" si="15"/>
        <v>0</v>
      </c>
      <c r="N388" s="71" t="str">
        <f>IFERROR(VLOOKUP(M388,NCAA_Bets[[Date]:[Version]],2,0),"")</f>
        <v/>
      </c>
      <c r="O388" s="94" t="str">
        <f>COUNTIFS(NCAA_Bets[Date],M388,NCAA_Bets[Result],"W")&amp;"-"&amp;COUNTIFS(NCAA_Bets[Date],M388,NCAA_Bets[Result],"L")&amp;IF(COUNTIFS(NCAA_Bets[Date],M388,NCAA_Bets[Result],"Push")&gt;0,"-"&amp;COUNTIFS(NCAA_Bets[Date],M388,NCAA_Bets[Result],"Push"),"")</f>
        <v>0-0</v>
      </c>
      <c r="P388" s="90">
        <f>SUMIF(NCAA_Bets[Date],M388,NCAA_Bets[Winnings])-SUMIF(NCAA_Bets[Date],M388,NCAA_Bets[Risk])</f>
        <v>0</v>
      </c>
    </row>
    <row r="389" spans="2:16" x14ac:dyDescent="0.25">
      <c r="B389" s="101">
        <f t="shared" si="14"/>
        <v>33</v>
      </c>
      <c r="L389" s="71">
        <f t="shared" si="16"/>
        <v>0</v>
      </c>
      <c r="M389" s="71">
        <f t="shared" si="15"/>
        <v>0</v>
      </c>
      <c r="N389" s="71" t="str">
        <f>IFERROR(VLOOKUP(M389,NCAA_Bets[[Date]:[Version]],2,0),"")</f>
        <v/>
      </c>
      <c r="O389" s="94" t="str">
        <f>COUNTIFS(NCAA_Bets[Date],M389,NCAA_Bets[Result],"W")&amp;"-"&amp;COUNTIFS(NCAA_Bets[Date],M389,NCAA_Bets[Result],"L")&amp;IF(COUNTIFS(NCAA_Bets[Date],M389,NCAA_Bets[Result],"Push")&gt;0,"-"&amp;COUNTIFS(NCAA_Bets[Date],M389,NCAA_Bets[Result],"Push"),"")</f>
        <v>0-0</v>
      </c>
      <c r="P389" s="90">
        <f>SUMIF(NCAA_Bets[Date],M389,NCAA_Bets[Winnings])-SUMIF(NCAA_Bets[Date],M389,NCAA_Bets[Risk])</f>
        <v>0</v>
      </c>
    </row>
    <row r="390" spans="2:16" x14ac:dyDescent="0.25">
      <c r="B390" s="101">
        <f t="shared" ref="B390:B453" si="17">IF(C390=C389,B389,B389+1)</f>
        <v>33</v>
      </c>
      <c r="L390" s="71">
        <f t="shared" si="16"/>
        <v>0</v>
      </c>
      <c r="M390" s="71">
        <f t="shared" si="15"/>
        <v>0</v>
      </c>
      <c r="N390" s="71" t="str">
        <f>IFERROR(VLOOKUP(M390,NCAA_Bets[[Date]:[Version]],2,0),"")</f>
        <v/>
      </c>
      <c r="O390" s="94" t="str">
        <f>COUNTIFS(NCAA_Bets[Date],M390,NCAA_Bets[Result],"W")&amp;"-"&amp;COUNTIFS(NCAA_Bets[Date],M390,NCAA_Bets[Result],"L")&amp;IF(COUNTIFS(NCAA_Bets[Date],M390,NCAA_Bets[Result],"Push")&gt;0,"-"&amp;COUNTIFS(NCAA_Bets[Date],M390,NCAA_Bets[Result],"Push"),"")</f>
        <v>0-0</v>
      </c>
      <c r="P390" s="90">
        <f>SUMIF(NCAA_Bets[Date],M390,NCAA_Bets[Winnings])-SUMIF(NCAA_Bets[Date],M390,NCAA_Bets[Risk])</f>
        <v>0</v>
      </c>
    </row>
    <row r="391" spans="2:16" x14ac:dyDescent="0.25">
      <c r="B391" s="101">
        <f t="shared" si="17"/>
        <v>33</v>
      </c>
      <c r="L391" s="71">
        <f t="shared" si="16"/>
        <v>0</v>
      </c>
      <c r="M391" s="71">
        <f t="shared" si="15"/>
        <v>0</v>
      </c>
      <c r="N391" s="71" t="str">
        <f>IFERROR(VLOOKUP(M391,NCAA_Bets[[Date]:[Version]],2,0),"")</f>
        <v/>
      </c>
      <c r="O391" s="94" t="str">
        <f>COUNTIFS(NCAA_Bets[Date],M391,NCAA_Bets[Result],"W")&amp;"-"&amp;COUNTIFS(NCAA_Bets[Date],M391,NCAA_Bets[Result],"L")&amp;IF(COUNTIFS(NCAA_Bets[Date],M391,NCAA_Bets[Result],"Push")&gt;0,"-"&amp;COUNTIFS(NCAA_Bets[Date],M391,NCAA_Bets[Result],"Push"),"")</f>
        <v>0-0</v>
      </c>
      <c r="P391" s="90">
        <f>SUMIF(NCAA_Bets[Date],M391,NCAA_Bets[Winnings])-SUMIF(NCAA_Bets[Date],M391,NCAA_Bets[Risk])</f>
        <v>0</v>
      </c>
    </row>
    <row r="392" spans="2:16" x14ac:dyDescent="0.25">
      <c r="B392" s="101">
        <f t="shared" si="17"/>
        <v>33</v>
      </c>
      <c r="L392" s="71">
        <f t="shared" si="16"/>
        <v>0</v>
      </c>
      <c r="M392" s="71">
        <f t="shared" si="15"/>
        <v>0</v>
      </c>
      <c r="N392" s="71" t="str">
        <f>IFERROR(VLOOKUP(M392,NCAA_Bets[[Date]:[Version]],2,0),"")</f>
        <v/>
      </c>
      <c r="O392" s="94" t="str">
        <f>COUNTIFS(NCAA_Bets[Date],M392,NCAA_Bets[Result],"W")&amp;"-"&amp;COUNTIFS(NCAA_Bets[Date],M392,NCAA_Bets[Result],"L")&amp;IF(COUNTIFS(NCAA_Bets[Date],M392,NCAA_Bets[Result],"Push")&gt;0,"-"&amp;COUNTIFS(NCAA_Bets[Date],M392,NCAA_Bets[Result],"Push"),"")</f>
        <v>0-0</v>
      </c>
      <c r="P392" s="90">
        <f>SUMIF(NCAA_Bets[Date],M392,NCAA_Bets[Winnings])-SUMIF(NCAA_Bets[Date],M392,NCAA_Bets[Risk])</f>
        <v>0</v>
      </c>
    </row>
    <row r="393" spans="2:16" x14ac:dyDescent="0.25">
      <c r="B393" s="101">
        <f t="shared" si="17"/>
        <v>33</v>
      </c>
      <c r="L393" s="71">
        <f t="shared" si="16"/>
        <v>0</v>
      </c>
      <c r="M393" s="71">
        <f t="shared" si="15"/>
        <v>0</v>
      </c>
      <c r="N393" s="71" t="str">
        <f>IFERROR(VLOOKUP(M393,NCAA_Bets[[Date]:[Version]],2,0),"")</f>
        <v/>
      </c>
      <c r="O393" s="94" t="str">
        <f>COUNTIFS(NCAA_Bets[Date],M393,NCAA_Bets[Result],"W")&amp;"-"&amp;COUNTIFS(NCAA_Bets[Date],M393,NCAA_Bets[Result],"L")&amp;IF(COUNTIFS(NCAA_Bets[Date],M393,NCAA_Bets[Result],"Push")&gt;0,"-"&amp;COUNTIFS(NCAA_Bets[Date],M393,NCAA_Bets[Result],"Push"),"")</f>
        <v>0-0</v>
      </c>
      <c r="P393" s="90">
        <f>SUMIF(NCAA_Bets[Date],M393,NCAA_Bets[Winnings])-SUMIF(NCAA_Bets[Date],M393,NCAA_Bets[Risk])</f>
        <v>0</v>
      </c>
    </row>
    <row r="394" spans="2:16" x14ac:dyDescent="0.25">
      <c r="B394" s="101">
        <f t="shared" si="17"/>
        <v>33</v>
      </c>
      <c r="L394" s="71">
        <f t="shared" si="16"/>
        <v>0</v>
      </c>
      <c r="M394" s="71">
        <f t="shared" si="15"/>
        <v>0</v>
      </c>
      <c r="N394" s="71" t="str">
        <f>IFERROR(VLOOKUP(M394,NCAA_Bets[[Date]:[Version]],2,0),"")</f>
        <v/>
      </c>
      <c r="O394" s="94" t="str">
        <f>COUNTIFS(NCAA_Bets[Date],M394,NCAA_Bets[Result],"W")&amp;"-"&amp;COUNTIFS(NCAA_Bets[Date],M394,NCAA_Bets[Result],"L")&amp;IF(COUNTIFS(NCAA_Bets[Date],M394,NCAA_Bets[Result],"Push")&gt;0,"-"&amp;COUNTIFS(NCAA_Bets[Date],M394,NCAA_Bets[Result],"Push"),"")</f>
        <v>0-0</v>
      </c>
      <c r="P394" s="90">
        <f>SUMIF(NCAA_Bets[Date],M394,NCAA_Bets[Winnings])-SUMIF(NCAA_Bets[Date],M394,NCAA_Bets[Risk])</f>
        <v>0</v>
      </c>
    </row>
    <row r="395" spans="2:16" x14ac:dyDescent="0.25">
      <c r="B395" s="101">
        <f t="shared" si="17"/>
        <v>33</v>
      </c>
      <c r="L395" s="71">
        <f t="shared" si="16"/>
        <v>0</v>
      </c>
      <c r="M395" s="71">
        <f t="shared" si="15"/>
        <v>0</v>
      </c>
      <c r="N395" s="71" t="str">
        <f>IFERROR(VLOOKUP(M395,NCAA_Bets[[Date]:[Version]],2,0),"")</f>
        <v/>
      </c>
      <c r="O395" s="94" t="str">
        <f>COUNTIFS(NCAA_Bets[Date],M395,NCAA_Bets[Result],"W")&amp;"-"&amp;COUNTIFS(NCAA_Bets[Date],M395,NCAA_Bets[Result],"L")&amp;IF(COUNTIFS(NCAA_Bets[Date],M395,NCAA_Bets[Result],"Push")&gt;0,"-"&amp;COUNTIFS(NCAA_Bets[Date],M395,NCAA_Bets[Result],"Push"),"")</f>
        <v>0-0</v>
      </c>
      <c r="P395" s="90">
        <f>SUMIF(NCAA_Bets[Date],M395,NCAA_Bets[Winnings])-SUMIF(NCAA_Bets[Date],M395,NCAA_Bets[Risk])</f>
        <v>0</v>
      </c>
    </row>
    <row r="396" spans="2:16" x14ac:dyDescent="0.25">
      <c r="B396" s="101">
        <f t="shared" si="17"/>
        <v>33</v>
      </c>
      <c r="L396" s="71">
        <f t="shared" si="16"/>
        <v>0</v>
      </c>
      <c r="M396" s="71">
        <f t="shared" si="15"/>
        <v>0</v>
      </c>
      <c r="N396" s="71" t="str">
        <f>IFERROR(VLOOKUP(M396,NCAA_Bets[[Date]:[Version]],2,0),"")</f>
        <v/>
      </c>
      <c r="O396" s="94" t="str">
        <f>COUNTIFS(NCAA_Bets[Date],M396,NCAA_Bets[Result],"W")&amp;"-"&amp;COUNTIFS(NCAA_Bets[Date],M396,NCAA_Bets[Result],"L")&amp;IF(COUNTIFS(NCAA_Bets[Date],M396,NCAA_Bets[Result],"Push")&gt;0,"-"&amp;COUNTIFS(NCAA_Bets[Date],M396,NCAA_Bets[Result],"Push"),"")</f>
        <v>0-0</v>
      </c>
      <c r="P396" s="90">
        <f>SUMIF(NCAA_Bets[Date],M396,NCAA_Bets[Winnings])-SUMIF(NCAA_Bets[Date],M396,NCAA_Bets[Risk])</f>
        <v>0</v>
      </c>
    </row>
    <row r="397" spans="2:16" x14ac:dyDescent="0.25">
      <c r="B397" s="101">
        <f t="shared" si="17"/>
        <v>33</v>
      </c>
      <c r="L397" s="71">
        <f t="shared" si="16"/>
        <v>0</v>
      </c>
      <c r="M397" s="71">
        <f t="shared" si="15"/>
        <v>0</v>
      </c>
      <c r="N397" s="71" t="str">
        <f>IFERROR(VLOOKUP(M397,NCAA_Bets[[Date]:[Version]],2,0),"")</f>
        <v/>
      </c>
      <c r="O397" s="94" t="str">
        <f>COUNTIFS(NCAA_Bets[Date],M397,NCAA_Bets[Result],"W")&amp;"-"&amp;COUNTIFS(NCAA_Bets[Date],M397,NCAA_Bets[Result],"L")&amp;IF(COUNTIFS(NCAA_Bets[Date],M397,NCAA_Bets[Result],"Push")&gt;0,"-"&amp;COUNTIFS(NCAA_Bets[Date],M397,NCAA_Bets[Result],"Push"),"")</f>
        <v>0-0</v>
      </c>
      <c r="P397" s="90">
        <f>SUMIF(NCAA_Bets[Date],M397,NCAA_Bets[Winnings])-SUMIF(NCAA_Bets[Date],M397,NCAA_Bets[Risk])</f>
        <v>0</v>
      </c>
    </row>
    <row r="398" spans="2:16" x14ac:dyDescent="0.25">
      <c r="B398" s="101">
        <f t="shared" si="17"/>
        <v>33</v>
      </c>
      <c r="L398" s="71">
        <f t="shared" si="16"/>
        <v>0</v>
      </c>
      <c r="M398" s="71">
        <f t="shared" si="15"/>
        <v>0</v>
      </c>
      <c r="N398" s="71" t="str">
        <f>IFERROR(VLOOKUP(M398,NCAA_Bets[[Date]:[Version]],2,0),"")</f>
        <v/>
      </c>
      <c r="O398" s="94" t="str">
        <f>COUNTIFS(NCAA_Bets[Date],M398,NCAA_Bets[Result],"W")&amp;"-"&amp;COUNTIFS(NCAA_Bets[Date],M398,NCAA_Bets[Result],"L")&amp;IF(COUNTIFS(NCAA_Bets[Date],M398,NCAA_Bets[Result],"Push")&gt;0,"-"&amp;COUNTIFS(NCAA_Bets[Date],M398,NCAA_Bets[Result],"Push"),"")</f>
        <v>0-0</v>
      </c>
      <c r="P398" s="90">
        <f>SUMIF(NCAA_Bets[Date],M398,NCAA_Bets[Winnings])-SUMIF(NCAA_Bets[Date],M398,NCAA_Bets[Risk])</f>
        <v>0</v>
      </c>
    </row>
    <row r="399" spans="2:16" x14ac:dyDescent="0.25">
      <c r="B399" s="101">
        <f t="shared" si="17"/>
        <v>33</v>
      </c>
      <c r="L399" s="71">
        <f t="shared" si="16"/>
        <v>0</v>
      </c>
      <c r="M399" s="71">
        <f t="shared" si="15"/>
        <v>0</v>
      </c>
      <c r="N399" s="71" t="str">
        <f>IFERROR(VLOOKUP(M399,NCAA_Bets[[Date]:[Version]],2,0),"")</f>
        <v/>
      </c>
      <c r="O399" s="94" t="str">
        <f>COUNTIFS(NCAA_Bets[Date],M399,NCAA_Bets[Result],"W")&amp;"-"&amp;COUNTIFS(NCAA_Bets[Date],M399,NCAA_Bets[Result],"L")&amp;IF(COUNTIFS(NCAA_Bets[Date],M399,NCAA_Bets[Result],"Push")&gt;0,"-"&amp;COUNTIFS(NCAA_Bets[Date],M399,NCAA_Bets[Result],"Push"),"")</f>
        <v>0-0</v>
      </c>
      <c r="P399" s="90">
        <f>SUMIF(NCAA_Bets[Date],M399,NCAA_Bets[Winnings])-SUMIF(NCAA_Bets[Date],M399,NCAA_Bets[Risk])</f>
        <v>0</v>
      </c>
    </row>
    <row r="400" spans="2:16" x14ac:dyDescent="0.25">
      <c r="B400" s="101">
        <f t="shared" si="17"/>
        <v>33</v>
      </c>
      <c r="L400" s="71">
        <f t="shared" si="16"/>
        <v>0</v>
      </c>
      <c r="M400" s="71">
        <f t="shared" si="15"/>
        <v>0</v>
      </c>
      <c r="N400" s="71" t="str">
        <f>IFERROR(VLOOKUP(M400,NCAA_Bets[[Date]:[Version]],2,0),"")</f>
        <v/>
      </c>
      <c r="O400" s="94" t="str">
        <f>COUNTIFS(NCAA_Bets[Date],M400,NCAA_Bets[Result],"W")&amp;"-"&amp;COUNTIFS(NCAA_Bets[Date],M400,NCAA_Bets[Result],"L")&amp;IF(COUNTIFS(NCAA_Bets[Date],M400,NCAA_Bets[Result],"Push")&gt;0,"-"&amp;COUNTIFS(NCAA_Bets[Date],M400,NCAA_Bets[Result],"Push"),"")</f>
        <v>0-0</v>
      </c>
      <c r="P400" s="90">
        <f>SUMIF(NCAA_Bets[Date],M400,NCAA_Bets[Winnings])-SUMIF(NCAA_Bets[Date],M400,NCAA_Bets[Risk])</f>
        <v>0</v>
      </c>
    </row>
    <row r="401" spans="2:16" x14ac:dyDescent="0.25">
      <c r="B401" s="101">
        <f t="shared" si="17"/>
        <v>33</v>
      </c>
      <c r="L401" s="71">
        <f t="shared" si="16"/>
        <v>0</v>
      </c>
      <c r="M401" s="71">
        <f t="shared" si="15"/>
        <v>0</v>
      </c>
      <c r="N401" s="71" t="str">
        <f>IFERROR(VLOOKUP(M401,NCAA_Bets[[Date]:[Version]],2,0),"")</f>
        <v/>
      </c>
      <c r="O401" s="94" t="str">
        <f>COUNTIFS(NCAA_Bets[Date],M401,NCAA_Bets[Result],"W")&amp;"-"&amp;COUNTIFS(NCAA_Bets[Date],M401,NCAA_Bets[Result],"L")&amp;IF(COUNTIFS(NCAA_Bets[Date],M401,NCAA_Bets[Result],"Push")&gt;0,"-"&amp;COUNTIFS(NCAA_Bets[Date],M401,NCAA_Bets[Result],"Push"),"")</f>
        <v>0-0</v>
      </c>
      <c r="P401" s="90">
        <f>SUMIF(NCAA_Bets[Date],M401,NCAA_Bets[Winnings])-SUMIF(NCAA_Bets[Date],M401,NCAA_Bets[Risk])</f>
        <v>0</v>
      </c>
    </row>
    <row r="402" spans="2:16" x14ac:dyDescent="0.25">
      <c r="B402" s="101">
        <f t="shared" si="17"/>
        <v>33</v>
      </c>
      <c r="L402" s="71">
        <f t="shared" si="16"/>
        <v>0</v>
      </c>
      <c r="M402" s="71">
        <f t="shared" si="15"/>
        <v>0</v>
      </c>
      <c r="N402" s="71" t="str">
        <f>IFERROR(VLOOKUP(M402,NCAA_Bets[[Date]:[Version]],2,0),"")</f>
        <v/>
      </c>
      <c r="O402" s="94" t="str">
        <f>COUNTIFS(NCAA_Bets[Date],M402,NCAA_Bets[Result],"W")&amp;"-"&amp;COUNTIFS(NCAA_Bets[Date],M402,NCAA_Bets[Result],"L")&amp;IF(COUNTIFS(NCAA_Bets[Date],M402,NCAA_Bets[Result],"Push")&gt;0,"-"&amp;COUNTIFS(NCAA_Bets[Date],M402,NCAA_Bets[Result],"Push"),"")</f>
        <v>0-0</v>
      </c>
      <c r="P402" s="90">
        <f>SUMIF(NCAA_Bets[Date],M402,NCAA_Bets[Winnings])-SUMIF(NCAA_Bets[Date],M402,NCAA_Bets[Risk])</f>
        <v>0</v>
      </c>
    </row>
    <row r="403" spans="2:16" x14ac:dyDescent="0.25">
      <c r="B403" s="101">
        <f t="shared" si="17"/>
        <v>33</v>
      </c>
      <c r="L403" s="71">
        <f t="shared" si="16"/>
        <v>0</v>
      </c>
      <c r="M403" s="71">
        <f t="shared" si="15"/>
        <v>0</v>
      </c>
      <c r="N403" s="71" t="str">
        <f>IFERROR(VLOOKUP(M403,NCAA_Bets[[Date]:[Version]],2,0),"")</f>
        <v/>
      </c>
      <c r="O403" s="94" t="str">
        <f>COUNTIFS(NCAA_Bets[Date],M403,NCAA_Bets[Result],"W")&amp;"-"&amp;COUNTIFS(NCAA_Bets[Date],M403,NCAA_Bets[Result],"L")&amp;IF(COUNTIFS(NCAA_Bets[Date],M403,NCAA_Bets[Result],"Push")&gt;0,"-"&amp;COUNTIFS(NCAA_Bets[Date],M403,NCAA_Bets[Result],"Push"),"")</f>
        <v>0-0</v>
      </c>
      <c r="P403" s="90">
        <f>SUMIF(NCAA_Bets[Date],M403,NCAA_Bets[Winnings])-SUMIF(NCAA_Bets[Date],M403,NCAA_Bets[Risk])</f>
        <v>0</v>
      </c>
    </row>
    <row r="404" spans="2:16" x14ac:dyDescent="0.25">
      <c r="B404" s="101">
        <f t="shared" si="17"/>
        <v>33</v>
      </c>
      <c r="L404" s="71">
        <f t="shared" si="16"/>
        <v>0</v>
      </c>
      <c r="M404" s="71">
        <f t="shared" si="15"/>
        <v>0</v>
      </c>
      <c r="N404" s="71" t="str">
        <f>IFERROR(VLOOKUP(M404,NCAA_Bets[[Date]:[Version]],2,0),"")</f>
        <v/>
      </c>
      <c r="O404" s="94" t="str">
        <f>COUNTIFS(NCAA_Bets[Date],M404,NCAA_Bets[Result],"W")&amp;"-"&amp;COUNTIFS(NCAA_Bets[Date],M404,NCAA_Bets[Result],"L")&amp;IF(COUNTIFS(NCAA_Bets[Date],M404,NCAA_Bets[Result],"Push")&gt;0,"-"&amp;COUNTIFS(NCAA_Bets[Date],M404,NCAA_Bets[Result],"Push"),"")</f>
        <v>0-0</v>
      </c>
      <c r="P404" s="90">
        <f>SUMIF(NCAA_Bets[Date],M404,NCAA_Bets[Winnings])-SUMIF(NCAA_Bets[Date],M404,NCAA_Bets[Risk])</f>
        <v>0</v>
      </c>
    </row>
    <row r="405" spans="2:16" x14ac:dyDescent="0.25">
      <c r="B405" s="101">
        <f t="shared" si="17"/>
        <v>33</v>
      </c>
      <c r="L405" s="71">
        <f t="shared" si="16"/>
        <v>0</v>
      </c>
      <c r="M405" s="71">
        <f t="shared" si="15"/>
        <v>0</v>
      </c>
      <c r="N405" s="71" t="str">
        <f>IFERROR(VLOOKUP(M405,NCAA_Bets[[Date]:[Version]],2,0),"")</f>
        <v/>
      </c>
      <c r="O405" s="94" t="str">
        <f>COUNTIFS(NCAA_Bets[Date],M405,NCAA_Bets[Result],"W")&amp;"-"&amp;COUNTIFS(NCAA_Bets[Date],M405,NCAA_Bets[Result],"L")&amp;IF(COUNTIFS(NCAA_Bets[Date],M405,NCAA_Bets[Result],"Push")&gt;0,"-"&amp;COUNTIFS(NCAA_Bets[Date],M405,NCAA_Bets[Result],"Push"),"")</f>
        <v>0-0</v>
      </c>
      <c r="P405" s="90">
        <f>SUMIF(NCAA_Bets[Date],M405,NCAA_Bets[Winnings])-SUMIF(NCAA_Bets[Date],M405,NCAA_Bets[Risk])</f>
        <v>0</v>
      </c>
    </row>
    <row r="406" spans="2:16" x14ac:dyDescent="0.25">
      <c r="B406" s="101">
        <f t="shared" si="17"/>
        <v>33</v>
      </c>
      <c r="L406" s="71">
        <f t="shared" si="16"/>
        <v>0</v>
      </c>
      <c r="M406" s="71">
        <f t="shared" si="15"/>
        <v>0</v>
      </c>
      <c r="N406" s="71" t="str">
        <f>IFERROR(VLOOKUP(M406,NCAA_Bets[[Date]:[Version]],2,0),"")</f>
        <v/>
      </c>
      <c r="O406" s="94" t="str">
        <f>COUNTIFS(NCAA_Bets[Date],M406,NCAA_Bets[Result],"W")&amp;"-"&amp;COUNTIFS(NCAA_Bets[Date],M406,NCAA_Bets[Result],"L")&amp;IF(COUNTIFS(NCAA_Bets[Date],M406,NCAA_Bets[Result],"Push")&gt;0,"-"&amp;COUNTIFS(NCAA_Bets[Date],M406,NCAA_Bets[Result],"Push"),"")</f>
        <v>0-0</v>
      </c>
      <c r="P406" s="90">
        <f>SUMIF(NCAA_Bets[Date],M406,NCAA_Bets[Winnings])-SUMIF(NCAA_Bets[Date],M406,NCAA_Bets[Risk])</f>
        <v>0</v>
      </c>
    </row>
    <row r="407" spans="2:16" x14ac:dyDescent="0.25">
      <c r="B407" s="101">
        <f t="shared" si="17"/>
        <v>33</v>
      </c>
      <c r="L407" s="71">
        <f t="shared" si="16"/>
        <v>0</v>
      </c>
      <c r="M407" s="71">
        <f t="shared" si="15"/>
        <v>0</v>
      </c>
      <c r="N407" s="71" t="str">
        <f>IFERROR(VLOOKUP(M407,NCAA_Bets[[Date]:[Version]],2,0),"")</f>
        <v/>
      </c>
      <c r="O407" s="94" t="str">
        <f>COUNTIFS(NCAA_Bets[Date],M407,NCAA_Bets[Result],"W")&amp;"-"&amp;COUNTIFS(NCAA_Bets[Date],M407,NCAA_Bets[Result],"L")&amp;IF(COUNTIFS(NCAA_Bets[Date],M407,NCAA_Bets[Result],"Push")&gt;0,"-"&amp;COUNTIFS(NCAA_Bets[Date],M407,NCAA_Bets[Result],"Push"),"")</f>
        <v>0-0</v>
      </c>
      <c r="P407" s="90">
        <f>SUMIF(NCAA_Bets[Date],M407,NCAA_Bets[Winnings])-SUMIF(NCAA_Bets[Date],M407,NCAA_Bets[Risk])</f>
        <v>0</v>
      </c>
    </row>
    <row r="408" spans="2:16" x14ac:dyDescent="0.25">
      <c r="B408" s="101">
        <f t="shared" si="17"/>
        <v>33</v>
      </c>
      <c r="L408" s="71">
        <f t="shared" si="16"/>
        <v>0</v>
      </c>
      <c r="M408" s="71">
        <f t="shared" si="15"/>
        <v>0</v>
      </c>
      <c r="N408" s="71" t="str">
        <f>IFERROR(VLOOKUP(M408,NCAA_Bets[[Date]:[Version]],2,0),"")</f>
        <v/>
      </c>
      <c r="O408" s="94" t="str">
        <f>COUNTIFS(NCAA_Bets[Date],M408,NCAA_Bets[Result],"W")&amp;"-"&amp;COUNTIFS(NCAA_Bets[Date],M408,NCAA_Bets[Result],"L")&amp;IF(COUNTIFS(NCAA_Bets[Date],M408,NCAA_Bets[Result],"Push")&gt;0,"-"&amp;COUNTIFS(NCAA_Bets[Date],M408,NCAA_Bets[Result],"Push"),"")</f>
        <v>0-0</v>
      </c>
      <c r="P408" s="90">
        <f>SUMIF(NCAA_Bets[Date],M408,NCAA_Bets[Winnings])-SUMIF(NCAA_Bets[Date],M408,NCAA_Bets[Risk])</f>
        <v>0</v>
      </c>
    </row>
    <row r="409" spans="2:16" x14ac:dyDescent="0.25">
      <c r="B409" s="101">
        <f t="shared" si="17"/>
        <v>33</v>
      </c>
      <c r="L409" s="71">
        <f t="shared" si="16"/>
        <v>0</v>
      </c>
      <c r="M409" s="71">
        <f t="shared" si="15"/>
        <v>0</v>
      </c>
      <c r="N409" s="71" t="str">
        <f>IFERROR(VLOOKUP(M409,NCAA_Bets[[Date]:[Version]],2,0),"")</f>
        <v/>
      </c>
      <c r="O409" s="94" t="str">
        <f>COUNTIFS(NCAA_Bets[Date],M409,NCAA_Bets[Result],"W")&amp;"-"&amp;COUNTIFS(NCAA_Bets[Date],M409,NCAA_Bets[Result],"L")&amp;IF(COUNTIFS(NCAA_Bets[Date],M409,NCAA_Bets[Result],"Push")&gt;0,"-"&amp;COUNTIFS(NCAA_Bets[Date],M409,NCAA_Bets[Result],"Push"),"")</f>
        <v>0-0</v>
      </c>
      <c r="P409" s="90">
        <f>SUMIF(NCAA_Bets[Date],M409,NCAA_Bets[Winnings])-SUMIF(NCAA_Bets[Date],M409,NCAA_Bets[Risk])</f>
        <v>0</v>
      </c>
    </row>
    <row r="410" spans="2:16" x14ac:dyDescent="0.25">
      <c r="B410" s="101">
        <f t="shared" si="17"/>
        <v>33</v>
      </c>
      <c r="L410" s="71">
        <f t="shared" si="16"/>
        <v>0</v>
      </c>
      <c r="M410" s="71">
        <f t="shared" ref="M410:M473" si="18">IFERROR(VLOOKUP(ROW()-4,B:C,2,0),0)</f>
        <v>0</v>
      </c>
      <c r="N410" s="71" t="str">
        <f>IFERROR(VLOOKUP(M410,NCAA_Bets[[Date]:[Version]],2,0),"")</f>
        <v/>
      </c>
      <c r="O410" s="94" t="str">
        <f>COUNTIFS(NCAA_Bets[Date],M410,NCAA_Bets[Result],"W")&amp;"-"&amp;COUNTIFS(NCAA_Bets[Date],M410,NCAA_Bets[Result],"L")&amp;IF(COUNTIFS(NCAA_Bets[Date],M410,NCAA_Bets[Result],"Push")&gt;0,"-"&amp;COUNTIFS(NCAA_Bets[Date],M410,NCAA_Bets[Result],"Push"),"")</f>
        <v>0-0</v>
      </c>
      <c r="P410" s="90">
        <f>SUMIF(NCAA_Bets[Date],M410,NCAA_Bets[Winnings])-SUMIF(NCAA_Bets[Date],M410,NCAA_Bets[Risk])</f>
        <v>0</v>
      </c>
    </row>
    <row r="411" spans="2:16" x14ac:dyDescent="0.25">
      <c r="B411" s="101">
        <f t="shared" si="17"/>
        <v>33</v>
      </c>
      <c r="L411" s="71">
        <f t="shared" si="16"/>
        <v>0</v>
      </c>
      <c r="M411" s="71">
        <f t="shared" si="18"/>
        <v>0</v>
      </c>
      <c r="N411" s="71" t="str">
        <f>IFERROR(VLOOKUP(M411,NCAA_Bets[[Date]:[Version]],2,0),"")</f>
        <v/>
      </c>
      <c r="O411" s="94" t="str">
        <f>COUNTIFS(NCAA_Bets[Date],M411,NCAA_Bets[Result],"W")&amp;"-"&amp;COUNTIFS(NCAA_Bets[Date],M411,NCAA_Bets[Result],"L")&amp;IF(COUNTIFS(NCAA_Bets[Date],M411,NCAA_Bets[Result],"Push")&gt;0,"-"&amp;COUNTIFS(NCAA_Bets[Date],M411,NCAA_Bets[Result],"Push"),"")</f>
        <v>0-0</v>
      </c>
      <c r="P411" s="90">
        <f>SUMIF(NCAA_Bets[Date],M411,NCAA_Bets[Winnings])-SUMIF(NCAA_Bets[Date],M411,NCAA_Bets[Risk])</f>
        <v>0</v>
      </c>
    </row>
    <row r="412" spans="2:16" x14ac:dyDescent="0.25">
      <c r="B412" s="101">
        <f t="shared" si="17"/>
        <v>33</v>
      </c>
      <c r="L412" s="71">
        <f t="shared" si="16"/>
        <v>0</v>
      </c>
      <c r="M412" s="71">
        <f t="shared" si="18"/>
        <v>0</v>
      </c>
      <c r="N412" s="71" t="str">
        <f>IFERROR(VLOOKUP(M412,NCAA_Bets[[Date]:[Version]],2,0),"")</f>
        <v/>
      </c>
      <c r="O412" s="94" t="str">
        <f>COUNTIFS(NCAA_Bets[Date],M412,NCAA_Bets[Result],"W")&amp;"-"&amp;COUNTIFS(NCAA_Bets[Date],M412,NCAA_Bets[Result],"L")&amp;IF(COUNTIFS(NCAA_Bets[Date],M412,NCAA_Bets[Result],"Push")&gt;0,"-"&amp;COUNTIFS(NCAA_Bets[Date],M412,NCAA_Bets[Result],"Push"),"")</f>
        <v>0-0</v>
      </c>
      <c r="P412" s="90">
        <f>SUMIF(NCAA_Bets[Date],M412,NCAA_Bets[Winnings])-SUMIF(NCAA_Bets[Date],M412,NCAA_Bets[Risk])</f>
        <v>0</v>
      </c>
    </row>
    <row r="413" spans="2:16" x14ac:dyDescent="0.25">
      <c r="B413" s="101">
        <f t="shared" si="17"/>
        <v>33</v>
      </c>
      <c r="L413" s="71">
        <f t="shared" si="16"/>
        <v>0</v>
      </c>
      <c r="M413" s="71">
        <f t="shared" si="18"/>
        <v>0</v>
      </c>
      <c r="N413" s="71" t="str">
        <f>IFERROR(VLOOKUP(M413,NCAA_Bets[[Date]:[Version]],2,0),"")</f>
        <v/>
      </c>
      <c r="O413" s="94" t="str">
        <f>COUNTIFS(NCAA_Bets[Date],M413,NCAA_Bets[Result],"W")&amp;"-"&amp;COUNTIFS(NCAA_Bets[Date],M413,NCAA_Bets[Result],"L")&amp;IF(COUNTIFS(NCAA_Bets[Date],M413,NCAA_Bets[Result],"Push")&gt;0,"-"&amp;COUNTIFS(NCAA_Bets[Date],M413,NCAA_Bets[Result],"Push"),"")</f>
        <v>0-0</v>
      </c>
      <c r="P413" s="90">
        <f>SUMIF(NCAA_Bets[Date],M413,NCAA_Bets[Winnings])-SUMIF(NCAA_Bets[Date],M413,NCAA_Bets[Risk])</f>
        <v>0</v>
      </c>
    </row>
    <row r="414" spans="2:16" x14ac:dyDescent="0.25">
      <c r="B414" s="101">
        <f t="shared" si="17"/>
        <v>33</v>
      </c>
      <c r="L414" s="71">
        <f t="shared" si="16"/>
        <v>0</v>
      </c>
      <c r="M414" s="71">
        <f t="shared" si="18"/>
        <v>0</v>
      </c>
      <c r="N414" s="71" t="str">
        <f>IFERROR(VLOOKUP(M414,NCAA_Bets[[Date]:[Version]],2,0),"")</f>
        <v/>
      </c>
      <c r="O414" s="94" t="str">
        <f>COUNTIFS(NCAA_Bets[Date],M414,NCAA_Bets[Result],"W")&amp;"-"&amp;COUNTIFS(NCAA_Bets[Date],M414,NCAA_Bets[Result],"L")&amp;IF(COUNTIFS(NCAA_Bets[Date],M414,NCAA_Bets[Result],"Push")&gt;0,"-"&amp;COUNTIFS(NCAA_Bets[Date],M414,NCAA_Bets[Result],"Push"),"")</f>
        <v>0-0</v>
      </c>
      <c r="P414" s="90">
        <f>SUMIF(NCAA_Bets[Date],M414,NCAA_Bets[Winnings])-SUMIF(NCAA_Bets[Date],M414,NCAA_Bets[Risk])</f>
        <v>0</v>
      </c>
    </row>
    <row r="415" spans="2:16" x14ac:dyDescent="0.25">
      <c r="B415" s="101">
        <f t="shared" si="17"/>
        <v>33</v>
      </c>
      <c r="L415" s="71">
        <f t="shared" si="16"/>
        <v>0</v>
      </c>
      <c r="M415" s="71">
        <f t="shared" si="18"/>
        <v>0</v>
      </c>
      <c r="N415" s="71" t="str">
        <f>IFERROR(VLOOKUP(M415,NCAA_Bets[[Date]:[Version]],2,0),"")</f>
        <v/>
      </c>
      <c r="O415" s="94" t="str">
        <f>COUNTIFS(NCAA_Bets[Date],M415,NCAA_Bets[Result],"W")&amp;"-"&amp;COUNTIFS(NCAA_Bets[Date],M415,NCAA_Bets[Result],"L")&amp;IF(COUNTIFS(NCAA_Bets[Date],M415,NCAA_Bets[Result],"Push")&gt;0,"-"&amp;COUNTIFS(NCAA_Bets[Date],M415,NCAA_Bets[Result],"Push"),"")</f>
        <v>0-0</v>
      </c>
      <c r="P415" s="90">
        <f>SUMIF(NCAA_Bets[Date],M415,NCAA_Bets[Winnings])-SUMIF(NCAA_Bets[Date],M415,NCAA_Bets[Risk])</f>
        <v>0</v>
      </c>
    </row>
    <row r="416" spans="2:16" x14ac:dyDescent="0.25">
      <c r="B416" s="101">
        <f t="shared" si="17"/>
        <v>33</v>
      </c>
      <c r="L416" s="71">
        <f t="shared" si="16"/>
        <v>0</v>
      </c>
      <c r="M416" s="71">
        <f t="shared" si="18"/>
        <v>0</v>
      </c>
      <c r="N416" s="71" t="str">
        <f>IFERROR(VLOOKUP(M416,NCAA_Bets[[Date]:[Version]],2,0),"")</f>
        <v/>
      </c>
      <c r="O416" s="94" t="str">
        <f>COUNTIFS(NCAA_Bets[Date],M416,NCAA_Bets[Result],"W")&amp;"-"&amp;COUNTIFS(NCAA_Bets[Date],M416,NCAA_Bets[Result],"L")&amp;IF(COUNTIFS(NCAA_Bets[Date],M416,NCAA_Bets[Result],"Push")&gt;0,"-"&amp;COUNTIFS(NCAA_Bets[Date],M416,NCAA_Bets[Result],"Push"),"")</f>
        <v>0-0</v>
      </c>
      <c r="P416" s="90">
        <f>SUMIF(NCAA_Bets[Date],M416,NCAA_Bets[Winnings])-SUMIF(NCAA_Bets[Date],M416,NCAA_Bets[Risk])</f>
        <v>0</v>
      </c>
    </row>
    <row r="417" spans="2:16" x14ac:dyDescent="0.25">
      <c r="B417" s="101">
        <f t="shared" si="17"/>
        <v>33</v>
      </c>
      <c r="L417" s="71">
        <f t="shared" si="16"/>
        <v>0</v>
      </c>
      <c r="M417" s="71">
        <f t="shared" si="18"/>
        <v>0</v>
      </c>
      <c r="N417" s="71" t="str">
        <f>IFERROR(VLOOKUP(M417,NCAA_Bets[[Date]:[Version]],2,0),"")</f>
        <v/>
      </c>
      <c r="O417" s="94" t="str">
        <f>COUNTIFS(NCAA_Bets[Date],M417,NCAA_Bets[Result],"W")&amp;"-"&amp;COUNTIFS(NCAA_Bets[Date],M417,NCAA_Bets[Result],"L")&amp;IF(COUNTIFS(NCAA_Bets[Date],M417,NCAA_Bets[Result],"Push")&gt;0,"-"&amp;COUNTIFS(NCAA_Bets[Date],M417,NCAA_Bets[Result],"Push"),"")</f>
        <v>0-0</v>
      </c>
      <c r="P417" s="90">
        <f>SUMIF(NCAA_Bets[Date],M417,NCAA_Bets[Winnings])-SUMIF(NCAA_Bets[Date],M417,NCAA_Bets[Risk])</f>
        <v>0</v>
      </c>
    </row>
    <row r="418" spans="2:16" x14ac:dyDescent="0.25">
      <c r="B418" s="101">
        <f t="shared" si="17"/>
        <v>33</v>
      </c>
      <c r="L418" s="71">
        <f t="shared" si="16"/>
        <v>0</v>
      </c>
      <c r="M418" s="71">
        <f t="shared" si="18"/>
        <v>0</v>
      </c>
      <c r="N418" s="71" t="str">
        <f>IFERROR(VLOOKUP(M418,NCAA_Bets[[Date]:[Version]],2,0),"")</f>
        <v/>
      </c>
      <c r="O418" s="94" t="str">
        <f>COUNTIFS(NCAA_Bets[Date],M418,NCAA_Bets[Result],"W")&amp;"-"&amp;COUNTIFS(NCAA_Bets[Date],M418,NCAA_Bets[Result],"L")&amp;IF(COUNTIFS(NCAA_Bets[Date],M418,NCAA_Bets[Result],"Push")&gt;0,"-"&amp;COUNTIFS(NCAA_Bets[Date],M418,NCAA_Bets[Result],"Push"),"")</f>
        <v>0-0</v>
      </c>
      <c r="P418" s="90">
        <f>SUMIF(NCAA_Bets[Date],M418,NCAA_Bets[Winnings])-SUMIF(NCAA_Bets[Date],M418,NCAA_Bets[Risk])</f>
        <v>0</v>
      </c>
    </row>
    <row r="419" spans="2:16" x14ac:dyDescent="0.25">
      <c r="B419" s="101">
        <f t="shared" si="17"/>
        <v>33</v>
      </c>
      <c r="L419" s="71">
        <f t="shared" si="16"/>
        <v>0</v>
      </c>
      <c r="M419" s="71">
        <f t="shared" si="18"/>
        <v>0</v>
      </c>
      <c r="N419" s="71" t="str">
        <f>IFERROR(VLOOKUP(M419,NCAA_Bets[[Date]:[Version]],2,0),"")</f>
        <v/>
      </c>
      <c r="O419" s="94" t="str">
        <f>COUNTIFS(NCAA_Bets[Date],M419,NCAA_Bets[Result],"W")&amp;"-"&amp;COUNTIFS(NCAA_Bets[Date],M419,NCAA_Bets[Result],"L")&amp;IF(COUNTIFS(NCAA_Bets[Date],M419,NCAA_Bets[Result],"Push")&gt;0,"-"&amp;COUNTIFS(NCAA_Bets[Date],M419,NCAA_Bets[Result],"Push"),"")</f>
        <v>0-0</v>
      </c>
      <c r="P419" s="90">
        <f>SUMIF(NCAA_Bets[Date],M419,NCAA_Bets[Winnings])-SUMIF(NCAA_Bets[Date],M419,NCAA_Bets[Risk])</f>
        <v>0</v>
      </c>
    </row>
    <row r="420" spans="2:16" x14ac:dyDescent="0.25">
      <c r="B420" s="101">
        <f t="shared" si="17"/>
        <v>33</v>
      </c>
      <c r="L420" s="71">
        <f t="shared" ref="L420:L483" si="19">IFERROR(VLOOKUP(ROW()-4,B:C,2,0),0)</f>
        <v>0</v>
      </c>
      <c r="M420" s="71">
        <f t="shared" si="18"/>
        <v>0</v>
      </c>
      <c r="N420" s="71" t="str">
        <f>IFERROR(VLOOKUP(M420,NCAA_Bets[[Date]:[Version]],2,0),"")</f>
        <v/>
      </c>
      <c r="O420" s="94" t="str">
        <f>COUNTIFS(NCAA_Bets[Date],M420,NCAA_Bets[Result],"W")&amp;"-"&amp;COUNTIFS(NCAA_Bets[Date],M420,NCAA_Bets[Result],"L")&amp;IF(COUNTIFS(NCAA_Bets[Date],M420,NCAA_Bets[Result],"Push")&gt;0,"-"&amp;COUNTIFS(NCAA_Bets[Date],M420,NCAA_Bets[Result],"Push"),"")</f>
        <v>0-0</v>
      </c>
      <c r="P420" s="90">
        <f>SUMIF(NCAA_Bets[Date],M420,NCAA_Bets[Winnings])-SUMIF(NCAA_Bets[Date],M420,NCAA_Bets[Risk])</f>
        <v>0</v>
      </c>
    </row>
    <row r="421" spans="2:16" x14ac:dyDescent="0.25">
      <c r="B421" s="101">
        <f t="shared" si="17"/>
        <v>33</v>
      </c>
      <c r="L421" s="71">
        <f t="shared" si="19"/>
        <v>0</v>
      </c>
      <c r="M421" s="71">
        <f t="shared" si="18"/>
        <v>0</v>
      </c>
      <c r="N421" s="71" t="str">
        <f>IFERROR(VLOOKUP(M421,NCAA_Bets[[Date]:[Version]],2,0),"")</f>
        <v/>
      </c>
      <c r="O421" s="94" t="str">
        <f>COUNTIFS(NCAA_Bets[Date],M421,NCAA_Bets[Result],"W")&amp;"-"&amp;COUNTIFS(NCAA_Bets[Date],M421,NCAA_Bets[Result],"L")&amp;IF(COUNTIFS(NCAA_Bets[Date],M421,NCAA_Bets[Result],"Push")&gt;0,"-"&amp;COUNTIFS(NCAA_Bets[Date],M421,NCAA_Bets[Result],"Push"),"")</f>
        <v>0-0</v>
      </c>
      <c r="P421" s="90">
        <f>SUMIF(NCAA_Bets[Date],M421,NCAA_Bets[Winnings])-SUMIF(NCAA_Bets[Date],M421,NCAA_Bets[Risk])</f>
        <v>0</v>
      </c>
    </row>
    <row r="422" spans="2:16" x14ac:dyDescent="0.25">
      <c r="B422" s="101">
        <f t="shared" si="17"/>
        <v>33</v>
      </c>
      <c r="L422" s="71">
        <f t="shared" si="19"/>
        <v>0</v>
      </c>
      <c r="M422" s="71">
        <f t="shared" si="18"/>
        <v>0</v>
      </c>
      <c r="N422" s="71" t="str">
        <f>IFERROR(VLOOKUP(M422,NCAA_Bets[[Date]:[Version]],2,0),"")</f>
        <v/>
      </c>
      <c r="O422" s="94" t="str">
        <f>COUNTIFS(NCAA_Bets[Date],M422,NCAA_Bets[Result],"W")&amp;"-"&amp;COUNTIFS(NCAA_Bets[Date],M422,NCAA_Bets[Result],"L")&amp;IF(COUNTIFS(NCAA_Bets[Date],M422,NCAA_Bets[Result],"Push")&gt;0,"-"&amp;COUNTIFS(NCAA_Bets[Date],M422,NCAA_Bets[Result],"Push"),"")</f>
        <v>0-0</v>
      </c>
      <c r="P422" s="90">
        <f>SUMIF(NCAA_Bets[Date],M422,NCAA_Bets[Winnings])-SUMIF(NCAA_Bets[Date],M422,NCAA_Bets[Risk])</f>
        <v>0</v>
      </c>
    </row>
    <row r="423" spans="2:16" x14ac:dyDescent="0.25">
      <c r="B423" s="101">
        <f t="shared" si="17"/>
        <v>33</v>
      </c>
      <c r="L423" s="71">
        <f t="shared" si="19"/>
        <v>0</v>
      </c>
      <c r="M423" s="71">
        <f t="shared" si="18"/>
        <v>0</v>
      </c>
      <c r="N423" s="71" t="str">
        <f>IFERROR(VLOOKUP(M423,NCAA_Bets[[Date]:[Version]],2,0),"")</f>
        <v/>
      </c>
      <c r="O423" s="94" t="str">
        <f>COUNTIFS(NCAA_Bets[Date],M423,NCAA_Bets[Result],"W")&amp;"-"&amp;COUNTIFS(NCAA_Bets[Date],M423,NCAA_Bets[Result],"L")&amp;IF(COUNTIFS(NCAA_Bets[Date],M423,NCAA_Bets[Result],"Push")&gt;0,"-"&amp;COUNTIFS(NCAA_Bets[Date],M423,NCAA_Bets[Result],"Push"),"")</f>
        <v>0-0</v>
      </c>
      <c r="P423" s="90">
        <f>SUMIF(NCAA_Bets[Date],M423,NCAA_Bets[Winnings])-SUMIF(NCAA_Bets[Date],M423,NCAA_Bets[Risk])</f>
        <v>0</v>
      </c>
    </row>
    <row r="424" spans="2:16" x14ac:dyDescent="0.25">
      <c r="B424" s="101">
        <f t="shared" si="17"/>
        <v>33</v>
      </c>
      <c r="L424" s="71">
        <f t="shared" si="19"/>
        <v>0</v>
      </c>
      <c r="M424" s="71">
        <f t="shared" si="18"/>
        <v>0</v>
      </c>
      <c r="N424" s="71" t="str">
        <f>IFERROR(VLOOKUP(M424,NCAA_Bets[[Date]:[Version]],2,0),"")</f>
        <v/>
      </c>
      <c r="O424" s="94" t="str">
        <f>COUNTIFS(NCAA_Bets[Date],M424,NCAA_Bets[Result],"W")&amp;"-"&amp;COUNTIFS(NCAA_Bets[Date],M424,NCAA_Bets[Result],"L")&amp;IF(COUNTIFS(NCAA_Bets[Date],M424,NCAA_Bets[Result],"Push")&gt;0,"-"&amp;COUNTIFS(NCAA_Bets[Date],M424,NCAA_Bets[Result],"Push"),"")</f>
        <v>0-0</v>
      </c>
      <c r="P424" s="90">
        <f>SUMIF(NCAA_Bets[Date],M424,NCAA_Bets[Winnings])-SUMIF(NCAA_Bets[Date],M424,NCAA_Bets[Risk])</f>
        <v>0</v>
      </c>
    </row>
    <row r="425" spans="2:16" x14ac:dyDescent="0.25">
      <c r="B425" s="101">
        <f t="shared" si="17"/>
        <v>33</v>
      </c>
      <c r="L425" s="71">
        <f t="shared" si="19"/>
        <v>0</v>
      </c>
      <c r="M425" s="71">
        <f t="shared" si="18"/>
        <v>0</v>
      </c>
      <c r="N425" s="71" t="str">
        <f>IFERROR(VLOOKUP(M425,NCAA_Bets[[Date]:[Version]],2,0),"")</f>
        <v/>
      </c>
      <c r="O425" s="94" t="str">
        <f>COUNTIFS(NCAA_Bets[Date],M425,NCAA_Bets[Result],"W")&amp;"-"&amp;COUNTIFS(NCAA_Bets[Date],M425,NCAA_Bets[Result],"L")&amp;IF(COUNTIFS(NCAA_Bets[Date],M425,NCAA_Bets[Result],"Push")&gt;0,"-"&amp;COUNTIFS(NCAA_Bets[Date],M425,NCAA_Bets[Result],"Push"),"")</f>
        <v>0-0</v>
      </c>
      <c r="P425" s="90">
        <f>SUMIF(NCAA_Bets[Date],M425,NCAA_Bets[Winnings])-SUMIF(NCAA_Bets[Date],M425,NCAA_Bets[Risk])</f>
        <v>0</v>
      </c>
    </row>
    <row r="426" spans="2:16" x14ac:dyDescent="0.25">
      <c r="B426" s="101">
        <f t="shared" si="17"/>
        <v>33</v>
      </c>
      <c r="L426" s="71">
        <f t="shared" si="19"/>
        <v>0</v>
      </c>
      <c r="M426" s="71">
        <f t="shared" si="18"/>
        <v>0</v>
      </c>
      <c r="N426" s="71" t="str">
        <f>IFERROR(VLOOKUP(M426,NCAA_Bets[[Date]:[Version]],2,0),"")</f>
        <v/>
      </c>
      <c r="O426" s="94" t="str">
        <f>COUNTIFS(NCAA_Bets[Date],M426,NCAA_Bets[Result],"W")&amp;"-"&amp;COUNTIFS(NCAA_Bets[Date],M426,NCAA_Bets[Result],"L")&amp;IF(COUNTIFS(NCAA_Bets[Date],M426,NCAA_Bets[Result],"Push")&gt;0,"-"&amp;COUNTIFS(NCAA_Bets[Date],M426,NCAA_Bets[Result],"Push"),"")</f>
        <v>0-0</v>
      </c>
      <c r="P426" s="90">
        <f>SUMIF(NCAA_Bets[Date],M426,NCAA_Bets[Winnings])-SUMIF(NCAA_Bets[Date],M426,NCAA_Bets[Risk])</f>
        <v>0</v>
      </c>
    </row>
    <row r="427" spans="2:16" x14ac:dyDescent="0.25">
      <c r="B427" s="101">
        <f t="shared" si="17"/>
        <v>33</v>
      </c>
      <c r="L427" s="71">
        <f t="shared" si="19"/>
        <v>0</v>
      </c>
      <c r="M427" s="71">
        <f t="shared" si="18"/>
        <v>0</v>
      </c>
      <c r="N427" s="71" t="str">
        <f>IFERROR(VLOOKUP(M427,NCAA_Bets[[Date]:[Version]],2,0),"")</f>
        <v/>
      </c>
      <c r="O427" s="94" t="str">
        <f>COUNTIFS(NCAA_Bets[Date],M427,NCAA_Bets[Result],"W")&amp;"-"&amp;COUNTIFS(NCAA_Bets[Date],M427,NCAA_Bets[Result],"L")&amp;IF(COUNTIFS(NCAA_Bets[Date],M427,NCAA_Bets[Result],"Push")&gt;0,"-"&amp;COUNTIFS(NCAA_Bets[Date],M427,NCAA_Bets[Result],"Push"),"")</f>
        <v>0-0</v>
      </c>
      <c r="P427" s="90">
        <f>SUMIF(NCAA_Bets[Date],M427,NCAA_Bets[Winnings])-SUMIF(NCAA_Bets[Date],M427,NCAA_Bets[Risk])</f>
        <v>0</v>
      </c>
    </row>
    <row r="428" spans="2:16" x14ac:dyDescent="0.25">
      <c r="B428" s="101">
        <f t="shared" si="17"/>
        <v>33</v>
      </c>
      <c r="L428" s="71">
        <f t="shared" si="19"/>
        <v>0</v>
      </c>
      <c r="M428" s="71">
        <f t="shared" si="18"/>
        <v>0</v>
      </c>
      <c r="N428" s="71" t="str">
        <f>IFERROR(VLOOKUP(M428,NCAA_Bets[[Date]:[Version]],2,0),"")</f>
        <v/>
      </c>
      <c r="O428" s="94" t="str">
        <f>COUNTIFS(NCAA_Bets[Date],M428,NCAA_Bets[Result],"W")&amp;"-"&amp;COUNTIFS(NCAA_Bets[Date],M428,NCAA_Bets[Result],"L")&amp;IF(COUNTIFS(NCAA_Bets[Date],M428,NCAA_Bets[Result],"Push")&gt;0,"-"&amp;COUNTIFS(NCAA_Bets[Date],M428,NCAA_Bets[Result],"Push"),"")</f>
        <v>0-0</v>
      </c>
      <c r="P428" s="90">
        <f>SUMIF(NCAA_Bets[Date],M428,NCAA_Bets[Winnings])-SUMIF(NCAA_Bets[Date],M428,NCAA_Bets[Risk])</f>
        <v>0</v>
      </c>
    </row>
    <row r="429" spans="2:16" x14ac:dyDescent="0.25">
      <c r="B429" s="101">
        <f t="shared" si="17"/>
        <v>33</v>
      </c>
      <c r="L429" s="71">
        <f t="shared" si="19"/>
        <v>0</v>
      </c>
      <c r="M429" s="71">
        <f t="shared" si="18"/>
        <v>0</v>
      </c>
      <c r="N429" s="71" t="str">
        <f>IFERROR(VLOOKUP(M429,NCAA_Bets[[Date]:[Version]],2,0),"")</f>
        <v/>
      </c>
      <c r="O429" s="94" t="str">
        <f>COUNTIFS(NCAA_Bets[Date],M429,NCAA_Bets[Result],"W")&amp;"-"&amp;COUNTIFS(NCAA_Bets[Date],M429,NCAA_Bets[Result],"L")&amp;IF(COUNTIFS(NCAA_Bets[Date],M429,NCAA_Bets[Result],"Push")&gt;0,"-"&amp;COUNTIFS(NCAA_Bets[Date],M429,NCAA_Bets[Result],"Push"),"")</f>
        <v>0-0</v>
      </c>
      <c r="P429" s="90">
        <f>SUMIF(NCAA_Bets[Date],M429,NCAA_Bets[Winnings])-SUMIF(NCAA_Bets[Date],M429,NCAA_Bets[Risk])</f>
        <v>0</v>
      </c>
    </row>
    <row r="430" spans="2:16" x14ac:dyDescent="0.25">
      <c r="B430" s="101">
        <f t="shared" si="17"/>
        <v>33</v>
      </c>
      <c r="L430" s="71">
        <f t="shared" si="19"/>
        <v>0</v>
      </c>
      <c r="M430" s="71">
        <f t="shared" si="18"/>
        <v>0</v>
      </c>
      <c r="N430" s="71" t="str">
        <f>IFERROR(VLOOKUP(M430,NCAA_Bets[[Date]:[Version]],2,0),"")</f>
        <v/>
      </c>
      <c r="O430" s="94" t="str">
        <f>COUNTIFS(NCAA_Bets[Date],M430,NCAA_Bets[Result],"W")&amp;"-"&amp;COUNTIFS(NCAA_Bets[Date],M430,NCAA_Bets[Result],"L")&amp;IF(COUNTIFS(NCAA_Bets[Date],M430,NCAA_Bets[Result],"Push")&gt;0,"-"&amp;COUNTIFS(NCAA_Bets[Date],M430,NCAA_Bets[Result],"Push"),"")</f>
        <v>0-0</v>
      </c>
      <c r="P430" s="90">
        <f>SUMIF(NCAA_Bets[Date],M430,NCAA_Bets[Winnings])-SUMIF(NCAA_Bets[Date],M430,NCAA_Bets[Risk])</f>
        <v>0</v>
      </c>
    </row>
    <row r="431" spans="2:16" x14ac:dyDescent="0.25">
      <c r="B431" s="101">
        <f t="shared" si="17"/>
        <v>33</v>
      </c>
      <c r="L431" s="71">
        <f t="shared" si="19"/>
        <v>0</v>
      </c>
      <c r="M431" s="71">
        <f t="shared" si="18"/>
        <v>0</v>
      </c>
      <c r="N431" s="71" t="str">
        <f>IFERROR(VLOOKUP(M431,NCAA_Bets[[Date]:[Version]],2,0),"")</f>
        <v/>
      </c>
      <c r="O431" s="94" t="str">
        <f>COUNTIFS(NCAA_Bets[Date],M431,NCAA_Bets[Result],"W")&amp;"-"&amp;COUNTIFS(NCAA_Bets[Date],M431,NCAA_Bets[Result],"L")&amp;IF(COUNTIFS(NCAA_Bets[Date],M431,NCAA_Bets[Result],"Push")&gt;0,"-"&amp;COUNTIFS(NCAA_Bets[Date],M431,NCAA_Bets[Result],"Push"),"")</f>
        <v>0-0</v>
      </c>
      <c r="P431" s="90">
        <f>SUMIF(NCAA_Bets[Date],M431,NCAA_Bets[Winnings])-SUMIF(NCAA_Bets[Date],M431,NCAA_Bets[Risk])</f>
        <v>0</v>
      </c>
    </row>
    <row r="432" spans="2:16" x14ac:dyDescent="0.25">
      <c r="B432" s="101">
        <f t="shared" si="17"/>
        <v>33</v>
      </c>
      <c r="L432" s="71">
        <f t="shared" si="19"/>
        <v>0</v>
      </c>
      <c r="M432" s="71">
        <f t="shared" si="18"/>
        <v>0</v>
      </c>
      <c r="N432" s="71" t="str">
        <f>IFERROR(VLOOKUP(M432,NCAA_Bets[[Date]:[Version]],2,0),"")</f>
        <v/>
      </c>
      <c r="O432" s="94" t="str">
        <f>COUNTIFS(NCAA_Bets[Date],M432,NCAA_Bets[Result],"W")&amp;"-"&amp;COUNTIFS(NCAA_Bets[Date],M432,NCAA_Bets[Result],"L")&amp;IF(COUNTIFS(NCAA_Bets[Date],M432,NCAA_Bets[Result],"Push")&gt;0,"-"&amp;COUNTIFS(NCAA_Bets[Date],M432,NCAA_Bets[Result],"Push"),"")</f>
        <v>0-0</v>
      </c>
      <c r="P432" s="90">
        <f>SUMIF(NCAA_Bets[Date],M432,NCAA_Bets[Winnings])-SUMIF(NCAA_Bets[Date],M432,NCAA_Bets[Risk])</f>
        <v>0</v>
      </c>
    </row>
    <row r="433" spans="2:16" x14ac:dyDescent="0.25">
      <c r="B433" s="101">
        <f t="shared" si="17"/>
        <v>33</v>
      </c>
      <c r="L433" s="71">
        <f t="shared" si="19"/>
        <v>0</v>
      </c>
      <c r="M433" s="71">
        <f t="shared" si="18"/>
        <v>0</v>
      </c>
      <c r="N433" s="71" t="str">
        <f>IFERROR(VLOOKUP(M433,NCAA_Bets[[Date]:[Version]],2,0),"")</f>
        <v/>
      </c>
      <c r="O433" s="94" t="str">
        <f>COUNTIFS(NCAA_Bets[Date],M433,NCAA_Bets[Result],"W")&amp;"-"&amp;COUNTIFS(NCAA_Bets[Date],M433,NCAA_Bets[Result],"L")&amp;IF(COUNTIFS(NCAA_Bets[Date],M433,NCAA_Bets[Result],"Push")&gt;0,"-"&amp;COUNTIFS(NCAA_Bets[Date],M433,NCAA_Bets[Result],"Push"),"")</f>
        <v>0-0</v>
      </c>
      <c r="P433" s="90">
        <f>SUMIF(NCAA_Bets[Date],M433,NCAA_Bets[Winnings])-SUMIF(NCAA_Bets[Date],M433,NCAA_Bets[Risk])</f>
        <v>0</v>
      </c>
    </row>
    <row r="434" spans="2:16" x14ac:dyDescent="0.25">
      <c r="B434" s="101">
        <f t="shared" si="17"/>
        <v>33</v>
      </c>
      <c r="L434" s="71">
        <f t="shared" si="19"/>
        <v>0</v>
      </c>
      <c r="M434" s="71">
        <f t="shared" si="18"/>
        <v>0</v>
      </c>
      <c r="N434" s="71" t="str">
        <f>IFERROR(VLOOKUP(M434,NCAA_Bets[[Date]:[Version]],2,0),"")</f>
        <v/>
      </c>
      <c r="O434" s="94" t="str">
        <f>COUNTIFS(NCAA_Bets[Date],M434,NCAA_Bets[Result],"W")&amp;"-"&amp;COUNTIFS(NCAA_Bets[Date],M434,NCAA_Bets[Result],"L")&amp;IF(COUNTIFS(NCAA_Bets[Date],M434,NCAA_Bets[Result],"Push")&gt;0,"-"&amp;COUNTIFS(NCAA_Bets[Date],M434,NCAA_Bets[Result],"Push"),"")</f>
        <v>0-0</v>
      </c>
      <c r="P434" s="90">
        <f>SUMIF(NCAA_Bets[Date],M434,NCAA_Bets[Winnings])-SUMIF(NCAA_Bets[Date],M434,NCAA_Bets[Risk])</f>
        <v>0</v>
      </c>
    </row>
    <row r="435" spans="2:16" x14ac:dyDescent="0.25">
      <c r="B435" s="101">
        <f t="shared" si="17"/>
        <v>33</v>
      </c>
      <c r="L435" s="71">
        <f t="shared" si="19"/>
        <v>0</v>
      </c>
      <c r="M435" s="71">
        <f t="shared" si="18"/>
        <v>0</v>
      </c>
      <c r="N435" s="71" t="str">
        <f>IFERROR(VLOOKUP(M435,NCAA_Bets[[Date]:[Version]],2,0),"")</f>
        <v/>
      </c>
      <c r="O435" s="94" t="str">
        <f>COUNTIFS(NCAA_Bets[Date],M435,NCAA_Bets[Result],"W")&amp;"-"&amp;COUNTIFS(NCAA_Bets[Date],M435,NCAA_Bets[Result],"L")&amp;IF(COUNTIFS(NCAA_Bets[Date],M435,NCAA_Bets[Result],"Push")&gt;0,"-"&amp;COUNTIFS(NCAA_Bets[Date],M435,NCAA_Bets[Result],"Push"),"")</f>
        <v>0-0</v>
      </c>
      <c r="P435" s="90">
        <f>SUMIF(NCAA_Bets[Date],M435,NCAA_Bets[Winnings])-SUMIF(NCAA_Bets[Date],M435,NCAA_Bets[Risk])</f>
        <v>0</v>
      </c>
    </row>
    <row r="436" spans="2:16" x14ac:dyDescent="0.25">
      <c r="B436" s="101">
        <f t="shared" si="17"/>
        <v>33</v>
      </c>
      <c r="L436" s="71">
        <f t="shared" si="19"/>
        <v>0</v>
      </c>
      <c r="M436" s="71">
        <f t="shared" si="18"/>
        <v>0</v>
      </c>
      <c r="N436" s="71" t="str">
        <f>IFERROR(VLOOKUP(M436,NCAA_Bets[[Date]:[Version]],2,0),"")</f>
        <v/>
      </c>
      <c r="O436" s="94" t="str">
        <f>COUNTIFS(NCAA_Bets[Date],M436,NCAA_Bets[Result],"W")&amp;"-"&amp;COUNTIFS(NCAA_Bets[Date],M436,NCAA_Bets[Result],"L")&amp;IF(COUNTIFS(NCAA_Bets[Date],M436,NCAA_Bets[Result],"Push")&gt;0,"-"&amp;COUNTIFS(NCAA_Bets[Date],M436,NCAA_Bets[Result],"Push"),"")</f>
        <v>0-0</v>
      </c>
      <c r="P436" s="90">
        <f>SUMIF(NCAA_Bets[Date],M436,NCAA_Bets[Winnings])-SUMIF(NCAA_Bets[Date],M436,NCAA_Bets[Risk])</f>
        <v>0</v>
      </c>
    </row>
    <row r="437" spans="2:16" x14ac:dyDescent="0.25">
      <c r="B437" s="101">
        <f t="shared" si="17"/>
        <v>33</v>
      </c>
      <c r="L437" s="71">
        <f t="shared" si="19"/>
        <v>0</v>
      </c>
      <c r="M437" s="71">
        <f t="shared" si="18"/>
        <v>0</v>
      </c>
      <c r="N437" s="71" t="str">
        <f>IFERROR(VLOOKUP(M437,NCAA_Bets[[Date]:[Version]],2,0),"")</f>
        <v/>
      </c>
      <c r="O437" s="94" t="str">
        <f>COUNTIFS(NCAA_Bets[Date],M437,NCAA_Bets[Result],"W")&amp;"-"&amp;COUNTIFS(NCAA_Bets[Date],M437,NCAA_Bets[Result],"L")&amp;IF(COUNTIFS(NCAA_Bets[Date],M437,NCAA_Bets[Result],"Push")&gt;0,"-"&amp;COUNTIFS(NCAA_Bets[Date],M437,NCAA_Bets[Result],"Push"),"")</f>
        <v>0-0</v>
      </c>
      <c r="P437" s="90">
        <f>SUMIF(NCAA_Bets[Date],M437,NCAA_Bets[Winnings])-SUMIF(NCAA_Bets[Date],M437,NCAA_Bets[Risk])</f>
        <v>0</v>
      </c>
    </row>
    <row r="438" spans="2:16" x14ac:dyDescent="0.25">
      <c r="B438" s="101">
        <f t="shared" si="17"/>
        <v>33</v>
      </c>
      <c r="L438" s="71">
        <f t="shared" si="19"/>
        <v>0</v>
      </c>
      <c r="M438" s="71">
        <f t="shared" si="18"/>
        <v>0</v>
      </c>
      <c r="N438" s="71" t="str">
        <f>IFERROR(VLOOKUP(M438,NCAA_Bets[[Date]:[Version]],2,0),"")</f>
        <v/>
      </c>
      <c r="O438" s="94" t="str">
        <f>COUNTIFS(NCAA_Bets[Date],M438,NCAA_Bets[Result],"W")&amp;"-"&amp;COUNTIFS(NCAA_Bets[Date],M438,NCAA_Bets[Result],"L")&amp;IF(COUNTIFS(NCAA_Bets[Date],M438,NCAA_Bets[Result],"Push")&gt;0,"-"&amp;COUNTIFS(NCAA_Bets[Date],M438,NCAA_Bets[Result],"Push"),"")</f>
        <v>0-0</v>
      </c>
      <c r="P438" s="90">
        <f>SUMIF(NCAA_Bets[Date],M438,NCAA_Bets[Winnings])-SUMIF(NCAA_Bets[Date],M438,NCAA_Bets[Risk])</f>
        <v>0</v>
      </c>
    </row>
    <row r="439" spans="2:16" x14ac:dyDescent="0.25">
      <c r="B439" s="101">
        <f t="shared" si="17"/>
        <v>33</v>
      </c>
      <c r="L439" s="71">
        <f t="shared" si="19"/>
        <v>0</v>
      </c>
      <c r="M439" s="71">
        <f t="shared" si="18"/>
        <v>0</v>
      </c>
      <c r="N439" s="71" t="str">
        <f>IFERROR(VLOOKUP(M439,NCAA_Bets[[Date]:[Version]],2,0),"")</f>
        <v/>
      </c>
      <c r="O439" s="94" t="str">
        <f>COUNTIFS(NCAA_Bets[Date],M439,NCAA_Bets[Result],"W")&amp;"-"&amp;COUNTIFS(NCAA_Bets[Date],M439,NCAA_Bets[Result],"L")&amp;IF(COUNTIFS(NCAA_Bets[Date],M439,NCAA_Bets[Result],"Push")&gt;0,"-"&amp;COUNTIFS(NCAA_Bets[Date],M439,NCAA_Bets[Result],"Push"),"")</f>
        <v>0-0</v>
      </c>
      <c r="P439" s="90">
        <f>SUMIF(NCAA_Bets[Date],M439,NCAA_Bets[Winnings])-SUMIF(NCAA_Bets[Date],M439,NCAA_Bets[Risk])</f>
        <v>0</v>
      </c>
    </row>
    <row r="440" spans="2:16" x14ac:dyDescent="0.25">
      <c r="B440" s="101">
        <f t="shared" si="17"/>
        <v>33</v>
      </c>
      <c r="L440" s="71">
        <f t="shared" si="19"/>
        <v>0</v>
      </c>
      <c r="M440" s="71">
        <f t="shared" si="18"/>
        <v>0</v>
      </c>
      <c r="N440" s="71" t="str">
        <f>IFERROR(VLOOKUP(M440,NCAA_Bets[[Date]:[Version]],2,0),"")</f>
        <v/>
      </c>
      <c r="O440" s="94" t="str">
        <f>COUNTIFS(NCAA_Bets[Date],M440,NCAA_Bets[Result],"W")&amp;"-"&amp;COUNTIFS(NCAA_Bets[Date],M440,NCAA_Bets[Result],"L")&amp;IF(COUNTIFS(NCAA_Bets[Date],M440,NCAA_Bets[Result],"Push")&gt;0,"-"&amp;COUNTIFS(NCAA_Bets[Date],M440,NCAA_Bets[Result],"Push"),"")</f>
        <v>0-0</v>
      </c>
      <c r="P440" s="90">
        <f>SUMIF(NCAA_Bets[Date],M440,NCAA_Bets[Winnings])-SUMIF(NCAA_Bets[Date],M440,NCAA_Bets[Risk])</f>
        <v>0</v>
      </c>
    </row>
    <row r="441" spans="2:16" x14ac:dyDescent="0.25">
      <c r="B441" s="101">
        <f t="shared" si="17"/>
        <v>33</v>
      </c>
      <c r="L441" s="71">
        <f t="shared" si="19"/>
        <v>0</v>
      </c>
      <c r="M441" s="71">
        <f t="shared" si="18"/>
        <v>0</v>
      </c>
      <c r="N441" s="71" t="str">
        <f>IFERROR(VLOOKUP(M441,NCAA_Bets[[Date]:[Version]],2,0),"")</f>
        <v/>
      </c>
      <c r="O441" s="94" t="str">
        <f>COUNTIFS(NCAA_Bets[Date],M441,NCAA_Bets[Result],"W")&amp;"-"&amp;COUNTIFS(NCAA_Bets[Date],M441,NCAA_Bets[Result],"L")&amp;IF(COUNTIFS(NCAA_Bets[Date],M441,NCAA_Bets[Result],"Push")&gt;0,"-"&amp;COUNTIFS(NCAA_Bets[Date],M441,NCAA_Bets[Result],"Push"),"")</f>
        <v>0-0</v>
      </c>
      <c r="P441" s="90">
        <f>SUMIF(NCAA_Bets[Date],M441,NCAA_Bets[Winnings])-SUMIF(NCAA_Bets[Date],M441,NCAA_Bets[Risk])</f>
        <v>0</v>
      </c>
    </row>
    <row r="442" spans="2:16" x14ac:dyDescent="0.25">
      <c r="B442" s="101">
        <f t="shared" si="17"/>
        <v>33</v>
      </c>
      <c r="L442" s="71">
        <f t="shared" si="19"/>
        <v>0</v>
      </c>
      <c r="M442" s="71">
        <f t="shared" si="18"/>
        <v>0</v>
      </c>
      <c r="N442" s="71" t="str">
        <f>IFERROR(VLOOKUP(M442,NCAA_Bets[[Date]:[Version]],2,0),"")</f>
        <v/>
      </c>
      <c r="O442" s="94" t="str">
        <f>COUNTIFS(NCAA_Bets[Date],M442,NCAA_Bets[Result],"W")&amp;"-"&amp;COUNTIFS(NCAA_Bets[Date],M442,NCAA_Bets[Result],"L")&amp;IF(COUNTIFS(NCAA_Bets[Date],M442,NCAA_Bets[Result],"Push")&gt;0,"-"&amp;COUNTIFS(NCAA_Bets[Date],M442,NCAA_Bets[Result],"Push"),"")</f>
        <v>0-0</v>
      </c>
      <c r="P442" s="90">
        <f>SUMIF(NCAA_Bets[Date],M442,NCAA_Bets[Winnings])-SUMIF(NCAA_Bets[Date],M442,NCAA_Bets[Risk])</f>
        <v>0</v>
      </c>
    </row>
    <row r="443" spans="2:16" x14ac:dyDescent="0.25">
      <c r="B443" s="101">
        <f t="shared" si="17"/>
        <v>33</v>
      </c>
      <c r="L443" s="71">
        <f t="shared" si="19"/>
        <v>0</v>
      </c>
      <c r="M443" s="71">
        <f t="shared" si="18"/>
        <v>0</v>
      </c>
      <c r="N443" s="71" t="str">
        <f>IFERROR(VLOOKUP(M443,NCAA_Bets[[Date]:[Version]],2,0),"")</f>
        <v/>
      </c>
      <c r="O443" s="94" t="str">
        <f>COUNTIFS(NCAA_Bets[Date],M443,NCAA_Bets[Result],"W")&amp;"-"&amp;COUNTIFS(NCAA_Bets[Date],M443,NCAA_Bets[Result],"L")&amp;IF(COUNTIFS(NCAA_Bets[Date],M443,NCAA_Bets[Result],"Push")&gt;0,"-"&amp;COUNTIFS(NCAA_Bets[Date],M443,NCAA_Bets[Result],"Push"),"")</f>
        <v>0-0</v>
      </c>
      <c r="P443" s="90">
        <f>SUMIF(NCAA_Bets[Date],M443,NCAA_Bets[Winnings])-SUMIF(NCAA_Bets[Date],M443,NCAA_Bets[Risk])</f>
        <v>0</v>
      </c>
    </row>
    <row r="444" spans="2:16" x14ac:dyDescent="0.25">
      <c r="B444" s="101">
        <f t="shared" si="17"/>
        <v>33</v>
      </c>
      <c r="L444" s="71">
        <f t="shared" si="19"/>
        <v>0</v>
      </c>
      <c r="M444" s="71">
        <f t="shared" si="18"/>
        <v>0</v>
      </c>
      <c r="N444" s="71" t="str">
        <f>IFERROR(VLOOKUP(M444,NCAA_Bets[[Date]:[Version]],2,0),"")</f>
        <v/>
      </c>
      <c r="O444" s="94" t="str">
        <f>COUNTIFS(NCAA_Bets[Date],M444,NCAA_Bets[Result],"W")&amp;"-"&amp;COUNTIFS(NCAA_Bets[Date],M444,NCAA_Bets[Result],"L")&amp;IF(COUNTIFS(NCAA_Bets[Date],M444,NCAA_Bets[Result],"Push")&gt;0,"-"&amp;COUNTIFS(NCAA_Bets[Date],M444,NCAA_Bets[Result],"Push"),"")</f>
        <v>0-0</v>
      </c>
      <c r="P444" s="90">
        <f>SUMIF(NCAA_Bets[Date],M444,NCAA_Bets[Winnings])-SUMIF(NCAA_Bets[Date],M444,NCAA_Bets[Risk])</f>
        <v>0</v>
      </c>
    </row>
    <row r="445" spans="2:16" x14ac:dyDescent="0.25">
      <c r="B445" s="101">
        <f t="shared" si="17"/>
        <v>33</v>
      </c>
      <c r="L445" s="71">
        <f t="shared" si="19"/>
        <v>0</v>
      </c>
      <c r="M445" s="71">
        <f t="shared" si="18"/>
        <v>0</v>
      </c>
      <c r="N445" s="71" t="str">
        <f>IFERROR(VLOOKUP(M445,NCAA_Bets[[Date]:[Version]],2,0),"")</f>
        <v/>
      </c>
      <c r="O445" s="94" t="str">
        <f>COUNTIFS(NCAA_Bets[Date],M445,NCAA_Bets[Result],"W")&amp;"-"&amp;COUNTIFS(NCAA_Bets[Date],M445,NCAA_Bets[Result],"L")&amp;IF(COUNTIFS(NCAA_Bets[Date],M445,NCAA_Bets[Result],"Push")&gt;0,"-"&amp;COUNTIFS(NCAA_Bets[Date],M445,NCAA_Bets[Result],"Push"),"")</f>
        <v>0-0</v>
      </c>
      <c r="P445" s="90">
        <f>SUMIF(NCAA_Bets[Date],M445,NCAA_Bets[Winnings])-SUMIF(NCAA_Bets[Date],M445,NCAA_Bets[Risk])</f>
        <v>0</v>
      </c>
    </row>
    <row r="446" spans="2:16" x14ac:dyDescent="0.25">
      <c r="B446" s="101">
        <f t="shared" si="17"/>
        <v>33</v>
      </c>
      <c r="L446" s="71">
        <f t="shared" si="19"/>
        <v>0</v>
      </c>
      <c r="M446" s="71">
        <f t="shared" si="18"/>
        <v>0</v>
      </c>
      <c r="N446" s="71" t="str">
        <f>IFERROR(VLOOKUP(M446,NCAA_Bets[[Date]:[Version]],2,0),"")</f>
        <v/>
      </c>
      <c r="O446" s="94" t="str">
        <f>COUNTIFS(NCAA_Bets[Date],M446,NCAA_Bets[Result],"W")&amp;"-"&amp;COUNTIFS(NCAA_Bets[Date],M446,NCAA_Bets[Result],"L")&amp;IF(COUNTIFS(NCAA_Bets[Date],M446,NCAA_Bets[Result],"Push")&gt;0,"-"&amp;COUNTIFS(NCAA_Bets[Date],M446,NCAA_Bets[Result],"Push"),"")</f>
        <v>0-0</v>
      </c>
      <c r="P446" s="90">
        <f>SUMIF(NCAA_Bets[Date],M446,NCAA_Bets[Winnings])-SUMIF(NCAA_Bets[Date],M446,NCAA_Bets[Risk])</f>
        <v>0</v>
      </c>
    </row>
    <row r="447" spans="2:16" x14ac:dyDescent="0.25">
      <c r="B447" s="101">
        <f t="shared" si="17"/>
        <v>33</v>
      </c>
      <c r="L447" s="71">
        <f t="shared" si="19"/>
        <v>0</v>
      </c>
      <c r="M447" s="71">
        <f t="shared" si="18"/>
        <v>0</v>
      </c>
      <c r="N447" s="71" t="str">
        <f>IFERROR(VLOOKUP(M447,NCAA_Bets[[Date]:[Version]],2,0),"")</f>
        <v/>
      </c>
      <c r="O447" s="94" t="str">
        <f>COUNTIFS(NCAA_Bets[Date],M447,NCAA_Bets[Result],"W")&amp;"-"&amp;COUNTIFS(NCAA_Bets[Date],M447,NCAA_Bets[Result],"L")&amp;IF(COUNTIFS(NCAA_Bets[Date],M447,NCAA_Bets[Result],"Push")&gt;0,"-"&amp;COUNTIFS(NCAA_Bets[Date],M447,NCAA_Bets[Result],"Push"),"")</f>
        <v>0-0</v>
      </c>
      <c r="P447" s="90">
        <f>SUMIF(NCAA_Bets[Date],M447,NCAA_Bets[Winnings])-SUMIF(NCAA_Bets[Date],M447,NCAA_Bets[Risk])</f>
        <v>0</v>
      </c>
    </row>
    <row r="448" spans="2:16" x14ac:dyDescent="0.25">
      <c r="B448" s="101">
        <f t="shared" si="17"/>
        <v>33</v>
      </c>
      <c r="L448" s="71">
        <f t="shared" si="19"/>
        <v>0</v>
      </c>
      <c r="M448" s="71">
        <f t="shared" si="18"/>
        <v>0</v>
      </c>
      <c r="N448" s="71" t="str">
        <f>IFERROR(VLOOKUP(M448,NCAA_Bets[[Date]:[Version]],2,0),"")</f>
        <v/>
      </c>
      <c r="O448" s="94" t="str">
        <f>COUNTIFS(NCAA_Bets[Date],M448,NCAA_Bets[Result],"W")&amp;"-"&amp;COUNTIFS(NCAA_Bets[Date],M448,NCAA_Bets[Result],"L")&amp;IF(COUNTIFS(NCAA_Bets[Date],M448,NCAA_Bets[Result],"Push")&gt;0,"-"&amp;COUNTIFS(NCAA_Bets[Date],M448,NCAA_Bets[Result],"Push"),"")</f>
        <v>0-0</v>
      </c>
      <c r="P448" s="90">
        <f>SUMIF(NCAA_Bets[Date],M448,NCAA_Bets[Winnings])-SUMIF(NCAA_Bets[Date],M448,NCAA_Bets[Risk])</f>
        <v>0</v>
      </c>
    </row>
    <row r="449" spans="2:16" x14ac:dyDescent="0.25">
      <c r="B449" s="101">
        <f t="shared" si="17"/>
        <v>33</v>
      </c>
      <c r="L449" s="71">
        <f t="shared" si="19"/>
        <v>0</v>
      </c>
      <c r="M449" s="71">
        <f t="shared" si="18"/>
        <v>0</v>
      </c>
      <c r="N449" s="71" t="str">
        <f>IFERROR(VLOOKUP(M449,NCAA_Bets[[Date]:[Version]],2,0),"")</f>
        <v/>
      </c>
      <c r="O449" s="94" t="str">
        <f>COUNTIFS(NCAA_Bets[Date],M449,NCAA_Bets[Result],"W")&amp;"-"&amp;COUNTIFS(NCAA_Bets[Date],M449,NCAA_Bets[Result],"L")&amp;IF(COUNTIFS(NCAA_Bets[Date],M449,NCAA_Bets[Result],"Push")&gt;0,"-"&amp;COUNTIFS(NCAA_Bets[Date],M449,NCAA_Bets[Result],"Push"),"")</f>
        <v>0-0</v>
      </c>
      <c r="P449" s="90">
        <f>SUMIF(NCAA_Bets[Date],M449,NCAA_Bets[Winnings])-SUMIF(NCAA_Bets[Date],M449,NCAA_Bets[Risk])</f>
        <v>0</v>
      </c>
    </row>
    <row r="450" spans="2:16" x14ac:dyDescent="0.25">
      <c r="B450" s="101">
        <f t="shared" si="17"/>
        <v>33</v>
      </c>
      <c r="L450" s="71">
        <f t="shared" si="19"/>
        <v>0</v>
      </c>
      <c r="M450" s="71">
        <f t="shared" si="18"/>
        <v>0</v>
      </c>
      <c r="N450" s="71" t="str">
        <f>IFERROR(VLOOKUP(M450,NCAA_Bets[[Date]:[Version]],2,0),"")</f>
        <v/>
      </c>
      <c r="O450" s="94" t="str">
        <f>COUNTIFS(NCAA_Bets[Date],M450,NCAA_Bets[Result],"W")&amp;"-"&amp;COUNTIFS(NCAA_Bets[Date],M450,NCAA_Bets[Result],"L")&amp;IF(COUNTIFS(NCAA_Bets[Date],M450,NCAA_Bets[Result],"Push")&gt;0,"-"&amp;COUNTIFS(NCAA_Bets[Date],M450,NCAA_Bets[Result],"Push"),"")</f>
        <v>0-0</v>
      </c>
      <c r="P450" s="90">
        <f>SUMIF(NCAA_Bets[Date],M450,NCAA_Bets[Winnings])-SUMIF(NCAA_Bets[Date],M450,NCAA_Bets[Risk])</f>
        <v>0</v>
      </c>
    </row>
    <row r="451" spans="2:16" x14ac:dyDescent="0.25">
      <c r="B451" s="101">
        <f t="shared" si="17"/>
        <v>33</v>
      </c>
      <c r="L451" s="71">
        <f t="shared" si="19"/>
        <v>0</v>
      </c>
      <c r="M451" s="71">
        <f t="shared" si="18"/>
        <v>0</v>
      </c>
      <c r="N451" s="71" t="str">
        <f>IFERROR(VLOOKUP(M451,NCAA_Bets[[Date]:[Version]],2,0),"")</f>
        <v/>
      </c>
      <c r="O451" s="94" t="str">
        <f>COUNTIFS(NCAA_Bets[Date],M451,NCAA_Bets[Result],"W")&amp;"-"&amp;COUNTIFS(NCAA_Bets[Date],M451,NCAA_Bets[Result],"L")&amp;IF(COUNTIFS(NCAA_Bets[Date],M451,NCAA_Bets[Result],"Push")&gt;0,"-"&amp;COUNTIFS(NCAA_Bets[Date],M451,NCAA_Bets[Result],"Push"),"")</f>
        <v>0-0</v>
      </c>
      <c r="P451" s="90">
        <f>SUMIF(NCAA_Bets[Date],M451,NCAA_Bets[Winnings])-SUMIF(NCAA_Bets[Date],M451,NCAA_Bets[Risk])</f>
        <v>0</v>
      </c>
    </row>
    <row r="452" spans="2:16" x14ac:dyDescent="0.25">
      <c r="B452" s="101">
        <f t="shared" si="17"/>
        <v>33</v>
      </c>
      <c r="L452" s="71">
        <f t="shared" si="19"/>
        <v>0</v>
      </c>
      <c r="M452" s="71">
        <f t="shared" si="18"/>
        <v>0</v>
      </c>
      <c r="N452" s="71" t="str">
        <f>IFERROR(VLOOKUP(M452,NCAA_Bets[[Date]:[Version]],2,0),"")</f>
        <v/>
      </c>
      <c r="O452" s="94" t="str">
        <f>COUNTIFS(NCAA_Bets[Date],M452,NCAA_Bets[Result],"W")&amp;"-"&amp;COUNTIFS(NCAA_Bets[Date],M452,NCAA_Bets[Result],"L")&amp;IF(COUNTIFS(NCAA_Bets[Date],M452,NCAA_Bets[Result],"Push")&gt;0,"-"&amp;COUNTIFS(NCAA_Bets[Date],M452,NCAA_Bets[Result],"Push"),"")</f>
        <v>0-0</v>
      </c>
      <c r="P452" s="90">
        <f>SUMIF(NCAA_Bets[Date],M452,NCAA_Bets[Winnings])-SUMIF(NCAA_Bets[Date],M452,NCAA_Bets[Risk])</f>
        <v>0</v>
      </c>
    </row>
    <row r="453" spans="2:16" x14ac:dyDescent="0.25">
      <c r="B453" s="101">
        <f t="shared" si="17"/>
        <v>33</v>
      </c>
      <c r="L453" s="71">
        <f t="shared" si="19"/>
        <v>0</v>
      </c>
      <c r="M453" s="71">
        <f t="shared" si="18"/>
        <v>0</v>
      </c>
      <c r="N453" s="71" t="str">
        <f>IFERROR(VLOOKUP(M453,NCAA_Bets[[Date]:[Version]],2,0),"")</f>
        <v/>
      </c>
      <c r="O453" s="94" t="str">
        <f>COUNTIFS(NCAA_Bets[Date],M453,NCAA_Bets[Result],"W")&amp;"-"&amp;COUNTIFS(NCAA_Bets[Date],M453,NCAA_Bets[Result],"L")&amp;IF(COUNTIFS(NCAA_Bets[Date],M453,NCAA_Bets[Result],"Push")&gt;0,"-"&amp;COUNTIFS(NCAA_Bets[Date],M453,NCAA_Bets[Result],"Push"),"")</f>
        <v>0-0</v>
      </c>
      <c r="P453" s="90">
        <f>SUMIF(NCAA_Bets[Date],M453,NCAA_Bets[Winnings])-SUMIF(NCAA_Bets[Date],M453,NCAA_Bets[Risk])</f>
        <v>0</v>
      </c>
    </row>
    <row r="454" spans="2:16" x14ac:dyDescent="0.25">
      <c r="B454" s="101">
        <f t="shared" ref="B454:B517" si="20">IF(C454=C453,B453,B453+1)</f>
        <v>33</v>
      </c>
      <c r="L454" s="71">
        <f t="shared" si="19"/>
        <v>0</v>
      </c>
      <c r="M454" s="71">
        <f t="shared" si="18"/>
        <v>0</v>
      </c>
      <c r="N454" s="71" t="str">
        <f>IFERROR(VLOOKUP(M454,NCAA_Bets[[Date]:[Version]],2,0),"")</f>
        <v/>
      </c>
      <c r="O454" s="94" t="str">
        <f>COUNTIFS(NCAA_Bets[Date],M454,NCAA_Bets[Result],"W")&amp;"-"&amp;COUNTIFS(NCAA_Bets[Date],M454,NCAA_Bets[Result],"L")&amp;IF(COUNTIFS(NCAA_Bets[Date],M454,NCAA_Bets[Result],"Push")&gt;0,"-"&amp;COUNTIFS(NCAA_Bets[Date],M454,NCAA_Bets[Result],"Push"),"")</f>
        <v>0-0</v>
      </c>
      <c r="P454" s="90">
        <f>SUMIF(NCAA_Bets[Date],M454,NCAA_Bets[Winnings])-SUMIF(NCAA_Bets[Date],M454,NCAA_Bets[Risk])</f>
        <v>0</v>
      </c>
    </row>
    <row r="455" spans="2:16" x14ac:dyDescent="0.25">
      <c r="B455" s="101">
        <f t="shared" si="20"/>
        <v>33</v>
      </c>
      <c r="L455" s="71">
        <f t="shared" si="19"/>
        <v>0</v>
      </c>
      <c r="M455" s="71">
        <f t="shared" si="18"/>
        <v>0</v>
      </c>
      <c r="N455" s="71" t="str">
        <f>IFERROR(VLOOKUP(M455,NCAA_Bets[[Date]:[Version]],2,0),"")</f>
        <v/>
      </c>
      <c r="O455" s="94" t="str">
        <f>COUNTIFS(NCAA_Bets[Date],M455,NCAA_Bets[Result],"W")&amp;"-"&amp;COUNTIFS(NCAA_Bets[Date],M455,NCAA_Bets[Result],"L")&amp;IF(COUNTIFS(NCAA_Bets[Date],M455,NCAA_Bets[Result],"Push")&gt;0,"-"&amp;COUNTIFS(NCAA_Bets[Date],M455,NCAA_Bets[Result],"Push"),"")</f>
        <v>0-0</v>
      </c>
      <c r="P455" s="90">
        <f>SUMIF(NCAA_Bets[Date],M455,NCAA_Bets[Winnings])-SUMIF(NCAA_Bets[Date],M455,NCAA_Bets[Risk])</f>
        <v>0</v>
      </c>
    </row>
    <row r="456" spans="2:16" x14ac:dyDescent="0.25">
      <c r="B456" s="101">
        <f t="shared" si="20"/>
        <v>33</v>
      </c>
      <c r="L456" s="71">
        <f t="shared" si="19"/>
        <v>0</v>
      </c>
      <c r="M456" s="71">
        <f t="shared" si="18"/>
        <v>0</v>
      </c>
      <c r="N456" s="71" t="str">
        <f>IFERROR(VLOOKUP(M456,NCAA_Bets[[Date]:[Version]],2,0),"")</f>
        <v/>
      </c>
      <c r="O456" s="94" t="str">
        <f>COUNTIFS(NCAA_Bets[Date],M456,NCAA_Bets[Result],"W")&amp;"-"&amp;COUNTIFS(NCAA_Bets[Date],M456,NCAA_Bets[Result],"L")&amp;IF(COUNTIFS(NCAA_Bets[Date],M456,NCAA_Bets[Result],"Push")&gt;0,"-"&amp;COUNTIFS(NCAA_Bets[Date],M456,NCAA_Bets[Result],"Push"),"")</f>
        <v>0-0</v>
      </c>
      <c r="P456" s="90">
        <f>SUMIF(NCAA_Bets[Date],M456,NCAA_Bets[Winnings])-SUMIF(NCAA_Bets[Date],M456,NCAA_Bets[Risk])</f>
        <v>0</v>
      </c>
    </row>
    <row r="457" spans="2:16" x14ac:dyDescent="0.25">
      <c r="B457" s="101">
        <f t="shared" si="20"/>
        <v>33</v>
      </c>
      <c r="L457" s="71">
        <f t="shared" si="19"/>
        <v>0</v>
      </c>
      <c r="M457" s="71">
        <f t="shared" si="18"/>
        <v>0</v>
      </c>
      <c r="N457" s="71" t="str">
        <f>IFERROR(VLOOKUP(M457,NCAA_Bets[[Date]:[Version]],2,0),"")</f>
        <v/>
      </c>
      <c r="O457" s="94" t="str">
        <f>COUNTIFS(NCAA_Bets[Date],M457,NCAA_Bets[Result],"W")&amp;"-"&amp;COUNTIFS(NCAA_Bets[Date],M457,NCAA_Bets[Result],"L")&amp;IF(COUNTIFS(NCAA_Bets[Date],M457,NCAA_Bets[Result],"Push")&gt;0,"-"&amp;COUNTIFS(NCAA_Bets[Date],M457,NCAA_Bets[Result],"Push"),"")</f>
        <v>0-0</v>
      </c>
      <c r="P457" s="90">
        <f>SUMIF(NCAA_Bets[Date],M457,NCAA_Bets[Winnings])-SUMIF(NCAA_Bets[Date],M457,NCAA_Bets[Risk])</f>
        <v>0</v>
      </c>
    </row>
    <row r="458" spans="2:16" x14ac:dyDescent="0.25">
      <c r="B458" s="101">
        <f t="shared" si="20"/>
        <v>33</v>
      </c>
      <c r="L458" s="71">
        <f t="shared" si="19"/>
        <v>0</v>
      </c>
      <c r="M458" s="71">
        <f t="shared" si="18"/>
        <v>0</v>
      </c>
      <c r="N458" s="71" t="str">
        <f>IFERROR(VLOOKUP(M458,NCAA_Bets[[Date]:[Version]],2,0),"")</f>
        <v/>
      </c>
      <c r="O458" s="94" t="str">
        <f>COUNTIFS(NCAA_Bets[Date],M458,NCAA_Bets[Result],"W")&amp;"-"&amp;COUNTIFS(NCAA_Bets[Date],M458,NCAA_Bets[Result],"L")&amp;IF(COUNTIFS(NCAA_Bets[Date],M458,NCAA_Bets[Result],"Push")&gt;0,"-"&amp;COUNTIFS(NCAA_Bets[Date],M458,NCAA_Bets[Result],"Push"),"")</f>
        <v>0-0</v>
      </c>
      <c r="P458" s="90">
        <f>SUMIF(NCAA_Bets[Date],M458,NCAA_Bets[Winnings])-SUMIF(NCAA_Bets[Date],M458,NCAA_Bets[Risk])</f>
        <v>0</v>
      </c>
    </row>
    <row r="459" spans="2:16" x14ac:dyDescent="0.25">
      <c r="B459" s="101">
        <f t="shared" si="20"/>
        <v>33</v>
      </c>
      <c r="L459" s="71">
        <f t="shared" si="19"/>
        <v>0</v>
      </c>
      <c r="M459" s="71">
        <f t="shared" si="18"/>
        <v>0</v>
      </c>
      <c r="N459" s="71" t="str">
        <f>IFERROR(VLOOKUP(M459,NCAA_Bets[[Date]:[Version]],2,0),"")</f>
        <v/>
      </c>
      <c r="O459" s="94" t="str">
        <f>COUNTIFS(NCAA_Bets[Date],M459,NCAA_Bets[Result],"W")&amp;"-"&amp;COUNTIFS(NCAA_Bets[Date],M459,NCAA_Bets[Result],"L")&amp;IF(COUNTIFS(NCAA_Bets[Date],M459,NCAA_Bets[Result],"Push")&gt;0,"-"&amp;COUNTIFS(NCAA_Bets[Date],M459,NCAA_Bets[Result],"Push"),"")</f>
        <v>0-0</v>
      </c>
      <c r="P459" s="90">
        <f>SUMIF(NCAA_Bets[Date],M459,NCAA_Bets[Winnings])-SUMIF(NCAA_Bets[Date],M459,NCAA_Bets[Risk])</f>
        <v>0</v>
      </c>
    </row>
    <row r="460" spans="2:16" x14ac:dyDescent="0.25">
      <c r="B460" s="101">
        <f t="shared" si="20"/>
        <v>33</v>
      </c>
      <c r="L460" s="71">
        <f t="shared" si="19"/>
        <v>0</v>
      </c>
      <c r="M460" s="71">
        <f t="shared" si="18"/>
        <v>0</v>
      </c>
      <c r="N460" s="71" t="str">
        <f>IFERROR(VLOOKUP(M460,NCAA_Bets[[Date]:[Version]],2,0),"")</f>
        <v/>
      </c>
      <c r="O460" s="94" t="str">
        <f>COUNTIFS(NCAA_Bets[Date],M460,NCAA_Bets[Result],"W")&amp;"-"&amp;COUNTIFS(NCAA_Bets[Date],M460,NCAA_Bets[Result],"L")&amp;IF(COUNTIFS(NCAA_Bets[Date],M460,NCAA_Bets[Result],"Push")&gt;0,"-"&amp;COUNTIFS(NCAA_Bets[Date],M460,NCAA_Bets[Result],"Push"),"")</f>
        <v>0-0</v>
      </c>
      <c r="P460" s="90">
        <f>SUMIF(NCAA_Bets[Date],M460,NCAA_Bets[Winnings])-SUMIF(NCAA_Bets[Date],M460,NCAA_Bets[Risk])</f>
        <v>0</v>
      </c>
    </row>
    <row r="461" spans="2:16" x14ac:dyDescent="0.25">
      <c r="B461" s="101">
        <f t="shared" si="20"/>
        <v>33</v>
      </c>
      <c r="L461" s="71">
        <f t="shared" si="19"/>
        <v>0</v>
      </c>
      <c r="M461" s="71">
        <f t="shared" si="18"/>
        <v>0</v>
      </c>
      <c r="N461" s="71" t="str">
        <f>IFERROR(VLOOKUP(M461,NCAA_Bets[[Date]:[Version]],2,0),"")</f>
        <v/>
      </c>
      <c r="O461" s="94" t="str">
        <f>COUNTIFS(NCAA_Bets[Date],M461,NCAA_Bets[Result],"W")&amp;"-"&amp;COUNTIFS(NCAA_Bets[Date],M461,NCAA_Bets[Result],"L")&amp;IF(COUNTIFS(NCAA_Bets[Date],M461,NCAA_Bets[Result],"Push")&gt;0,"-"&amp;COUNTIFS(NCAA_Bets[Date],M461,NCAA_Bets[Result],"Push"),"")</f>
        <v>0-0</v>
      </c>
      <c r="P461" s="90">
        <f>SUMIF(NCAA_Bets[Date],M461,NCAA_Bets[Winnings])-SUMIF(NCAA_Bets[Date],M461,NCAA_Bets[Risk])</f>
        <v>0</v>
      </c>
    </row>
    <row r="462" spans="2:16" x14ac:dyDescent="0.25">
      <c r="B462" s="101">
        <f t="shared" si="20"/>
        <v>33</v>
      </c>
      <c r="L462" s="71">
        <f t="shared" si="19"/>
        <v>0</v>
      </c>
      <c r="M462" s="71">
        <f t="shared" si="18"/>
        <v>0</v>
      </c>
      <c r="N462" s="71" t="str">
        <f>IFERROR(VLOOKUP(M462,NCAA_Bets[[Date]:[Version]],2,0),"")</f>
        <v/>
      </c>
      <c r="O462" s="94" t="str">
        <f>COUNTIFS(NCAA_Bets[Date],M462,NCAA_Bets[Result],"W")&amp;"-"&amp;COUNTIFS(NCAA_Bets[Date],M462,NCAA_Bets[Result],"L")&amp;IF(COUNTIFS(NCAA_Bets[Date],M462,NCAA_Bets[Result],"Push")&gt;0,"-"&amp;COUNTIFS(NCAA_Bets[Date],M462,NCAA_Bets[Result],"Push"),"")</f>
        <v>0-0</v>
      </c>
      <c r="P462" s="90">
        <f>SUMIF(NCAA_Bets[Date],M462,NCAA_Bets[Winnings])-SUMIF(NCAA_Bets[Date],M462,NCAA_Bets[Risk])</f>
        <v>0</v>
      </c>
    </row>
    <row r="463" spans="2:16" x14ac:dyDescent="0.25">
      <c r="B463" s="101">
        <f t="shared" si="20"/>
        <v>33</v>
      </c>
      <c r="L463" s="71">
        <f t="shared" si="19"/>
        <v>0</v>
      </c>
      <c r="M463" s="71">
        <f t="shared" si="18"/>
        <v>0</v>
      </c>
      <c r="N463" s="71" t="str">
        <f>IFERROR(VLOOKUP(M463,NCAA_Bets[[Date]:[Version]],2,0),"")</f>
        <v/>
      </c>
      <c r="O463" s="94" t="str">
        <f>COUNTIFS(NCAA_Bets[Date],M463,NCAA_Bets[Result],"W")&amp;"-"&amp;COUNTIFS(NCAA_Bets[Date],M463,NCAA_Bets[Result],"L")&amp;IF(COUNTIFS(NCAA_Bets[Date],M463,NCAA_Bets[Result],"Push")&gt;0,"-"&amp;COUNTIFS(NCAA_Bets[Date],M463,NCAA_Bets[Result],"Push"),"")</f>
        <v>0-0</v>
      </c>
      <c r="P463" s="90">
        <f>SUMIF(NCAA_Bets[Date],M463,NCAA_Bets[Winnings])-SUMIF(NCAA_Bets[Date],M463,NCAA_Bets[Risk])</f>
        <v>0</v>
      </c>
    </row>
    <row r="464" spans="2:16" x14ac:dyDescent="0.25">
      <c r="B464" s="101">
        <f t="shared" si="20"/>
        <v>33</v>
      </c>
      <c r="L464" s="71">
        <f t="shared" si="19"/>
        <v>0</v>
      </c>
      <c r="M464" s="71">
        <f t="shared" si="18"/>
        <v>0</v>
      </c>
      <c r="N464" s="71" t="str">
        <f>IFERROR(VLOOKUP(M464,NCAA_Bets[[Date]:[Version]],2,0),"")</f>
        <v/>
      </c>
      <c r="O464" s="94" t="str">
        <f>COUNTIFS(NCAA_Bets[Date],M464,NCAA_Bets[Result],"W")&amp;"-"&amp;COUNTIFS(NCAA_Bets[Date],M464,NCAA_Bets[Result],"L")&amp;IF(COUNTIFS(NCAA_Bets[Date],M464,NCAA_Bets[Result],"Push")&gt;0,"-"&amp;COUNTIFS(NCAA_Bets[Date],M464,NCAA_Bets[Result],"Push"),"")</f>
        <v>0-0</v>
      </c>
      <c r="P464" s="90">
        <f>SUMIF(NCAA_Bets[Date],M464,NCAA_Bets[Winnings])-SUMIF(NCAA_Bets[Date],M464,NCAA_Bets[Risk])</f>
        <v>0</v>
      </c>
    </row>
    <row r="465" spans="2:16" x14ac:dyDescent="0.25">
      <c r="B465" s="101">
        <f t="shared" si="20"/>
        <v>33</v>
      </c>
      <c r="L465" s="71">
        <f t="shared" si="19"/>
        <v>0</v>
      </c>
      <c r="M465" s="71">
        <f t="shared" si="18"/>
        <v>0</v>
      </c>
      <c r="N465" s="71" t="str">
        <f>IFERROR(VLOOKUP(M465,NCAA_Bets[[Date]:[Version]],2,0),"")</f>
        <v/>
      </c>
      <c r="O465" s="94" t="str">
        <f>COUNTIFS(NCAA_Bets[Date],M465,NCAA_Bets[Result],"W")&amp;"-"&amp;COUNTIFS(NCAA_Bets[Date],M465,NCAA_Bets[Result],"L")&amp;IF(COUNTIFS(NCAA_Bets[Date],M465,NCAA_Bets[Result],"Push")&gt;0,"-"&amp;COUNTIFS(NCAA_Bets[Date],M465,NCAA_Bets[Result],"Push"),"")</f>
        <v>0-0</v>
      </c>
      <c r="P465" s="90">
        <f>SUMIF(NCAA_Bets[Date],M465,NCAA_Bets[Winnings])-SUMIF(NCAA_Bets[Date],M465,NCAA_Bets[Risk])</f>
        <v>0</v>
      </c>
    </row>
    <row r="466" spans="2:16" x14ac:dyDescent="0.25">
      <c r="B466" s="101">
        <f t="shared" si="20"/>
        <v>33</v>
      </c>
      <c r="L466" s="71">
        <f t="shared" si="19"/>
        <v>0</v>
      </c>
      <c r="M466" s="71">
        <f t="shared" si="18"/>
        <v>0</v>
      </c>
      <c r="N466" s="71" t="str">
        <f>IFERROR(VLOOKUP(M466,NCAA_Bets[[Date]:[Version]],2,0),"")</f>
        <v/>
      </c>
      <c r="O466" s="94" t="str">
        <f>COUNTIFS(NCAA_Bets[Date],M466,NCAA_Bets[Result],"W")&amp;"-"&amp;COUNTIFS(NCAA_Bets[Date],M466,NCAA_Bets[Result],"L")&amp;IF(COUNTIFS(NCAA_Bets[Date],M466,NCAA_Bets[Result],"Push")&gt;0,"-"&amp;COUNTIFS(NCAA_Bets[Date],M466,NCAA_Bets[Result],"Push"),"")</f>
        <v>0-0</v>
      </c>
      <c r="P466" s="90">
        <f>SUMIF(NCAA_Bets[Date],M466,NCAA_Bets[Winnings])-SUMIF(NCAA_Bets[Date],M466,NCAA_Bets[Risk])</f>
        <v>0</v>
      </c>
    </row>
    <row r="467" spans="2:16" x14ac:dyDescent="0.25">
      <c r="B467" s="101">
        <f t="shared" si="20"/>
        <v>33</v>
      </c>
      <c r="L467" s="71">
        <f t="shared" si="19"/>
        <v>0</v>
      </c>
      <c r="M467" s="71">
        <f t="shared" si="18"/>
        <v>0</v>
      </c>
      <c r="N467" s="71" t="str">
        <f>IFERROR(VLOOKUP(M467,NCAA_Bets[[Date]:[Version]],2,0),"")</f>
        <v/>
      </c>
      <c r="O467" s="94" t="str">
        <f>COUNTIFS(NCAA_Bets[Date],M467,NCAA_Bets[Result],"W")&amp;"-"&amp;COUNTIFS(NCAA_Bets[Date],M467,NCAA_Bets[Result],"L")&amp;IF(COUNTIFS(NCAA_Bets[Date],M467,NCAA_Bets[Result],"Push")&gt;0,"-"&amp;COUNTIFS(NCAA_Bets[Date],M467,NCAA_Bets[Result],"Push"),"")</f>
        <v>0-0</v>
      </c>
      <c r="P467" s="90">
        <f>SUMIF(NCAA_Bets[Date],M467,NCAA_Bets[Winnings])-SUMIF(NCAA_Bets[Date],M467,NCAA_Bets[Risk])</f>
        <v>0</v>
      </c>
    </row>
    <row r="468" spans="2:16" x14ac:dyDescent="0.25">
      <c r="B468" s="101">
        <f t="shared" si="20"/>
        <v>33</v>
      </c>
      <c r="L468" s="71">
        <f t="shared" si="19"/>
        <v>0</v>
      </c>
      <c r="M468" s="71">
        <f t="shared" si="18"/>
        <v>0</v>
      </c>
      <c r="N468" s="71" t="str">
        <f>IFERROR(VLOOKUP(M468,NCAA_Bets[[Date]:[Version]],2,0),"")</f>
        <v/>
      </c>
      <c r="O468" s="94" t="str">
        <f>COUNTIFS(NCAA_Bets[Date],M468,NCAA_Bets[Result],"W")&amp;"-"&amp;COUNTIFS(NCAA_Bets[Date],M468,NCAA_Bets[Result],"L")&amp;IF(COUNTIFS(NCAA_Bets[Date],M468,NCAA_Bets[Result],"Push")&gt;0,"-"&amp;COUNTIFS(NCAA_Bets[Date],M468,NCAA_Bets[Result],"Push"),"")</f>
        <v>0-0</v>
      </c>
      <c r="P468" s="90">
        <f>SUMIF(NCAA_Bets[Date],M468,NCAA_Bets[Winnings])-SUMIF(NCAA_Bets[Date],M468,NCAA_Bets[Risk])</f>
        <v>0</v>
      </c>
    </row>
    <row r="469" spans="2:16" x14ac:dyDescent="0.25">
      <c r="B469" s="101">
        <f t="shared" si="20"/>
        <v>33</v>
      </c>
      <c r="L469" s="71">
        <f t="shared" si="19"/>
        <v>0</v>
      </c>
      <c r="M469" s="71">
        <f t="shared" si="18"/>
        <v>0</v>
      </c>
      <c r="N469" s="71" t="str">
        <f>IFERROR(VLOOKUP(M469,NCAA_Bets[[Date]:[Version]],2,0),"")</f>
        <v/>
      </c>
      <c r="O469" s="94" t="str">
        <f>COUNTIFS(NCAA_Bets[Date],M469,NCAA_Bets[Result],"W")&amp;"-"&amp;COUNTIFS(NCAA_Bets[Date],M469,NCAA_Bets[Result],"L")&amp;IF(COUNTIFS(NCAA_Bets[Date],M469,NCAA_Bets[Result],"Push")&gt;0,"-"&amp;COUNTIFS(NCAA_Bets[Date],M469,NCAA_Bets[Result],"Push"),"")</f>
        <v>0-0</v>
      </c>
      <c r="P469" s="90">
        <f>SUMIF(NCAA_Bets[Date],M469,NCAA_Bets[Winnings])-SUMIF(NCAA_Bets[Date],M469,NCAA_Bets[Risk])</f>
        <v>0</v>
      </c>
    </row>
    <row r="470" spans="2:16" x14ac:dyDescent="0.25">
      <c r="B470" s="101">
        <f t="shared" si="20"/>
        <v>33</v>
      </c>
      <c r="L470" s="71">
        <f t="shared" si="19"/>
        <v>0</v>
      </c>
      <c r="M470" s="71">
        <f t="shared" si="18"/>
        <v>0</v>
      </c>
      <c r="N470" s="71" t="str">
        <f>IFERROR(VLOOKUP(M470,NCAA_Bets[[Date]:[Version]],2,0),"")</f>
        <v/>
      </c>
      <c r="O470" s="94" t="str">
        <f>COUNTIFS(NCAA_Bets[Date],M470,NCAA_Bets[Result],"W")&amp;"-"&amp;COUNTIFS(NCAA_Bets[Date],M470,NCAA_Bets[Result],"L")&amp;IF(COUNTIFS(NCAA_Bets[Date],M470,NCAA_Bets[Result],"Push")&gt;0,"-"&amp;COUNTIFS(NCAA_Bets[Date],M470,NCAA_Bets[Result],"Push"),"")</f>
        <v>0-0</v>
      </c>
      <c r="P470" s="90">
        <f>SUMIF(NCAA_Bets[Date],M470,NCAA_Bets[Winnings])-SUMIF(NCAA_Bets[Date],M470,NCAA_Bets[Risk])</f>
        <v>0</v>
      </c>
    </row>
    <row r="471" spans="2:16" x14ac:dyDescent="0.25">
      <c r="B471" s="101">
        <f t="shared" si="20"/>
        <v>33</v>
      </c>
      <c r="L471" s="71">
        <f t="shared" si="19"/>
        <v>0</v>
      </c>
      <c r="M471" s="71">
        <f t="shared" si="18"/>
        <v>0</v>
      </c>
      <c r="N471" s="71" t="str">
        <f>IFERROR(VLOOKUP(M471,NCAA_Bets[[Date]:[Version]],2,0),"")</f>
        <v/>
      </c>
      <c r="O471" s="94" t="str">
        <f>COUNTIFS(NCAA_Bets[Date],M471,NCAA_Bets[Result],"W")&amp;"-"&amp;COUNTIFS(NCAA_Bets[Date],M471,NCAA_Bets[Result],"L")&amp;IF(COUNTIFS(NCAA_Bets[Date],M471,NCAA_Bets[Result],"Push")&gt;0,"-"&amp;COUNTIFS(NCAA_Bets[Date],M471,NCAA_Bets[Result],"Push"),"")</f>
        <v>0-0</v>
      </c>
      <c r="P471" s="90">
        <f>SUMIF(NCAA_Bets[Date],M471,NCAA_Bets[Winnings])-SUMIF(NCAA_Bets[Date],M471,NCAA_Bets[Risk])</f>
        <v>0</v>
      </c>
    </row>
    <row r="472" spans="2:16" x14ac:dyDescent="0.25">
      <c r="B472" s="101">
        <f t="shared" si="20"/>
        <v>33</v>
      </c>
      <c r="L472" s="71">
        <f t="shared" si="19"/>
        <v>0</v>
      </c>
      <c r="M472" s="71">
        <f t="shared" si="18"/>
        <v>0</v>
      </c>
      <c r="N472" s="71" t="str">
        <f>IFERROR(VLOOKUP(M472,NCAA_Bets[[Date]:[Version]],2,0),"")</f>
        <v/>
      </c>
      <c r="O472" s="94" t="str">
        <f>COUNTIFS(NCAA_Bets[Date],M472,NCAA_Bets[Result],"W")&amp;"-"&amp;COUNTIFS(NCAA_Bets[Date],M472,NCAA_Bets[Result],"L")&amp;IF(COUNTIFS(NCAA_Bets[Date],M472,NCAA_Bets[Result],"Push")&gt;0,"-"&amp;COUNTIFS(NCAA_Bets[Date],M472,NCAA_Bets[Result],"Push"),"")</f>
        <v>0-0</v>
      </c>
      <c r="P472" s="90">
        <f>SUMIF(NCAA_Bets[Date],M472,NCAA_Bets[Winnings])-SUMIF(NCAA_Bets[Date],M472,NCAA_Bets[Risk])</f>
        <v>0</v>
      </c>
    </row>
    <row r="473" spans="2:16" x14ac:dyDescent="0.25">
      <c r="B473" s="101">
        <f t="shared" si="20"/>
        <v>33</v>
      </c>
      <c r="L473" s="71">
        <f t="shared" si="19"/>
        <v>0</v>
      </c>
      <c r="M473" s="71">
        <f t="shared" si="18"/>
        <v>0</v>
      </c>
      <c r="N473" s="71" t="str">
        <f>IFERROR(VLOOKUP(M473,NCAA_Bets[[Date]:[Version]],2,0),"")</f>
        <v/>
      </c>
      <c r="O473" s="94" t="str">
        <f>COUNTIFS(NCAA_Bets[Date],M473,NCAA_Bets[Result],"W")&amp;"-"&amp;COUNTIFS(NCAA_Bets[Date],M473,NCAA_Bets[Result],"L")&amp;IF(COUNTIFS(NCAA_Bets[Date],M473,NCAA_Bets[Result],"Push")&gt;0,"-"&amp;COUNTIFS(NCAA_Bets[Date],M473,NCAA_Bets[Result],"Push"),"")</f>
        <v>0-0</v>
      </c>
      <c r="P473" s="90">
        <f>SUMIF(NCAA_Bets[Date],M473,NCAA_Bets[Winnings])-SUMIF(NCAA_Bets[Date],M473,NCAA_Bets[Risk])</f>
        <v>0</v>
      </c>
    </row>
    <row r="474" spans="2:16" x14ac:dyDescent="0.25">
      <c r="B474" s="101">
        <f t="shared" si="20"/>
        <v>33</v>
      </c>
      <c r="L474" s="71">
        <f t="shared" si="19"/>
        <v>0</v>
      </c>
      <c r="M474" s="71">
        <f t="shared" ref="M474:M537" si="21">IFERROR(VLOOKUP(ROW()-4,B:C,2,0),0)</f>
        <v>0</v>
      </c>
      <c r="N474" s="71" t="str">
        <f>IFERROR(VLOOKUP(M474,NCAA_Bets[[Date]:[Version]],2,0),"")</f>
        <v/>
      </c>
      <c r="O474" s="94" t="str">
        <f>COUNTIFS(NCAA_Bets[Date],M474,NCAA_Bets[Result],"W")&amp;"-"&amp;COUNTIFS(NCAA_Bets[Date],M474,NCAA_Bets[Result],"L")&amp;IF(COUNTIFS(NCAA_Bets[Date],M474,NCAA_Bets[Result],"Push")&gt;0,"-"&amp;COUNTIFS(NCAA_Bets[Date],M474,NCAA_Bets[Result],"Push"),"")</f>
        <v>0-0</v>
      </c>
      <c r="P474" s="90">
        <f>SUMIF(NCAA_Bets[Date],M474,NCAA_Bets[Winnings])-SUMIF(NCAA_Bets[Date],M474,NCAA_Bets[Risk])</f>
        <v>0</v>
      </c>
    </row>
    <row r="475" spans="2:16" x14ac:dyDescent="0.25">
      <c r="B475" s="101">
        <f t="shared" si="20"/>
        <v>33</v>
      </c>
      <c r="L475" s="71">
        <f t="shared" si="19"/>
        <v>0</v>
      </c>
      <c r="M475" s="71">
        <f t="shared" si="21"/>
        <v>0</v>
      </c>
      <c r="N475" s="71" t="str">
        <f>IFERROR(VLOOKUP(M475,NCAA_Bets[[Date]:[Version]],2,0),"")</f>
        <v/>
      </c>
      <c r="O475" s="94" t="str">
        <f>COUNTIFS(NCAA_Bets[Date],M475,NCAA_Bets[Result],"W")&amp;"-"&amp;COUNTIFS(NCAA_Bets[Date],M475,NCAA_Bets[Result],"L")&amp;IF(COUNTIFS(NCAA_Bets[Date],M475,NCAA_Bets[Result],"Push")&gt;0,"-"&amp;COUNTIFS(NCAA_Bets[Date],M475,NCAA_Bets[Result],"Push"),"")</f>
        <v>0-0</v>
      </c>
      <c r="P475" s="90">
        <f>SUMIF(NCAA_Bets[Date],M475,NCAA_Bets[Winnings])-SUMIF(NCAA_Bets[Date],M475,NCAA_Bets[Risk])</f>
        <v>0</v>
      </c>
    </row>
    <row r="476" spans="2:16" x14ac:dyDescent="0.25">
      <c r="B476" s="101">
        <f t="shared" si="20"/>
        <v>33</v>
      </c>
      <c r="L476" s="71">
        <f t="shared" si="19"/>
        <v>0</v>
      </c>
      <c r="M476" s="71">
        <f t="shared" si="21"/>
        <v>0</v>
      </c>
      <c r="N476" s="71" t="str">
        <f>IFERROR(VLOOKUP(M476,NCAA_Bets[[Date]:[Version]],2,0),"")</f>
        <v/>
      </c>
      <c r="O476" s="94" t="str">
        <f>COUNTIFS(NCAA_Bets[Date],M476,NCAA_Bets[Result],"W")&amp;"-"&amp;COUNTIFS(NCAA_Bets[Date],M476,NCAA_Bets[Result],"L")&amp;IF(COUNTIFS(NCAA_Bets[Date],M476,NCAA_Bets[Result],"Push")&gt;0,"-"&amp;COUNTIFS(NCAA_Bets[Date],M476,NCAA_Bets[Result],"Push"),"")</f>
        <v>0-0</v>
      </c>
      <c r="P476" s="90">
        <f>SUMIF(NCAA_Bets[Date],M476,NCAA_Bets[Winnings])-SUMIF(NCAA_Bets[Date],M476,NCAA_Bets[Risk])</f>
        <v>0</v>
      </c>
    </row>
    <row r="477" spans="2:16" x14ac:dyDescent="0.25">
      <c r="B477" s="101">
        <f t="shared" si="20"/>
        <v>33</v>
      </c>
      <c r="L477" s="71">
        <f t="shared" si="19"/>
        <v>0</v>
      </c>
      <c r="M477" s="71">
        <f t="shared" si="21"/>
        <v>0</v>
      </c>
      <c r="N477" s="71" t="str">
        <f>IFERROR(VLOOKUP(M477,NCAA_Bets[[Date]:[Version]],2,0),"")</f>
        <v/>
      </c>
      <c r="O477" s="94" t="str">
        <f>COUNTIFS(NCAA_Bets[Date],M477,NCAA_Bets[Result],"W")&amp;"-"&amp;COUNTIFS(NCAA_Bets[Date],M477,NCAA_Bets[Result],"L")&amp;IF(COUNTIFS(NCAA_Bets[Date],M477,NCAA_Bets[Result],"Push")&gt;0,"-"&amp;COUNTIFS(NCAA_Bets[Date],M477,NCAA_Bets[Result],"Push"),"")</f>
        <v>0-0</v>
      </c>
      <c r="P477" s="90">
        <f>SUMIF(NCAA_Bets[Date],M477,NCAA_Bets[Winnings])-SUMIF(NCAA_Bets[Date],M477,NCAA_Bets[Risk])</f>
        <v>0</v>
      </c>
    </row>
    <row r="478" spans="2:16" x14ac:dyDescent="0.25">
      <c r="B478" s="101">
        <f t="shared" si="20"/>
        <v>33</v>
      </c>
      <c r="L478" s="71">
        <f t="shared" si="19"/>
        <v>0</v>
      </c>
      <c r="M478" s="71">
        <f t="shared" si="21"/>
        <v>0</v>
      </c>
      <c r="N478" s="71" t="str">
        <f>IFERROR(VLOOKUP(M478,NCAA_Bets[[Date]:[Version]],2,0),"")</f>
        <v/>
      </c>
      <c r="O478" s="94" t="str">
        <f>COUNTIFS(NCAA_Bets[Date],M478,NCAA_Bets[Result],"W")&amp;"-"&amp;COUNTIFS(NCAA_Bets[Date],M478,NCAA_Bets[Result],"L")&amp;IF(COUNTIFS(NCAA_Bets[Date],M478,NCAA_Bets[Result],"Push")&gt;0,"-"&amp;COUNTIFS(NCAA_Bets[Date],M478,NCAA_Bets[Result],"Push"),"")</f>
        <v>0-0</v>
      </c>
      <c r="P478" s="90">
        <f>SUMIF(NCAA_Bets[Date],M478,NCAA_Bets[Winnings])-SUMIF(NCAA_Bets[Date],M478,NCAA_Bets[Risk])</f>
        <v>0</v>
      </c>
    </row>
    <row r="479" spans="2:16" x14ac:dyDescent="0.25">
      <c r="B479" s="101">
        <f t="shared" si="20"/>
        <v>33</v>
      </c>
      <c r="L479" s="71">
        <f t="shared" si="19"/>
        <v>0</v>
      </c>
      <c r="M479" s="71">
        <f t="shared" si="21"/>
        <v>0</v>
      </c>
      <c r="N479" s="71" t="str">
        <f>IFERROR(VLOOKUP(M479,NCAA_Bets[[Date]:[Version]],2,0),"")</f>
        <v/>
      </c>
      <c r="O479" s="94" t="str">
        <f>COUNTIFS(NCAA_Bets[Date],M479,NCAA_Bets[Result],"W")&amp;"-"&amp;COUNTIFS(NCAA_Bets[Date],M479,NCAA_Bets[Result],"L")&amp;IF(COUNTIFS(NCAA_Bets[Date],M479,NCAA_Bets[Result],"Push")&gt;0,"-"&amp;COUNTIFS(NCAA_Bets[Date],M479,NCAA_Bets[Result],"Push"),"")</f>
        <v>0-0</v>
      </c>
      <c r="P479" s="90">
        <f>SUMIF(NCAA_Bets[Date],M479,NCAA_Bets[Winnings])-SUMIF(NCAA_Bets[Date],M479,NCAA_Bets[Risk])</f>
        <v>0</v>
      </c>
    </row>
    <row r="480" spans="2:16" x14ac:dyDescent="0.25">
      <c r="B480" s="101">
        <f t="shared" si="20"/>
        <v>33</v>
      </c>
      <c r="L480" s="71">
        <f t="shared" si="19"/>
        <v>0</v>
      </c>
      <c r="M480" s="71">
        <f t="shared" si="21"/>
        <v>0</v>
      </c>
      <c r="N480" s="71" t="str">
        <f>IFERROR(VLOOKUP(M480,NCAA_Bets[[Date]:[Version]],2,0),"")</f>
        <v/>
      </c>
      <c r="O480" s="94" t="str">
        <f>COUNTIFS(NCAA_Bets[Date],M480,NCAA_Bets[Result],"W")&amp;"-"&amp;COUNTIFS(NCAA_Bets[Date],M480,NCAA_Bets[Result],"L")&amp;IF(COUNTIFS(NCAA_Bets[Date],M480,NCAA_Bets[Result],"Push")&gt;0,"-"&amp;COUNTIFS(NCAA_Bets[Date],M480,NCAA_Bets[Result],"Push"),"")</f>
        <v>0-0</v>
      </c>
      <c r="P480" s="90">
        <f>SUMIF(NCAA_Bets[Date],M480,NCAA_Bets[Winnings])-SUMIF(NCAA_Bets[Date],M480,NCAA_Bets[Risk])</f>
        <v>0</v>
      </c>
    </row>
    <row r="481" spans="2:16" x14ac:dyDescent="0.25">
      <c r="B481" s="101">
        <f t="shared" si="20"/>
        <v>33</v>
      </c>
      <c r="L481" s="71">
        <f t="shared" si="19"/>
        <v>0</v>
      </c>
      <c r="M481" s="71">
        <f t="shared" si="21"/>
        <v>0</v>
      </c>
      <c r="N481" s="71" t="str">
        <f>IFERROR(VLOOKUP(M481,NCAA_Bets[[Date]:[Version]],2,0),"")</f>
        <v/>
      </c>
      <c r="O481" s="94" t="str">
        <f>COUNTIFS(NCAA_Bets[Date],M481,NCAA_Bets[Result],"W")&amp;"-"&amp;COUNTIFS(NCAA_Bets[Date],M481,NCAA_Bets[Result],"L")&amp;IF(COUNTIFS(NCAA_Bets[Date],M481,NCAA_Bets[Result],"Push")&gt;0,"-"&amp;COUNTIFS(NCAA_Bets[Date],M481,NCAA_Bets[Result],"Push"),"")</f>
        <v>0-0</v>
      </c>
      <c r="P481" s="90">
        <f>SUMIF(NCAA_Bets[Date],M481,NCAA_Bets[Winnings])-SUMIF(NCAA_Bets[Date],M481,NCAA_Bets[Risk])</f>
        <v>0</v>
      </c>
    </row>
    <row r="482" spans="2:16" x14ac:dyDescent="0.25">
      <c r="B482" s="101">
        <f t="shared" si="20"/>
        <v>33</v>
      </c>
      <c r="L482" s="71">
        <f t="shared" si="19"/>
        <v>0</v>
      </c>
      <c r="M482" s="71">
        <f t="shared" si="21"/>
        <v>0</v>
      </c>
      <c r="N482" s="71" t="str">
        <f>IFERROR(VLOOKUP(M482,NCAA_Bets[[Date]:[Version]],2,0),"")</f>
        <v/>
      </c>
      <c r="O482" s="94" t="str">
        <f>COUNTIFS(NCAA_Bets[Date],M482,NCAA_Bets[Result],"W")&amp;"-"&amp;COUNTIFS(NCAA_Bets[Date],M482,NCAA_Bets[Result],"L")&amp;IF(COUNTIFS(NCAA_Bets[Date],M482,NCAA_Bets[Result],"Push")&gt;0,"-"&amp;COUNTIFS(NCAA_Bets[Date],M482,NCAA_Bets[Result],"Push"),"")</f>
        <v>0-0</v>
      </c>
      <c r="P482" s="90">
        <f>SUMIF(NCAA_Bets[Date],M482,NCAA_Bets[Winnings])-SUMIF(NCAA_Bets[Date],M482,NCAA_Bets[Risk])</f>
        <v>0</v>
      </c>
    </row>
    <row r="483" spans="2:16" x14ac:dyDescent="0.25">
      <c r="B483" s="101">
        <f t="shared" si="20"/>
        <v>33</v>
      </c>
      <c r="L483" s="71">
        <f t="shared" si="19"/>
        <v>0</v>
      </c>
      <c r="M483" s="71">
        <f t="shared" si="21"/>
        <v>0</v>
      </c>
      <c r="N483" s="71" t="str">
        <f>IFERROR(VLOOKUP(M483,NCAA_Bets[[Date]:[Version]],2,0),"")</f>
        <v/>
      </c>
      <c r="O483" s="94" t="str">
        <f>COUNTIFS(NCAA_Bets[Date],M483,NCAA_Bets[Result],"W")&amp;"-"&amp;COUNTIFS(NCAA_Bets[Date],M483,NCAA_Bets[Result],"L")&amp;IF(COUNTIFS(NCAA_Bets[Date],M483,NCAA_Bets[Result],"Push")&gt;0,"-"&amp;COUNTIFS(NCAA_Bets[Date],M483,NCAA_Bets[Result],"Push"),"")</f>
        <v>0-0</v>
      </c>
      <c r="P483" s="90">
        <f>SUMIF(NCAA_Bets[Date],M483,NCAA_Bets[Winnings])-SUMIF(NCAA_Bets[Date],M483,NCAA_Bets[Risk])</f>
        <v>0</v>
      </c>
    </row>
    <row r="484" spans="2:16" x14ac:dyDescent="0.25">
      <c r="B484" s="101">
        <f t="shared" si="20"/>
        <v>33</v>
      </c>
      <c r="L484" s="71">
        <f t="shared" ref="L484:L547" si="22">IFERROR(VLOOKUP(ROW()-4,B:C,2,0),0)</f>
        <v>0</v>
      </c>
      <c r="M484" s="71">
        <f t="shared" si="21"/>
        <v>0</v>
      </c>
      <c r="N484" s="71" t="str">
        <f>IFERROR(VLOOKUP(M484,NCAA_Bets[[Date]:[Version]],2,0),"")</f>
        <v/>
      </c>
      <c r="O484" s="94" t="str">
        <f>COUNTIFS(NCAA_Bets[Date],M484,NCAA_Bets[Result],"W")&amp;"-"&amp;COUNTIFS(NCAA_Bets[Date],M484,NCAA_Bets[Result],"L")&amp;IF(COUNTIFS(NCAA_Bets[Date],M484,NCAA_Bets[Result],"Push")&gt;0,"-"&amp;COUNTIFS(NCAA_Bets[Date],M484,NCAA_Bets[Result],"Push"),"")</f>
        <v>0-0</v>
      </c>
      <c r="P484" s="90">
        <f>SUMIF(NCAA_Bets[Date],M484,NCAA_Bets[Winnings])-SUMIF(NCAA_Bets[Date],M484,NCAA_Bets[Risk])</f>
        <v>0</v>
      </c>
    </row>
    <row r="485" spans="2:16" x14ac:dyDescent="0.25">
      <c r="B485" s="101">
        <f t="shared" si="20"/>
        <v>33</v>
      </c>
      <c r="L485" s="71">
        <f t="shared" si="22"/>
        <v>0</v>
      </c>
      <c r="M485" s="71">
        <f t="shared" si="21"/>
        <v>0</v>
      </c>
      <c r="N485" s="71" t="str">
        <f>IFERROR(VLOOKUP(M485,NCAA_Bets[[Date]:[Version]],2,0),"")</f>
        <v/>
      </c>
      <c r="O485" s="94" t="str">
        <f>COUNTIFS(NCAA_Bets[Date],M485,NCAA_Bets[Result],"W")&amp;"-"&amp;COUNTIFS(NCAA_Bets[Date],M485,NCAA_Bets[Result],"L")&amp;IF(COUNTIFS(NCAA_Bets[Date],M485,NCAA_Bets[Result],"Push")&gt;0,"-"&amp;COUNTIFS(NCAA_Bets[Date],M485,NCAA_Bets[Result],"Push"),"")</f>
        <v>0-0</v>
      </c>
      <c r="P485" s="90">
        <f>SUMIF(NCAA_Bets[Date],M485,NCAA_Bets[Winnings])-SUMIF(NCAA_Bets[Date],M485,NCAA_Bets[Risk])</f>
        <v>0</v>
      </c>
    </row>
    <row r="486" spans="2:16" x14ac:dyDescent="0.25">
      <c r="B486" s="101">
        <f t="shared" si="20"/>
        <v>33</v>
      </c>
      <c r="L486" s="71">
        <f t="shared" si="22"/>
        <v>0</v>
      </c>
      <c r="M486" s="71">
        <f t="shared" si="21"/>
        <v>0</v>
      </c>
      <c r="N486" s="71" t="str">
        <f>IFERROR(VLOOKUP(M486,NCAA_Bets[[Date]:[Version]],2,0),"")</f>
        <v/>
      </c>
      <c r="O486" s="94" t="str">
        <f>COUNTIFS(NCAA_Bets[Date],M486,NCAA_Bets[Result],"W")&amp;"-"&amp;COUNTIFS(NCAA_Bets[Date],M486,NCAA_Bets[Result],"L")&amp;IF(COUNTIFS(NCAA_Bets[Date],M486,NCAA_Bets[Result],"Push")&gt;0,"-"&amp;COUNTIFS(NCAA_Bets[Date],M486,NCAA_Bets[Result],"Push"),"")</f>
        <v>0-0</v>
      </c>
      <c r="P486" s="90">
        <f>SUMIF(NCAA_Bets[Date],M486,NCAA_Bets[Winnings])-SUMIF(NCAA_Bets[Date],M486,NCAA_Bets[Risk])</f>
        <v>0</v>
      </c>
    </row>
    <row r="487" spans="2:16" x14ac:dyDescent="0.25">
      <c r="B487" s="101">
        <f t="shared" si="20"/>
        <v>33</v>
      </c>
      <c r="L487" s="71">
        <f t="shared" si="22"/>
        <v>0</v>
      </c>
      <c r="M487" s="71">
        <f t="shared" si="21"/>
        <v>0</v>
      </c>
      <c r="N487" s="71" t="str">
        <f>IFERROR(VLOOKUP(M487,NCAA_Bets[[Date]:[Version]],2,0),"")</f>
        <v/>
      </c>
      <c r="O487" s="94" t="str">
        <f>COUNTIFS(NCAA_Bets[Date],M487,NCAA_Bets[Result],"W")&amp;"-"&amp;COUNTIFS(NCAA_Bets[Date],M487,NCAA_Bets[Result],"L")&amp;IF(COUNTIFS(NCAA_Bets[Date],M487,NCAA_Bets[Result],"Push")&gt;0,"-"&amp;COUNTIFS(NCAA_Bets[Date],M487,NCAA_Bets[Result],"Push"),"")</f>
        <v>0-0</v>
      </c>
      <c r="P487" s="90">
        <f>SUMIF(NCAA_Bets[Date],M487,NCAA_Bets[Winnings])-SUMIF(NCAA_Bets[Date],M487,NCAA_Bets[Risk])</f>
        <v>0</v>
      </c>
    </row>
    <row r="488" spans="2:16" x14ac:dyDescent="0.25">
      <c r="B488" s="101">
        <f t="shared" si="20"/>
        <v>33</v>
      </c>
      <c r="L488" s="71">
        <f t="shared" si="22"/>
        <v>0</v>
      </c>
      <c r="M488" s="71">
        <f t="shared" si="21"/>
        <v>0</v>
      </c>
      <c r="N488" s="71" t="str">
        <f>IFERROR(VLOOKUP(M488,NCAA_Bets[[Date]:[Version]],2,0),"")</f>
        <v/>
      </c>
      <c r="O488" s="94" t="str">
        <f>COUNTIFS(NCAA_Bets[Date],M488,NCAA_Bets[Result],"W")&amp;"-"&amp;COUNTIFS(NCAA_Bets[Date],M488,NCAA_Bets[Result],"L")&amp;IF(COUNTIFS(NCAA_Bets[Date],M488,NCAA_Bets[Result],"Push")&gt;0,"-"&amp;COUNTIFS(NCAA_Bets[Date],M488,NCAA_Bets[Result],"Push"),"")</f>
        <v>0-0</v>
      </c>
      <c r="P488" s="90">
        <f>SUMIF(NCAA_Bets[Date],M488,NCAA_Bets[Winnings])-SUMIF(NCAA_Bets[Date],M488,NCAA_Bets[Risk])</f>
        <v>0</v>
      </c>
    </row>
    <row r="489" spans="2:16" x14ac:dyDescent="0.25">
      <c r="B489" s="101">
        <f t="shared" si="20"/>
        <v>33</v>
      </c>
      <c r="L489" s="71">
        <f t="shared" si="22"/>
        <v>0</v>
      </c>
      <c r="M489" s="71">
        <f t="shared" si="21"/>
        <v>0</v>
      </c>
      <c r="N489" s="71" t="str">
        <f>IFERROR(VLOOKUP(M489,NCAA_Bets[[Date]:[Version]],2,0),"")</f>
        <v/>
      </c>
      <c r="O489" s="94" t="str">
        <f>COUNTIFS(NCAA_Bets[Date],M489,NCAA_Bets[Result],"W")&amp;"-"&amp;COUNTIFS(NCAA_Bets[Date],M489,NCAA_Bets[Result],"L")&amp;IF(COUNTIFS(NCAA_Bets[Date],M489,NCAA_Bets[Result],"Push")&gt;0,"-"&amp;COUNTIFS(NCAA_Bets[Date],M489,NCAA_Bets[Result],"Push"),"")</f>
        <v>0-0</v>
      </c>
      <c r="P489" s="90">
        <f>SUMIF(NCAA_Bets[Date],M489,NCAA_Bets[Winnings])-SUMIF(NCAA_Bets[Date],M489,NCAA_Bets[Risk])</f>
        <v>0</v>
      </c>
    </row>
    <row r="490" spans="2:16" x14ac:dyDescent="0.25">
      <c r="B490" s="101">
        <f t="shared" si="20"/>
        <v>33</v>
      </c>
      <c r="L490" s="71">
        <f t="shared" si="22"/>
        <v>0</v>
      </c>
      <c r="M490" s="71">
        <f t="shared" si="21"/>
        <v>0</v>
      </c>
      <c r="N490" s="71" t="str">
        <f>IFERROR(VLOOKUP(M490,NCAA_Bets[[Date]:[Version]],2,0),"")</f>
        <v/>
      </c>
      <c r="O490" s="94" t="str">
        <f>COUNTIFS(NCAA_Bets[Date],M490,NCAA_Bets[Result],"W")&amp;"-"&amp;COUNTIFS(NCAA_Bets[Date],M490,NCAA_Bets[Result],"L")&amp;IF(COUNTIFS(NCAA_Bets[Date],M490,NCAA_Bets[Result],"Push")&gt;0,"-"&amp;COUNTIFS(NCAA_Bets[Date],M490,NCAA_Bets[Result],"Push"),"")</f>
        <v>0-0</v>
      </c>
      <c r="P490" s="90">
        <f>SUMIF(NCAA_Bets[Date],M490,NCAA_Bets[Winnings])-SUMIF(NCAA_Bets[Date],M490,NCAA_Bets[Risk])</f>
        <v>0</v>
      </c>
    </row>
    <row r="491" spans="2:16" x14ac:dyDescent="0.25">
      <c r="B491" s="101">
        <f t="shared" si="20"/>
        <v>33</v>
      </c>
      <c r="L491" s="71">
        <f t="shared" si="22"/>
        <v>0</v>
      </c>
      <c r="M491" s="71">
        <f t="shared" si="21"/>
        <v>0</v>
      </c>
      <c r="N491" s="71" t="str">
        <f>IFERROR(VLOOKUP(M491,NCAA_Bets[[Date]:[Version]],2,0),"")</f>
        <v/>
      </c>
      <c r="O491" s="94" t="str">
        <f>COUNTIFS(NCAA_Bets[Date],M491,NCAA_Bets[Result],"W")&amp;"-"&amp;COUNTIFS(NCAA_Bets[Date],M491,NCAA_Bets[Result],"L")&amp;IF(COUNTIFS(NCAA_Bets[Date],M491,NCAA_Bets[Result],"Push")&gt;0,"-"&amp;COUNTIFS(NCAA_Bets[Date],M491,NCAA_Bets[Result],"Push"),"")</f>
        <v>0-0</v>
      </c>
      <c r="P491" s="90">
        <f>SUMIF(NCAA_Bets[Date],M491,NCAA_Bets[Winnings])-SUMIF(NCAA_Bets[Date],M491,NCAA_Bets[Risk])</f>
        <v>0</v>
      </c>
    </row>
    <row r="492" spans="2:16" x14ac:dyDescent="0.25">
      <c r="B492" s="101">
        <f t="shared" si="20"/>
        <v>33</v>
      </c>
      <c r="L492" s="71">
        <f t="shared" si="22"/>
        <v>0</v>
      </c>
      <c r="M492" s="71">
        <f t="shared" si="21"/>
        <v>0</v>
      </c>
      <c r="N492" s="71" t="str">
        <f>IFERROR(VLOOKUP(M492,NCAA_Bets[[Date]:[Version]],2,0),"")</f>
        <v/>
      </c>
      <c r="O492" s="94" t="str">
        <f>COUNTIFS(NCAA_Bets[Date],M492,NCAA_Bets[Result],"W")&amp;"-"&amp;COUNTIFS(NCAA_Bets[Date],M492,NCAA_Bets[Result],"L")&amp;IF(COUNTIFS(NCAA_Bets[Date],M492,NCAA_Bets[Result],"Push")&gt;0,"-"&amp;COUNTIFS(NCAA_Bets[Date],M492,NCAA_Bets[Result],"Push"),"")</f>
        <v>0-0</v>
      </c>
      <c r="P492" s="90">
        <f>SUMIF(NCAA_Bets[Date],M492,NCAA_Bets[Winnings])-SUMIF(NCAA_Bets[Date],M492,NCAA_Bets[Risk])</f>
        <v>0</v>
      </c>
    </row>
    <row r="493" spans="2:16" x14ac:dyDescent="0.25">
      <c r="B493" s="101">
        <f t="shared" si="20"/>
        <v>33</v>
      </c>
      <c r="L493" s="71">
        <f t="shared" si="22"/>
        <v>0</v>
      </c>
      <c r="M493" s="71">
        <f t="shared" si="21"/>
        <v>0</v>
      </c>
      <c r="N493" s="71" t="str">
        <f>IFERROR(VLOOKUP(M493,NCAA_Bets[[Date]:[Version]],2,0),"")</f>
        <v/>
      </c>
      <c r="O493" s="94" t="str">
        <f>COUNTIFS(NCAA_Bets[Date],M493,NCAA_Bets[Result],"W")&amp;"-"&amp;COUNTIFS(NCAA_Bets[Date],M493,NCAA_Bets[Result],"L")&amp;IF(COUNTIFS(NCAA_Bets[Date],M493,NCAA_Bets[Result],"Push")&gt;0,"-"&amp;COUNTIFS(NCAA_Bets[Date],M493,NCAA_Bets[Result],"Push"),"")</f>
        <v>0-0</v>
      </c>
      <c r="P493" s="90">
        <f>SUMIF(NCAA_Bets[Date],M493,NCAA_Bets[Winnings])-SUMIF(NCAA_Bets[Date],M493,NCAA_Bets[Risk])</f>
        <v>0</v>
      </c>
    </row>
    <row r="494" spans="2:16" x14ac:dyDescent="0.25">
      <c r="B494" s="101">
        <f t="shared" si="20"/>
        <v>33</v>
      </c>
      <c r="L494" s="71">
        <f t="shared" si="22"/>
        <v>0</v>
      </c>
      <c r="M494" s="71">
        <f t="shared" si="21"/>
        <v>0</v>
      </c>
      <c r="N494" s="71" t="str">
        <f>IFERROR(VLOOKUP(M494,NCAA_Bets[[Date]:[Version]],2,0),"")</f>
        <v/>
      </c>
      <c r="O494" s="94" t="str">
        <f>COUNTIFS(NCAA_Bets[Date],M494,NCAA_Bets[Result],"W")&amp;"-"&amp;COUNTIFS(NCAA_Bets[Date],M494,NCAA_Bets[Result],"L")&amp;IF(COUNTIFS(NCAA_Bets[Date],M494,NCAA_Bets[Result],"Push")&gt;0,"-"&amp;COUNTIFS(NCAA_Bets[Date],M494,NCAA_Bets[Result],"Push"),"")</f>
        <v>0-0</v>
      </c>
      <c r="P494" s="90">
        <f>SUMIF(NCAA_Bets[Date],M494,NCAA_Bets[Winnings])-SUMIF(NCAA_Bets[Date],M494,NCAA_Bets[Risk])</f>
        <v>0</v>
      </c>
    </row>
    <row r="495" spans="2:16" x14ac:dyDescent="0.25">
      <c r="B495" s="101">
        <f t="shared" si="20"/>
        <v>33</v>
      </c>
      <c r="L495" s="71">
        <f t="shared" si="22"/>
        <v>0</v>
      </c>
      <c r="M495" s="71">
        <f t="shared" si="21"/>
        <v>0</v>
      </c>
      <c r="N495" s="71" t="str">
        <f>IFERROR(VLOOKUP(M495,NCAA_Bets[[Date]:[Version]],2,0),"")</f>
        <v/>
      </c>
      <c r="O495" s="94" t="str">
        <f>COUNTIFS(NCAA_Bets[Date],M495,NCAA_Bets[Result],"W")&amp;"-"&amp;COUNTIFS(NCAA_Bets[Date],M495,NCAA_Bets[Result],"L")&amp;IF(COUNTIFS(NCAA_Bets[Date],M495,NCAA_Bets[Result],"Push")&gt;0,"-"&amp;COUNTIFS(NCAA_Bets[Date],M495,NCAA_Bets[Result],"Push"),"")</f>
        <v>0-0</v>
      </c>
      <c r="P495" s="90">
        <f>SUMIF(NCAA_Bets[Date],M495,NCAA_Bets[Winnings])-SUMIF(NCAA_Bets[Date],M495,NCAA_Bets[Risk])</f>
        <v>0</v>
      </c>
    </row>
    <row r="496" spans="2:16" x14ac:dyDescent="0.25">
      <c r="B496" s="101">
        <f t="shared" si="20"/>
        <v>33</v>
      </c>
      <c r="L496" s="71">
        <f t="shared" si="22"/>
        <v>0</v>
      </c>
      <c r="M496" s="71">
        <f t="shared" si="21"/>
        <v>0</v>
      </c>
      <c r="N496" s="71" t="str">
        <f>IFERROR(VLOOKUP(M496,NCAA_Bets[[Date]:[Version]],2,0),"")</f>
        <v/>
      </c>
      <c r="O496" s="94" t="str">
        <f>COUNTIFS(NCAA_Bets[Date],M496,NCAA_Bets[Result],"W")&amp;"-"&amp;COUNTIFS(NCAA_Bets[Date],M496,NCAA_Bets[Result],"L")&amp;IF(COUNTIFS(NCAA_Bets[Date],M496,NCAA_Bets[Result],"Push")&gt;0,"-"&amp;COUNTIFS(NCAA_Bets[Date],M496,NCAA_Bets[Result],"Push"),"")</f>
        <v>0-0</v>
      </c>
      <c r="P496" s="90">
        <f>SUMIF(NCAA_Bets[Date],M496,NCAA_Bets[Winnings])-SUMIF(NCAA_Bets[Date],M496,NCAA_Bets[Risk])</f>
        <v>0</v>
      </c>
    </row>
    <row r="497" spans="2:16" x14ac:dyDescent="0.25">
      <c r="B497" s="101">
        <f t="shared" si="20"/>
        <v>33</v>
      </c>
      <c r="L497" s="71">
        <f t="shared" si="22"/>
        <v>0</v>
      </c>
      <c r="M497" s="71">
        <f t="shared" si="21"/>
        <v>0</v>
      </c>
      <c r="N497" s="71" t="str">
        <f>IFERROR(VLOOKUP(M497,NCAA_Bets[[Date]:[Version]],2,0),"")</f>
        <v/>
      </c>
      <c r="O497" s="94" t="str">
        <f>COUNTIFS(NCAA_Bets[Date],M497,NCAA_Bets[Result],"W")&amp;"-"&amp;COUNTIFS(NCAA_Bets[Date],M497,NCAA_Bets[Result],"L")&amp;IF(COUNTIFS(NCAA_Bets[Date],M497,NCAA_Bets[Result],"Push")&gt;0,"-"&amp;COUNTIFS(NCAA_Bets[Date],M497,NCAA_Bets[Result],"Push"),"")</f>
        <v>0-0</v>
      </c>
      <c r="P497" s="90">
        <f>SUMIF(NCAA_Bets[Date],M497,NCAA_Bets[Winnings])-SUMIF(NCAA_Bets[Date],M497,NCAA_Bets[Risk])</f>
        <v>0</v>
      </c>
    </row>
    <row r="498" spans="2:16" x14ac:dyDescent="0.25">
      <c r="B498" s="101">
        <f t="shared" si="20"/>
        <v>33</v>
      </c>
      <c r="L498" s="71">
        <f t="shared" si="22"/>
        <v>0</v>
      </c>
      <c r="M498" s="71">
        <f t="shared" si="21"/>
        <v>0</v>
      </c>
      <c r="N498" s="71" t="str">
        <f>IFERROR(VLOOKUP(M498,NCAA_Bets[[Date]:[Version]],2,0),"")</f>
        <v/>
      </c>
      <c r="O498" s="94" t="str">
        <f>COUNTIFS(NCAA_Bets[Date],M498,NCAA_Bets[Result],"W")&amp;"-"&amp;COUNTIFS(NCAA_Bets[Date],M498,NCAA_Bets[Result],"L")&amp;IF(COUNTIFS(NCAA_Bets[Date],M498,NCAA_Bets[Result],"Push")&gt;0,"-"&amp;COUNTIFS(NCAA_Bets[Date],M498,NCAA_Bets[Result],"Push"),"")</f>
        <v>0-0</v>
      </c>
      <c r="P498" s="90">
        <f>SUMIF(NCAA_Bets[Date],M498,NCAA_Bets[Winnings])-SUMIF(NCAA_Bets[Date],M498,NCAA_Bets[Risk])</f>
        <v>0</v>
      </c>
    </row>
    <row r="499" spans="2:16" x14ac:dyDescent="0.25">
      <c r="B499" s="101">
        <f t="shared" si="20"/>
        <v>33</v>
      </c>
      <c r="L499" s="71">
        <f t="shared" si="22"/>
        <v>0</v>
      </c>
      <c r="M499" s="71">
        <f t="shared" si="21"/>
        <v>0</v>
      </c>
      <c r="N499" s="71" t="str">
        <f>IFERROR(VLOOKUP(M499,NCAA_Bets[[Date]:[Version]],2,0),"")</f>
        <v/>
      </c>
      <c r="O499" s="94" t="str">
        <f>COUNTIFS(NCAA_Bets[Date],M499,NCAA_Bets[Result],"W")&amp;"-"&amp;COUNTIFS(NCAA_Bets[Date],M499,NCAA_Bets[Result],"L")&amp;IF(COUNTIFS(NCAA_Bets[Date],M499,NCAA_Bets[Result],"Push")&gt;0,"-"&amp;COUNTIFS(NCAA_Bets[Date],M499,NCAA_Bets[Result],"Push"),"")</f>
        <v>0-0</v>
      </c>
      <c r="P499" s="90">
        <f>SUMIF(NCAA_Bets[Date],M499,NCAA_Bets[Winnings])-SUMIF(NCAA_Bets[Date],M499,NCAA_Bets[Risk])</f>
        <v>0</v>
      </c>
    </row>
    <row r="500" spans="2:16" x14ac:dyDescent="0.25">
      <c r="B500" s="101">
        <f t="shared" si="20"/>
        <v>33</v>
      </c>
      <c r="L500" s="71">
        <f t="shared" si="22"/>
        <v>0</v>
      </c>
      <c r="M500" s="71">
        <f t="shared" si="21"/>
        <v>0</v>
      </c>
      <c r="N500" s="71" t="str">
        <f>IFERROR(VLOOKUP(M500,NCAA_Bets[[Date]:[Version]],2,0),"")</f>
        <v/>
      </c>
      <c r="O500" s="94" t="str">
        <f>COUNTIFS(NCAA_Bets[Date],M500,NCAA_Bets[Result],"W")&amp;"-"&amp;COUNTIFS(NCAA_Bets[Date],M500,NCAA_Bets[Result],"L")&amp;IF(COUNTIFS(NCAA_Bets[Date],M500,NCAA_Bets[Result],"Push")&gt;0,"-"&amp;COUNTIFS(NCAA_Bets[Date],M500,NCAA_Bets[Result],"Push"),"")</f>
        <v>0-0</v>
      </c>
      <c r="P500" s="90">
        <f>SUMIF(NCAA_Bets[Date],M500,NCAA_Bets[Winnings])-SUMIF(NCAA_Bets[Date],M500,NCAA_Bets[Risk])</f>
        <v>0</v>
      </c>
    </row>
    <row r="501" spans="2:16" x14ac:dyDescent="0.25">
      <c r="B501" s="101">
        <f t="shared" si="20"/>
        <v>33</v>
      </c>
      <c r="L501" s="71">
        <f t="shared" si="22"/>
        <v>0</v>
      </c>
      <c r="M501" s="71">
        <f t="shared" si="21"/>
        <v>0</v>
      </c>
      <c r="N501" s="71" t="str">
        <f>IFERROR(VLOOKUP(M501,NCAA_Bets[[Date]:[Version]],2,0),"")</f>
        <v/>
      </c>
      <c r="O501" s="94" t="str">
        <f>COUNTIFS(NCAA_Bets[Date],M501,NCAA_Bets[Result],"W")&amp;"-"&amp;COUNTIFS(NCAA_Bets[Date],M501,NCAA_Bets[Result],"L")&amp;IF(COUNTIFS(NCAA_Bets[Date],M501,NCAA_Bets[Result],"Push")&gt;0,"-"&amp;COUNTIFS(NCAA_Bets[Date],M501,NCAA_Bets[Result],"Push"),"")</f>
        <v>0-0</v>
      </c>
      <c r="P501" s="90">
        <f>SUMIF(NCAA_Bets[Date],M501,NCAA_Bets[Winnings])-SUMIF(NCAA_Bets[Date],M501,NCAA_Bets[Risk])</f>
        <v>0</v>
      </c>
    </row>
    <row r="502" spans="2:16" x14ac:dyDescent="0.25">
      <c r="B502" s="101">
        <f t="shared" si="20"/>
        <v>33</v>
      </c>
      <c r="L502" s="71">
        <f t="shared" si="22"/>
        <v>0</v>
      </c>
      <c r="M502" s="71">
        <f t="shared" si="21"/>
        <v>0</v>
      </c>
      <c r="N502" s="71" t="str">
        <f>IFERROR(VLOOKUP(M502,NCAA_Bets[[Date]:[Version]],2,0),"")</f>
        <v/>
      </c>
      <c r="O502" s="94" t="str">
        <f>COUNTIFS(NCAA_Bets[Date],M502,NCAA_Bets[Result],"W")&amp;"-"&amp;COUNTIFS(NCAA_Bets[Date],M502,NCAA_Bets[Result],"L")&amp;IF(COUNTIFS(NCAA_Bets[Date],M502,NCAA_Bets[Result],"Push")&gt;0,"-"&amp;COUNTIFS(NCAA_Bets[Date],M502,NCAA_Bets[Result],"Push"),"")</f>
        <v>0-0</v>
      </c>
      <c r="P502" s="90">
        <f>SUMIF(NCAA_Bets[Date],M502,NCAA_Bets[Winnings])-SUMIF(NCAA_Bets[Date],M502,NCAA_Bets[Risk])</f>
        <v>0</v>
      </c>
    </row>
    <row r="503" spans="2:16" x14ac:dyDescent="0.25">
      <c r="B503" s="101">
        <f t="shared" si="20"/>
        <v>33</v>
      </c>
      <c r="L503" s="71">
        <f t="shared" si="22"/>
        <v>0</v>
      </c>
      <c r="M503" s="71">
        <f t="shared" si="21"/>
        <v>0</v>
      </c>
      <c r="N503" s="71" t="str">
        <f>IFERROR(VLOOKUP(M503,NCAA_Bets[[Date]:[Version]],2,0),"")</f>
        <v/>
      </c>
      <c r="O503" s="94" t="str">
        <f>COUNTIFS(NCAA_Bets[Date],M503,NCAA_Bets[Result],"W")&amp;"-"&amp;COUNTIFS(NCAA_Bets[Date],M503,NCAA_Bets[Result],"L")&amp;IF(COUNTIFS(NCAA_Bets[Date],M503,NCAA_Bets[Result],"Push")&gt;0,"-"&amp;COUNTIFS(NCAA_Bets[Date],M503,NCAA_Bets[Result],"Push"),"")</f>
        <v>0-0</v>
      </c>
      <c r="P503" s="90">
        <f>SUMIF(NCAA_Bets[Date],M503,NCAA_Bets[Winnings])-SUMIF(NCAA_Bets[Date],M503,NCAA_Bets[Risk])</f>
        <v>0</v>
      </c>
    </row>
    <row r="504" spans="2:16" x14ac:dyDescent="0.25">
      <c r="B504" s="101">
        <f t="shared" si="20"/>
        <v>33</v>
      </c>
      <c r="L504" s="71">
        <f t="shared" si="22"/>
        <v>0</v>
      </c>
      <c r="M504" s="71">
        <f t="shared" si="21"/>
        <v>0</v>
      </c>
      <c r="N504" s="71" t="str">
        <f>IFERROR(VLOOKUP(M504,NCAA_Bets[[Date]:[Version]],2,0),"")</f>
        <v/>
      </c>
      <c r="O504" s="94" t="str">
        <f>COUNTIFS(NCAA_Bets[Date],M504,NCAA_Bets[Result],"W")&amp;"-"&amp;COUNTIFS(NCAA_Bets[Date],M504,NCAA_Bets[Result],"L")&amp;IF(COUNTIFS(NCAA_Bets[Date],M504,NCAA_Bets[Result],"Push")&gt;0,"-"&amp;COUNTIFS(NCAA_Bets[Date],M504,NCAA_Bets[Result],"Push"),"")</f>
        <v>0-0</v>
      </c>
      <c r="P504" s="90">
        <f>SUMIF(NCAA_Bets[Date],M504,NCAA_Bets[Winnings])-SUMIF(NCAA_Bets[Date],M504,NCAA_Bets[Risk])</f>
        <v>0</v>
      </c>
    </row>
    <row r="505" spans="2:16" x14ac:dyDescent="0.25">
      <c r="B505" s="101">
        <f t="shared" si="20"/>
        <v>33</v>
      </c>
      <c r="L505" s="71">
        <f t="shared" si="22"/>
        <v>0</v>
      </c>
      <c r="M505" s="71">
        <f t="shared" si="21"/>
        <v>0</v>
      </c>
      <c r="N505" s="71" t="str">
        <f>IFERROR(VLOOKUP(M505,NCAA_Bets[[Date]:[Version]],2,0),"")</f>
        <v/>
      </c>
      <c r="O505" s="94" t="str">
        <f>COUNTIFS(NCAA_Bets[Date],M505,NCAA_Bets[Result],"W")&amp;"-"&amp;COUNTIFS(NCAA_Bets[Date],M505,NCAA_Bets[Result],"L")&amp;IF(COUNTIFS(NCAA_Bets[Date],M505,NCAA_Bets[Result],"Push")&gt;0,"-"&amp;COUNTIFS(NCAA_Bets[Date],M505,NCAA_Bets[Result],"Push"),"")</f>
        <v>0-0</v>
      </c>
      <c r="P505" s="90">
        <f>SUMIF(NCAA_Bets[Date],M505,NCAA_Bets[Winnings])-SUMIF(NCAA_Bets[Date],M505,NCAA_Bets[Risk])</f>
        <v>0</v>
      </c>
    </row>
    <row r="506" spans="2:16" x14ac:dyDescent="0.25">
      <c r="B506" s="101">
        <f t="shared" si="20"/>
        <v>33</v>
      </c>
      <c r="L506" s="71">
        <f t="shared" si="22"/>
        <v>0</v>
      </c>
      <c r="M506" s="71">
        <f t="shared" si="21"/>
        <v>0</v>
      </c>
      <c r="N506" s="71" t="str">
        <f>IFERROR(VLOOKUP(M506,NCAA_Bets[[Date]:[Version]],2,0),"")</f>
        <v/>
      </c>
      <c r="O506" s="94" t="str">
        <f>COUNTIFS(NCAA_Bets[Date],M506,NCAA_Bets[Result],"W")&amp;"-"&amp;COUNTIFS(NCAA_Bets[Date],M506,NCAA_Bets[Result],"L")&amp;IF(COUNTIFS(NCAA_Bets[Date],M506,NCAA_Bets[Result],"Push")&gt;0,"-"&amp;COUNTIFS(NCAA_Bets[Date],M506,NCAA_Bets[Result],"Push"),"")</f>
        <v>0-0</v>
      </c>
      <c r="P506" s="90">
        <f>SUMIF(NCAA_Bets[Date],M506,NCAA_Bets[Winnings])-SUMIF(NCAA_Bets[Date],M506,NCAA_Bets[Risk])</f>
        <v>0</v>
      </c>
    </row>
    <row r="507" spans="2:16" x14ac:dyDescent="0.25">
      <c r="B507" s="101">
        <f t="shared" si="20"/>
        <v>33</v>
      </c>
      <c r="L507" s="71">
        <f t="shared" si="22"/>
        <v>0</v>
      </c>
      <c r="M507" s="71">
        <f t="shared" si="21"/>
        <v>0</v>
      </c>
      <c r="N507" s="71" t="str">
        <f>IFERROR(VLOOKUP(M507,NCAA_Bets[[Date]:[Version]],2,0),"")</f>
        <v/>
      </c>
      <c r="O507" s="94" t="str">
        <f>COUNTIFS(NCAA_Bets[Date],M507,NCAA_Bets[Result],"W")&amp;"-"&amp;COUNTIFS(NCAA_Bets[Date],M507,NCAA_Bets[Result],"L")&amp;IF(COUNTIFS(NCAA_Bets[Date],M507,NCAA_Bets[Result],"Push")&gt;0,"-"&amp;COUNTIFS(NCAA_Bets[Date],M507,NCAA_Bets[Result],"Push"),"")</f>
        <v>0-0</v>
      </c>
      <c r="P507" s="90">
        <f>SUMIF(NCAA_Bets[Date],M507,NCAA_Bets[Winnings])-SUMIF(NCAA_Bets[Date],M507,NCAA_Bets[Risk])</f>
        <v>0</v>
      </c>
    </row>
    <row r="508" spans="2:16" x14ac:dyDescent="0.25">
      <c r="B508" s="101">
        <f t="shared" si="20"/>
        <v>33</v>
      </c>
      <c r="L508" s="71">
        <f t="shared" si="22"/>
        <v>0</v>
      </c>
      <c r="M508" s="71">
        <f t="shared" si="21"/>
        <v>0</v>
      </c>
      <c r="N508" s="71" t="str">
        <f>IFERROR(VLOOKUP(M508,NCAA_Bets[[Date]:[Version]],2,0),"")</f>
        <v/>
      </c>
      <c r="O508" s="94" t="str">
        <f>COUNTIFS(NCAA_Bets[Date],M508,NCAA_Bets[Result],"W")&amp;"-"&amp;COUNTIFS(NCAA_Bets[Date],M508,NCAA_Bets[Result],"L")&amp;IF(COUNTIFS(NCAA_Bets[Date],M508,NCAA_Bets[Result],"Push")&gt;0,"-"&amp;COUNTIFS(NCAA_Bets[Date],M508,NCAA_Bets[Result],"Push"),"")</f>
        <v>0-0</v>
      </c>
      <c r="P508" s="90">
        <f>SUMIF(NCAA_Bets[Date],M508,NCAA_Bets[Winnings])-SUMIF(NCAA_Bets[Date],M508,NCAA_Bets[Risk])</f>
        <v>0</v>
      </c>
    </row>
    <row r="509" spans="2:16" x14ac:dyDescent="0.25">
      <c r="B509" s="101">
        <f t="shared" si="20"/>
        <v>33</v>
      </c>
      <c r="L509" s="71">
        <f t="shared" si="22"/>
        <v>0</v>
      </c>
      <c r="M509" s="71">
        <f t="shared" si="21"/>
        <v>0</v>
      </c>
      <c r="N509" s="71" t="str">
        <f>IFERROR(VLOOKUP(M509,NCAA_Bets[[Date]:[Version]],2,0),"")</f>
        <v/>
      </c>
      <c r="O509" s="94" t="str">
        <f>COUNTIFS(NCAA_Bets[Date],M509,NCAA_Bets[Result],"W")&amp;"-"&amp;COUNTIFS(NCAA_Bets[Date],M509,NCAA_Bets[Result],"L")&amp;IF(COUNTIFS(NCAA_Bets[Date],M509,NCAA_Bets[Result],"Push")&gt;0,"-"&amp;COUNTIFS(NCAA_Bets[Date],M509,NCAA_Bets[Result],"Push"),"")</f>
        <v>0-0</v>
      </c>
      <c r="P509" s="90">
        <f>SUMIF(NCAA_Bets[Date],M509,NCAA_Bets[Winnings])-SUMIF(NCAA_Bets[Date],M509,NCAA_Bets[Risk])</f>
        <v>0</v>
      </c>
    </row>
    <row r="510" spans="2:16" x14ac:dyDescent="0.25">
      <c r="B510" s="101">
        <f t="shared" si="20"/>
        <v>33</v>
      </c>
      <c r="L510" s="71">
        <f t="shared" si="22"/>
        <v>0</v>
      </c>
      <c r="M510" s="71">
        <f t="shared" si="21"/>
        <v>0</v>
      </c>
      <c r="N510" s="71" t="str">
        <f>IFERROR(VLOOKUP(M510,NCAA_Bets[[Date]:[Version]],2,0),"")</f>
        <v/>
      </c>
      <c r="O510" s="94" t="str">
        <f>COUNTIFS(NCAA_Bets[Date],M510,NCAA_Bets[Result],"W")&amp;"-"&amp;COUNTIFS(NCAA_Bets[Date],M510,NCAA_Bets[Result],"L")&amp;IF(COUNTIFS(NCAA_Bets[Date],M510,NCAA_Bets[Result],"Push")&gt;0,"-"&amp;COUNTIFS(NCAA_Bets[Date],M510,NCAA_Bets[Result],"Push"),"")</f>
        <v>0-0</v>
      </c>
      <c r="P510" s="90">
        <f>SUMIF(NCAA_Bets[Date],M510,NCAA_Bets[Winnings])-SUMIF(NCAA_Bets[Date],M510,NCAA_Bets[Risk])</f>
        <v>0</v>
      </c>
    </row>
    <row r="511" spans="2:16" x14ac:dyDescent="0.25">
      <c r="B511" s="101">
        <f t="shared" si="20"/>
        <v>33</v>
      </c>
      <c r="L511" s="71">
        <f t="shared" si="22"/>
        <v>0</v>
      </c>
      <c r="M511" s="71">
        <f t="shared" si="21"/>
        <v>0</v>
      </c>
      <c r="N511" s="71" t="str">
        <f>IFERROR(VLOOKUP(M511,NCAA_Bets[[Date]:[Version]],2,0),"")</f>
        <v/>
      </c>
      <c r="O511" s="94" t="str">
        <f>COUNTIFS(NCAA_Bets[Date],M511,NCAA_Bets[Result],"W")&amp;"-"&amp;COUNTIFS(NCAA_Bets[Date],M511,NCAA_Bets[Result],"L")&amp;IF(COUNTIFS(NCAA_Bets[Date],M511,NCAA_Bets[Result],"Push")&gt;0,"-"&amp;COUNTIFS(NCAA_Bets[Date],M511,NCAA_Bets[Result],"Push"),"")</f>
        <v>0-0</v>
      </c>
      <c r="P511" s="90">
        <f>SUMIF(NCAA_Bets[Date],M511,NCAA_Bets[Winnings])-SUMIF(NCAA_Bets[Date],M511,NCAA_Bets[Risk])</f>
        <v>0</v>
      </c>
    </row>
    <row r="512" spans="2:16" x14ac:dyDescent="0.25">
      <c r="B512" s="101">
        <f t="shared" si="20"/>
        <v>33</v>
      </c>
      <c r="L512" s="71">
        <f t="shared" si="22"/>
        <v>0</v>
      </c>
      <c r="M512" s="71">
        <f t="shared" si="21"/>
        <v>0</v>
      </c>
      <c r="N512" s="71" t="str">
        <f>IFERROR(VLOOKUP(M512,NCAA_Bets[[Date]:[Version]],2,0),"")</f>
        <v/>
      </c>
      <c r="O512" s="94" t="str">
        <f>COUNTIFS(NCAA_Bets[Date],M512,NCAA_Bets[Result],"W")&amp;"-"&amp;COUNTIFS(NCAA_Bets[Date],M512,NCAA_Bets[Result],"L")&amp;IF(COUNTIFS(NCAA_Bets[Date],M512,NCAA_Bets[Result],"Push")&gt;0,"-"&amp;COUNTIFS(NCAA_Bets[Date],M512,NCAA_Bets[Result],"Push"),"")</f>
        <v>0-0</v>
      </c>
      <c r="P512" s="90">
        <f>SUMIF(NCAA_Bets[Date],M512,NCAA_Bets[Winnings])-SUMIF(NCAA_Bets[Date],M512,NCAA_Bets[Risk])</f>
        <v>0</v>
      </c>
    </row>
    <row r="513" spans="2:16" x14ac:dyDescent="0.25">
      <c r="B513" s="101">
        <f t="shared" si="20"/>
        <v>33</v>
      </c>
      <c r="L513" s="71">
        <f t="shared" si="22"/>
        <v>0</v>
      </c>
      <c r="M513" s="71">
        <f t="shared" si="21"/>
        <v>0</v>
      </c>
      <c r="N513" s="71" t="str">
        <f>IFERROR(VLOOKUP(M513,NCAA_Bets[[Date]:[Version]],2,0),"")</f>
        <v/>
      </c>
      <c r="O513" s="94" t="str">
        <f>COUNTIFS(NCAA_Bets[Date],M513,NCAA_Bets[Result],"W")&amp;"-"&amp;COUNTIFS(NCAA_Bets[Date],M513,NCAA_Bets[Result],"L")&amp;IF(COUNTIFS(NCAA_Bets[Date],M513,NCAA_Bets[Result],"Push")&gt;0,"-"&amp;COUNTIFS(NCAA_Bets[Date],M513,NCAA_Bets[Result],"Push"),"")</f>
        <v>0-0</v>
      </c>
      <c r="P513" s="90">
        <f>SUMIF(NCAA_Bets[Date],M513,NCAA_Bets[Winnings])-SUMIF(NCAA_Bets[Date],M513,NCAA_Bets[Risk])</f>
        <v>0</v>
      </c>
    </row>
    <row r="514" spans="2:16" x14ac:dyDescent="0.25">
      <c r="B514" s="101">
        <f t="shared" si="20"/>
        <v>33</v>
      </c>
      <c r="L514" s="71">
        <f t="shared" si="22"/>
        <v>0</v>
      </c>
      <c r="M514" s="71">
        <f t="shared" si="21"/>
        <v>0</v>
      </c>
      <c r="N514" s="71" t="str">
        <f>IFERROR(VLOOKUP(M514,NCAA_Bets[[Date]:[Version]],2,0),"")</f>
        <v/>
      </c>
      <c r="O514" s="94" t="str">
        <f>COUNTIFS(NCAA_Bets[Date],M514,NCAA_Bets[Result],"W")&amp;"-"&amp;COUNTIFS(NCAA_Bets[Date],M514,NCAA_Bets[Result],"L")&amp;IF(COUNTIFS(NCAA_Bets[Date],M514,NCAA_Bets[Result],"Push")&gt;0,"-"&amp;COUNTIFS(NCAA_Bets[Date],M514,NCAA_Bets[Result],"Push"),"")</f>
        <v>0-0</v>
      </c>
      <c r="P514" s="90">
        <f>SUMIF(NCAA_Bets[Date],M514,NCAA_Bets[Winnings])-SUMIF(NCAA_Bets[Date],M514,NCAA_Bets[Risk])</f>
        <v>0</v>
      </c>
    </row>
    <row r="515" spans="2:16" x14ac:dyDescent="0.25">
      <c r="B515" s="101">
        <f t="shared" si="20"/>
        <v>33</v>
      </c>
      <c r="L515" s="71">
        <f t="shared" si="22"/>
        <v>0</v>
      </c>
      <c r="M515" s="71">
        <f t="shared" si="21"/>
        <v>0</v>
      </c>
      <c r="N515" s="71" t="str">
        <f>IFERROR(VLOOKUP(M515,NCAA_Bets[[Date]:[Version]],2,0),"")</f>
        <v/>
      </c>
      <c r="O515" s="94" t="str">
        <f>COUNTIFS(NCAA_Bets[Date],M515,NCAA_Bets[Result],"W")&amp;"-"&amp;COUNTIFS(NCAA_Bets[Date],M515,NCAA_Bets[Result],"L")&amp;IF(COUNTIFS(NCAA_Bets[Date],M515,NCAA_Bets[Result],"Push")&gt;0,"-"&amp;COUNTIFS(NCAA_Bets[Date],M515,NCAA_Bets[Result],"Push"),"")</f>
        <v>0-0</v>
      </c>
      <c r="P515" s="90">
        <f>SUMIF(NCAA_Bets[Date],M515,NCAA_Bets[Winnings])-SUMIF(NCAA_Bets[Date],M515,NCAA_Bets[Risk])</f>
        <v>0</v>
      </c>
    </row>
    <row r="516" spans="2:16" x14ac:dyDescent="0.25">
      <c r="B516" s="101">
        <f t="shared" si="20"/>
        <v>33</v>
      </c>
      <c r="L516" s="71">
        <f t="shared" si="22"/>
        <v>0</v>
      </c>
      <c r="M516" s="71">
        <f t="shared" si="21"/>
        <v>0</v>
      </c>
      <c r="N516" s="71" t="str">
        <f>IFERROR(VLOOKUP(M516,NCAA_Bets[[Date]:[Version]],2,0),"")</f>
        <v/>
      </c>
      <c r="O516" s="94" t="str">
        <f>COUNTIFS(NCAA_Bets[Date],M516,NCAA_Bets[Result],"W")&amp;"-"&amp;COUNTIFS(NCAA_Bets[Date],M516,NCAA_Bets[Result],"L")&amp;IF(COUNTIFS(NCAA_Bets[Date],M516,NCAA_Bets[Result],"Push")&gt;0,"-"&amp;COUNTIFS(NCAA_Bets[Date],M516,NCAA_Bets[Result],"Push"),"")</f>
        <v>0-0</v>
      </c>
      <c r="P516" s="90">
        <f>SUMIF(NCAA_Bets[Date],M516,NCAA_Bets[Winnings])-SUMIF(NCAA_Bets[Date],M516,NCAA_Bets[Risk])</f>
        <v>0</v>
      </c>
    </row>
    <row r="517" spans="2:16" x14ac:dyDescent="0.25">
      <c r="B517" s="101">
        <f t="shared" si="20"/>
        <v>33</v>
      </c>
      <c r="L517" s="71">
        <f t="shared" si="22"/>
        <v>0</v>
      </c>
      <c r="M517" s="71">
        <f t="shared" si="21"/>
        <v>0</v>
      </c>
      <c r="N517" s="71" t="str">
        <f>IFERROR(VLOOKUP(M517,NCAA_Bets[[Date]:[Version]],2,0),"")</f>
        <v/>
      </c>
      <c r="O517" s="94" t="str">
        <f>COUNTIFS(NCAA_Bets[Date],M517,NCAA_Bets[Result],"W")&amp;"-"&amp;COUNTIFS(NCAA_Bets[Date],M517,NCAA_Bets[Result],"L")&amp;IF(COUNTIFS(NCAA_Bets[Date],M517,NCAA_Bets[Result],"Push")&gt;0,"-"&amp;COUNTIFS(NCAA_Bets[Date],M517,NCAA_Bets[Result],"Push"),"")</f>
        <v>0-0</v>
      </c>
      <c r="P517" s="90">
        <f>SUMIF(NCAA_Bets[Date],M517,NCAA_Bets[Winnings])-SUMIF(NCAA_Bets[Date],M517,NCAA_Bets[Risk])</f>
        <v>0</v>
      </c>
    </row>
    <row r="518" spans="2:16" x14ac:dyDescent="0.25">
      <c r="B518" s="101">
        <f t="shared" ref="B518:B581" si="23">IF(C518=C517,B517,B517+1)</f>
        <v>33</v>
      </c>
      <c r="L518" s="71">
        <f t="shared" si="22"/>
        <v>0</v>
      </c>
      <c r="M518" s="71">
        <f t="shared" si="21"/>
        <v>0</v>
      </c>
      <c r="N518" s="71" t="str">
        <f>IFERROR(VLOOKUP(M518,NCAA_Bets[[Date]:[Version]],2,0),"")</f>
        <v/>
      </c>
      <c r="O518" s="94" t="str">
        <f>COUNTIFS(NCAA_Bets[Date],M518,NCAA_Bets[Result],"W")&amp;"-"&amp;COUNTIFS(NCAA_Bets[Date],M518,NCAA_Bets[Result],"L")&amp;IF(COUNTIFS(NCAA_Bets[Date],M518,NCAA_Bets[Result],"Push")&gt;0,"-"&amp;COUNTIFS(NCAA_Bets[Date],M518,NCAA_Bets[Result],"Push"),"")</f>
        <v>0-0</v>
      </c>
      <c r="P518" s="90">
        <f>SUMIF(NCAA_Bets[Date],M518,NCAA_Bets[Winnings])-SUMIF(NCAA_Bets[Date],M518,NCAA_Bets[Risk])</f>
        <v>0</v>
      </c>
    </row>
    <row r="519" spans="2:16" x14ac:dyDescent="0.25">
      <c r="B519" s="101">
        <f t="shared" si="23"/>
        <v>33</v>
      </c>
      <c r="L519" s="71">
        <f t="shared" si="22"/>
        <v>0</v>
      </c>
      <c r="M519" s="71">
        <f t="shared" si="21"/>
        <v>0</v>
      </c>
      <c r="N519" s="71" t="str">
        <f>IFERROR(VLOOKUP(M519,NCAA_Bets[[Date]:[Version]],2,0),"")</f>
        <v/>
      </c>
      <c r="O519" s="94" t="str">
        <f>COUNTIFS(NCAA_Bets[Date],M519,NCAA_Bets[Result],"W")&amp;"-"&amp;COUNTIFS(NCAA_Bets[Date],M519,NCAA_Bets[Result],"L")&amp;IF(COUNTIFS(NCAA_Bets[Date],M519,NCAA_Bets[Result],"Push")&gt;0,"-"&amp;COUNTIFS(NCAA_Bets[Date],M519,NCAA_Bets[Result],"Push"),"")</f>
        <v>0-0</v>
      </c>
      <c r="P519" s="90">
        <f>SUMIF(NCAA_Bets[Date],M519,NCAA_Bets[Winnings])-SUMIF(NCAA_Bets[Date],M519,NCAA_Bets[Risk])</f>
        <v>0</v>
      </c>
    </row>
    <row r="520" spans="2:16" x14ac:dyDescent="0.25">
      <c r="B520" s="101">
        <f t="shared" si="23"/>
        <v>33</v>
      </c>
      <c r="L520" s="71">
        <f t="shared" si="22"/>
        <v>0</v>
      </c>
      <c r="M520" s="71">
        <f t="shared" si="21"/>
        <v>0</v>
      </c>
      <c r="N520" s="71" t="str">
        <f>IFERROR(VLOOKUP(M520,NCAA_Bets[[Date]:[Version]],2,0),"")</f>
        <v/>
      </c>
      <c r="O520" s="94" t="str">
        <f>COUNTIFS(NCAA_Bets[Date],M520,NCAA_Bets[Result],"W")&amp;"-"&amp;COUNTIFS(NCAA_Bets[Date],M520,NCAA_Bets[Result],"L")&amp;IF(COUNTIFS(NCAA_Bets[Date],M520,NCAA_Bets[Result],"Push")&gt;0,"-"&amp;COUNTIFS(NCAA_Bets[Date],M520,NCAA_Bets[Result],"Push"),"")</f>
        <v>0-0</v>
      </c>
      <c r="P520" s="90">
        <f>SUMIF(NCAA_Bets[Date],M520,NCAA_Bets[Winnings])-SUMIF(NCAA_Bets[Date],M520,NCAA_Bets[Risk])</f>
        <v>0</v>
      </c>
    </row>
    <row r="521" spans="2:16" x14ac:dyDescent="0.25">
      <c r="B521" s="101">
        <f t="shared" si="23"/>
        <v>33</v>
      </c>
      <c r="L521" s="71">
        <f t="shared" si="22"/>
        <v>0</v>
      </c>
      <c r="M521" s="71">
        <f t="shared" si="21"/>
        <v>0</v>
      </c>
      <c r="N521" s="71" t="str">
        <f>IFERROR(VLOOKUP(M521,NCAA_Bets[[Date]:[Version]],2,0),"")</f>
        <v/>
      </c>
      <c r="O521" s="94" t="str">
        <f>COUNTIFS(NCAA_Bets[Date],M521,NCAA_Bets[Result],"W")&amp;"-"&amp;COUNTIFS(NCAA_Bets[Date],M521,NCAA_Bets[Result],"L")&amp;IF(COUNTIFS(NCAA_Bets[Date],M521,NCAA_Bets[Result],"Push")&gt;0,"-"&amp;COUNTIFS(NCAA_Bets[Date],M521,NCAA_Bets[Result],"Push"),"")</f>
        <v>0-0</v>
      </c>
      <c r="P521" s="90">
        <f>SUMIF(NCAA_Bets[Date],M521,NCAA_Bets[Winnings])-SUMIF(NCAA_Bets[Date],M521,NCAA_Bets[Risk])</f>
        <v>0</v>
      </c>
    </row>
    <row r="522" spans="2:16" x14ac:dyDescent="0.25">
      <c r="B522" s="101">
        <f t="shared" si="23"/>
        <v>33</v>
      </c>
      <c r="L522" s="71">
        <f t="shared" si="22"/>
        <v>0</v>
      </c>
      <c r="M522" s="71">
        <f t="shared" si="21"/>
        <v>0</v>
      </c>
      <c r="N522" s="71" t="str">
        <f>IFERROR(VLOOKUP(M522,NCAA_Bets[[Date]:[Version]],2,0),"")</f>
        <v/>
      </c>
      <c r="O522" s="94" t="str">
        <f>COUNTIFS(NCAA_Bets[Date],M522,NCAA_Bets[Result],"W")&amp;"-"&amp;COUNTIFS(NCAA_Bets[Date],M522,NCAA_Bets[Result],"L")&amp;IF(COUNTIFS(NCAA_Bets[Date],M522,NCAA_Bets[Result],"Push")&gt;0,"-"&amp;COUNTIFS(NCAA_Bets[Date],M522,NCAA_Bets[Result],"Push"),"")</f>
        <v>0-0</v>
      </c>
      <c r="P522" s="90">
        <f>SUMIF(NCAA_Bets[Date],M522,NCAA_Bets[Winnings])-SUMIF(NCAA_Bets[Date],M522,NCAA_Bets[Risk])</f>
        <v>0</v>
      </c>
    </row>
    <row r="523" spans="2:16" x14ac:dyDescent="0.25">
      <c r="B523" s="101">
        <f t="shared" si="23"/>
        <v>33</v>
      </c>
      <c r="L523" s="71">
        <f t="shared" si="22"/>
        <v>0</v>
      </c>
      <c r="M523" s="71">
        <f t="shared" si="21"/>
        <v>0</v>
      </c>
      <c r="N523" s="71" t="str">
        <f>IFERROR(VLOOKUP(M523,NCAA_Bets[[Date]:[Version]],2,0),"")</f>
        <v/>
      </c>
      <c r="O523" s="94" t="str">
        <f>COUNTIFS(NCAA_Bets[Date],M523,NCAA_Bets[Result],"W")&amp;"-"&amp;COUNTIFS(NCAA_Bets[Date],M523,NCAA_Bets[Result],"L")&amp;IF(COUNTIFS(NCAA_Bets[Date],M523,NCAA_Bets[Result],"Push")&gt;0,"-"&amp;COUNTIFS(NCAA_Bets[Date],M523,NCAA_Bets[Result],"Push"),"")</f>
        <v>0-0</v>
      </c>
      <c r="P523" s="90">
        <f>SUMIF(NCAA_Bets[Date],M523,NCAA_Bets[Winnings])-SUMIF(NCAA_Bets[Date],M523,NCAA_Bets[Risk])</f>
        <v>0</v>
      </c>
    </row>
    <row r="524" spans="2:16" x14ac:dyDescent="0.25">
      <c r="B524" s="101">
        <f t="shared" si="23"/>
        <v>33</v>
      </c>
      <c r="L524" s="71">
        <f t="shared" si="22"/>
        <v>0</v>
      </c>
      <c r="M524" s="71">
        <f t="shared" si="21"/>
        <v>0</v>
      </c>
      <c r="N524" s="71" t="str">
        <f>IFERROR(VLOOKUP(M524,NCAA_Bets[[Date]:[Version]],2,0),"")</f>
        <v/>
      </c>
      <c r="O524" s="94" t="str">
        <f>COUNTIFS(NCAA_Bets[Date],M524,NCAA_Bets[Result],"W")&amp;"-"&amp;COUNTIFS(NCAA_Bets[Date],M524,NCAA_Bets[Result],"L")&amp;IF(COUNTIFS(NCAA_Bets[Date],M524,NCAA_Bets[Result],"Push")&gt;0,"-"&amp;COUNTIFS(NCAA_Bets[Date],M524,NCAA_Bets[Result],"Push"),"")</f>
        <v>0-0</v>
      </c>
      <c r="P524" s="90">
        <f>SUMIF(NCAA_Bets[Date],M524,NCAA_Bets[Winnings])-SUMIF(NCAA_Bets[Date],M524,NCAA_Bets[Risk])</f>
        <v>0</v>
      </c>
    </row>
    <row r="525" spans="2:16" x14ac:dyDescent="0.25">
      <c r="B525" s="101">
        <f t="shared" si="23"/>
        <v>33</v>
      </c>
      <c r="L525" s="71">
        <f t="shared" si="22"/>
        <v>0</v>
      </c>
      <c r="M525" s="71">
        <f t="shared" si="21"/>
        <v>0</v>
      </c>
      <c r="N525" s="71" t="str">
        <f>IFERROR(VLOOKUP(M525,NCAA_Bets[[Date]:[Version]],2,0),"")</f>
        <v/>
      </c>
      <c r="O525" s="94" t="str">
        <f>COUNTIFS(NCAA_Bets[Date],M525,NCAA_Bets[Result],"W")&amp;"-"&amp;COUNTIFS(NCAA_Bets[Date],M525,NCAA_Bets[Result],"L")&amp;IF(COUNTIFS(NCAA_Bets[Date],M525,NCAA_Bets[Result],"Push")&gt;0,"-"&amp;COUNTIFS(NCAA_Bets[Date],M525,NCAA_Bets[Result],"Push"),"")</f>
        <v>0-0</v>
      </c>
      <c r="P525" s="90">
        <f>SUMIF(NCAA_Bets[Date],M525,NCAA_Bets[Winnings])-SUMIF(NCAA_Bets[Date],M525,NCAA_Bets[Risk])</f>
        <v>0</v>
      </c>
    </row>
    <row r="526" spans="2:16" x14ac:dyDescent="0.25">
      <c r="B526" s="101">
        <f t="shared" si="23"/>
        <v>33</v>
      </c>
      <c r="L526" s="71">
        <f t="shared" si="22"/>
        <v>0</v>
      </c>
      <c r="M526" s="71">
        <f t="shared" si="21"/>
        <v>0</v>
      </c>
      <c r="N526" s="71" t="str">
        <f>IFERROR(VLOOKUP(M526,NCAA_Bets[[Date]:[Version]],2,0),"")</f>
        <v/>
      </c>
      <c r="O526" s="94" t="str">
        <f>COUNTIFS(NCAA_Bets[Date],M526,NCAA_Bets[Result],"W")&amp;"-"&amp;COUNTIFS(NCAA_Bets[Date],M526,NCAA_Bets[Result],"L")&amp;IF(COUNTIFS(NCAA_Bets[Date],M526,NCAA_Bets[Result],"Push")&gt;0,"-"&amp;COUNTIFS(NCAA_Bets[Date],M526,NCAA_Bets[Result],"Push"),"")</f>
        <v>0-0</v>
      </c>
      <c r="P526" s="90">
        <f>SUMIF(NCAA_Bets[Date],M526,NCAA_Bets[Winnings])-SUMIF(NCAA_Bets[Date],M526,NCAA_Bets[Risk])</f>
        <v>0</v>
      </c>
    </row>
    <row r="527" spans="2:16" x14ac:dyDescent="0.25">
      <c r="B527" s="101">
        <f t="shared" si="23"/>
        <v>33</v>
      </c>
      <c r="L527" s="71">
        <f t="shared" si="22"/>
        <v>0</v>
      </c>
      <c r="M527" s="71">
        <f t="shared" si="21"/>
        <v>0</v>
      </c>
      <c r="N527" s="71" t="str">
        <f>IFERROR(VLOOKUP(M527,NCAA_Bets[[Date]:[Version]],2,0),"")</f>
        <v/>
      </c>
      <c r="O527" s="94" t="str">
        <f>COUNTIFS(NCAA_Bets[Date],M527,NCAA_Bets[Result],"W")&amp;"-"&amp;COUNTIFS(NCAA_Bets[Date],M527,NCAA_Bets[Result],"L")&amp;IF(COUNTIFS(NCAA_Bets[Date],M527,NCAA_Bets[Result],"Push")&gt;0,"-"&amp;COUNTIFS(NCAA_Bets[Date],M527,NCAA_Bets[Result],"Push"),"")</f>
        <v>0-0</v>
      </c>
      <c r="P527" s="90">
        <f>SUMIF(NCAA_Bets[Date],M527,NCAA_Bets[Winnings])-SUMIF(NCAA_Bets[Date],M527,NCAA_Bets[Risk])</f>
        <v>0</v>
      </c>
    </row>
    <row r="528" spans="2:16" x14ac:dyDescent="0.25">
      <c r="B528" s="101">
        <f t="shared" si="23"/>
        <v>33</v>
      </c>
      <c r="L528" s="71">
        <f t="shared" si="22"/>
        <v>0</v>
      </c>
      <c r="M528" s="71">
        <f t="shared" si="21"/>
        <v>0</v>
      </c>
      <c r="N528" s="71" t="str">
        <f>IFERROR(VLOOKUP(M528,NCAA_Bets[[Date]:[Version]],2,0),"")</f>
        <v/>
      </c>
      <c r="O528" s="94" t="str">
        <f>COUNTIFS(NCAA_Bets[Date],M528,NCAA_Bets[Result],"W")&amp;"-"&amp;COUNTIFS(NCAA_Bets[Date],M528,NCAA_Bets[Result],"L")&amp;IF(COUNTIFS(NCAA_Bets[Date],M528,NCAA_Bets[Result],"Push")&gt;0,"-"&amp;COUNTIFS(NCAA_Bets[Date],M528,NCAA_Bets[Result],"Push"),"")</f>
        <v>0-0</v>
      </c>
      <c r="P528" s="90">
        <f>SUMIF(NCAA_Bets[Date],M528,NCAA_Bets[Winnings])-SUMIF(NCAA_Bets[Date],M528,NCAA_Bets[Risk])</f>
        <v>0</v>
      </c>
    </row>
    <row r="529" spans="2:16" x14ac:dyDescent="0.25">
      <c r="B529" s="101">
        <f t="shared" si="23"/>
        <v>33</v>
      </c>
      <c r="L529" s="71">
        <f t="shared" si="22"/>
        <v>0</v>
      </c>
      <c r="M529" s="71">
        <f t="shared" si="21"/>
        <v>0</v>
      </c>
      <c r="N529" s="71" t="str">
        <f>IFERROR(VLOOKUP(M529,NCAA_Bets[[Date]:[Version]],2,0),"")</f>
        <v/>
      </c>
      <c r="O529" s="94" t="str">
        <f>COUNTIFS(NCAA_Bets[Date],M529,NCAA_Bets[Result],"W")&amp;"-"&amp;COUNTIFS(NCAA_Bets[Date],M529,NCAA_Bets[Result],"L")&amp;IF(COUNTIFS(NCAA_Bets[Date],M529,NCAA_Bets[Result],"Push")&gt;0,"-"&amp;COUNTIFS(NCAA_Bets[Date],M529,NCAA_Bets[Result],"Push"),"")</f>
        <v>0-0</v>
      </c>
      <c r="P529" s="90">
        <f>SUMIF(NCAA_Bets[Date],M529,NCAA_Bets[Winnings])-SUMIF(NCAA_Bets[Date],M529,NCAA_Bets[Risk])</f>
        <v>0</v>
      </c>
    </row>
    <row r="530" spans="2:16" x14ac:dyDescent="0.25">
      <c r="B530" s="101">
        <f t="shared" si="23"/>
        <v>33</v>
      </c>
      <c r="L530" s="71">
        <f t="shared" si="22"/>
        <v>0</v>
      </c>
      <c r="M530" s="71">
        <f t="shared" si="21"/>
        <v>0</v>
      </c>
      <c r="N530" s="71" t="str">
        <f>IFERROR(VLOOKUP(M530,NCAA_Bets[[Date]:[Version]],2,0),"")</f>
        <v/>
      </c>
      <c r="O530" s="94" t="str">
        <f>COUNTIFS(NCAA_Bets[Date],M530,NCAA_Bets[Result],"W")&amp;"-"&amp;COUNTIFS(NCAA_Bets[Date],M530,NCAA_Bets[Result],"L")&amp;IF(COUNTIFS(NCAA_Bets[Date],M530,NCAA_Bets[Result],"Push")&gt;0,"-"&amp;COUNTIFS(NCAA_Bets[Date],M530,NCAA_Bets[Result],"Push"),"")</f>
        <v>0-0</v>
      </c>
      <c r="P530" s="90">
        <f>SUMIF(NCAA_Bets[Date],M530,NCAA_Bets[Winnings])-SUMIF(NCAA_Bets[Date],M530,NCAA_Bets[Risk])</f>
        <v>0</v>
      </c>
    </row>
    <row r="531" spans="2:16" x14ac:dyDescent="0.25">
      <c r="B531" s="101">
        <f t="shared" si="23"/>
        <v>33</v>
      </c>
      <c r="L531" s="71">
        <f t="shared" si="22"/>
        <v>0</v>
      </c>
      <c r="M531" s="71">
        <f t="shared" si="21"/>
        <v>0</v>
      </c>
      <c r="N531" s="71" t="str">
        <f>IFERROR(VLOOKUP(M531,NCAA_Bets[[Date]:[Version]],2,0),"")</f>
        <v/>
      </c>
      <c r="O531" s="94" t="str">
        <f>COUNTIFS(NCAA_Bets[Date],M531,NCAA_Bets[Result],"W")&amp;"-"&amp;COUNTIFS(NCAA_Bets[Date],M531,NCAA_Bets[Result],"L")&amp;IF(COUNTIFS(NCAA_Bets[Date],M531,NCAA_Bets[Result],"Push")&gt;0,"-"&amp;COUNTIFS(NCAA_Bets[Date],M531,NCAA_Bets[Result],"Push"),"")</f>
        <v>0-0</v>
      </c>
      <c r="P531" s="90">
        <f>SUMIF(NCAA_Bets[Date],M531,NCAA_Bets[Winnings])-SUMIF(NCAA_Bets[Date],M531,NCAA_Bets[Risk])</f>
        <v>0</v>
      </c>
    </row>
    <row r="532" spans="2:16" x14ac:dyDescent="0.25">
      <c r="B532" s="101">
        <f t="shared" si="23"/>
        <v>33</v>
      </c>
      <c r="L532" s="71">
        <f t="shared" si="22"/>
        <v>0</v>
      </c>
      <c r="M532" s="71">
        <f t="shared" si="21"/>
        <v>0</v>
      </c>
      <c r="N532" s="71" t="str">
        <f>IFERROR(VLOOKUP(M532,NCAA_Bets[[Date]:[Version]],2,0),"")</f>
        <v/>
      </c>
      <c r="O532" s="94" t="str">
        <f>COUNTIFS(NCAA_Bets[Date],M532,NCAA_Bets[Result],"W")&amp;"-"&amp;COUNTIFS(NCAA_Bets[Date],M532,NCAA_Bets[Result],"L")&amp;IF(COUNTIFS(NCAA_Bets[Date],M532,NCAA_Bets[Result],"Push")&gt;0,"-"&amp;COUNTIFS(NCAA_Bets[Date],M532,NCAA_Bets[Result],"Push"),"")</f>
        <v>0-0</v>
      </c>
      <c r="P532" s="90">
        <f>SUMIF(NCAA_Bets[Date],M532,NCAA_Bets[Winnings])-SUMIF(NCAA_Bets[Date],M532,NCAA_Bets[Risk])</f>
        <v>0</v>
      </c>
    </row>
    <row r="533" spans="2:16" x14ac:dyDescent="0.25">
      <c r="B533" s="101">
        <f t="shared" si="23"/>
        <v>33</v>
      </c>
      <c r="L533" s="71">
        <f t="shared" si="22"/>
        <v>0</v>
      </c>
      <c r="M533" s="71">
        <f t="shared" si="21"/>
        <v>0</v>
      </c>
      <c r="N533" s="71" t="str">
        <f>IFERROR(VLOOKUP(M533,NCAA_Bets[[Date]:[Version]],2,0),"")</f>
        <v/>
      </c>
      <c r="O533" s="94" t="str">
        <f>COUNTIFS(NCAA_Bets[Date],M533,NCAA_Bets[Result],"W")&amp;"-"&amp;COUNTIFS(NCAA_Bets[Date],M533,NCAA_Bets[Result],"L")&amp;IF(COUNTIFS(NCAA_Bets[Date],M533,NCAA_Bets[Result],"Push")&gt;0,"-"&amp;COUNTIFS(NCAA_Bets[Date],M533,NCAA_Bets[Result],"Push"),"")</f>
        <v>0-0</v>
      </c>
      <c r="P533" s="90">
        <f>SUMIF(NCAA_Bets[Date],M533,NCAA_Bets[Winnings])-SUMIF(NCAA_Bets[Date],M533,NCAA_Bets[Risk])</f>
        <v>0</v>
      </c>
    </row>
    <row r="534" spans="2:16" x14ac:dyDescent="0.25">
      <c r="B534" s="101">
        <f t="shared" si="23"/>
        <v>33</v>
      </c>
      <c r="L534" s="71">
        <f t="shared" si="22"/>
        <v>0</v>
      </c>
      <c r="M534" s="71">
        <f t="shared" si="21"/>
        <v>0</v>
      </c>
      <c r="N534" s="71" t="str">
        <f>IFERROR(VLOOKUP(M534,NCAA_Bets[[Date]:[Version]],2,0),"")</f>
        <v/>
      </c>
      <c r="O534" s="94" t="str">
        <f>COUNTIFS(NCAA_Bets[Date],M534,NCAA_Bets[Result],"W")&amp;"-"&amp;COUNTIFS(NCAA_Bets[Date],M534,NCAA_Bets[Result],"L")&amp;IF(COUNTIFS(NCAA_Bets[Date],M534,NCAA_Bets[Result],"Push")&gt;0,"-"&amp;COUNTIFS(NCAA_Bets[Date],M534,NCAA_Bets[Result],"Push"),"")</f>
        <v>0-0</v>
      </c>
      <c r="P534" s="90">
        <f>SUMIF(NCAA_Bets[Date],M534,NCAA_Bets[Winnings])-SUMIF(NCAA_Bets[Date],M534,NCAA_Bets[Risk])</f>
        <v>0</v>
      </c>
    </row>
    <row r="535" spans="2:16" x14ac:dyDescent="0.25">
      <c r="B535" s="101">
        <f t="shared" si="23"/>
        <v>33</v>
      </c>
      <c r="L535" s="71">
        <f t="shared" si="22"/>
        <v>0</v>
      </c>
      <c r="M535" s="71">
        <f t="shared" si="21"/>
        <v>0</v>
      </c>
      <c r="N535" s="71" t="str">
        <f>IFERROR(VLOOKUP(M535,NCAA_Bets[[Date]:[Version]],2,0),"")</f>
        <v/>
      </c>
      <c r="O535" s="94" t="str">
        <f>COUNTIFS(NCAA_Bets[Date],M535,NCAA_Bets[Result],"W")&amp;"-"&amp;COUNTIFS(NCAA_Bets[Date],M535,NCAA_Bets[Result],"L")&amp;IF(COUNTIFS(NCAA_Bets[Date],M535,NCAA_Bets[Result],"Push")&gt;0,"-"&amp;COUNTIFS(NCAA_Bets[Date],M535,NCAA_Bets[Result],"Push"),"")</f>
        <v>0-0</v>
      </c>
      <c r="P535" s="90">
        <f>SUMIF(NCAA_Bets[Date],M535,NCAA_Bets[Winnings])-SUMIF(NCAA_Bets[Date],M535,NCAA_Bets[Risk])</f>
        <v>0</v>
      </c>
    </row>
    <row r="536" spans="2:16" x14ac:dyDescent="0.25">
      <c r="B536" s="101">
        <f t="shared" si="23"/>
        <v>33</v>
      </c>
      <c r="L536" s="71">
        <f t="shared" si="22"/>
        <v>0</v>
      </c>
      <c r="M536" s="71">
        <f t="shared" si="21"/>
        <v>0</v>
      </c>
      <c r="N536" s="71" t="str">
        <f>IFERROR(VLOOKUP(M536,NCAA_Bets[[Date]:[Version]],2,0),"")</f>
        <v/>
      </c>
      <c r="O536" s="94" t="str">
        <f>COUNTIFS(NCAA_Bets[Date],M536,NCAA_Bets[Result],"W")&amp;"-"&amp;COUNTIFS(NCAA_Bets[Date],M536,NCAA_Bets[Result],"L")&amp;IF(COUNTIFS(NCAA_Bets[Date],M536,NCAA_Bets[Result],"Push")&gt;0,"-"&amp;COUNTIFS(NCAA_Bets[Date],M536,NCAA_Bets[Result],"Push"),"")</f>
        <v>0-0</v>
      </c>
      <c r="P536" s="90">
        <f>SUMIF(NCAA_Bets[Date],M536,NCAA_Bets[Winnings])-SUMIF(NCAA_Bets[Date],M536,NCAA_Bets[Risk])</f>
        <v>0</v>
      </c>
    </row>
    <row r="537" spans="2:16" x14ac:dyDescent="0.25">
      <c r="B537" s="101">
        <f t="shared" si="23"/>
        <v>33</v>
      </c>
      <c r="L537" s="71">
        <f t="shared" si="22"/>
        <v>0</v>
      </c>
      <c r="M537" s="71">
        <f t="shared" si="21"/>
        <v>0</v>
      </c>
      <c r="N537" s="71" t="str">
        <f>IFERROR(VLOOKUP(M537,NCAA_Bets[[Date]:[Version]],2,0),"")</f>
        <v/>
      </c>
      <c r="O537" s="94" t="str">
        <f>COUNTIFS(NCAA_Bets[Date],M537,NCAA_Bets[Result],"W")&amp;"-"&amp;COUNTIFS(NCAA_Bets[Date],M537,NCAA_Bets[Result],"L")&amp;IF(COUNTIFS(NCAA_Bets[Date],M537,NCAA_Bets[Result],"Push")&gt;0,"-"&amp;COUNTIFS(NCAA_Bets[Date],M537,NCAA_Bets[Result],"Push"),"")</f>
        <v>0-0</v>
      </c>
      <c r="P537" s="90">
        <f>SUMIF(NCAA_Bets[Date],M537,NCAA_Bets[Winnings])-SUMIF(NCAA_Bets[Date],M537,NCAA_Bets[Risk])</f>
        <v>0</v>
      </c>
    </row>
    <row r="538" spans="2:16" x14ac:dyDescent="0.25">
      <c r="B538" s="101">
        <f t="shared" si="23"/>
        <v>33</v>
      </c>
      <c r="L538" s="71">
        <f t="shared" si="22"/>
        <v>0</v>
      </c>
      <c r="M538" s="71">
        <f t="shared" ref="M538:M601" si="24">IFERROR(VLOOKUP(ROW()-4,B:C,2,0),0)</f>
        <v>0</v>
      </c>
      <c r="N538" s="71" t="str">
        <f>IFERROR(VLOOKUP(M538,NCAA_Bets[[Date]:[Version]],2,0),"")</f>
        <v/>
      </c>
      <c r="O538" s="94" t="str">
        <f>COUNTIFS(NCAA_Bets[Date],M538,NCAA_Bets[Result],"W")&amp;"-"&amp;COUNTIFS(NCAA_Bets[Date],M538,NCAA_Bets[Result],"L")&amp;IF(COUNTIFS(NCAA_Bets[Date],M538,NCAA_Bets[Result],"Push")&gt;0,"-"&amp;COUNTIFS(NCAA_Bets[Date],M538,NCAA_Bets[Result],"Push"),"")</f>
        <v>0-0</v>
      </c>
      <c r="P538" s="90">
        <f>SUMIF(NCAA_Bets[Date],M538,NCAA_Bets[Winnings])-SUMIF(NCAA_Bets[Date],M538,NCAA_Bets[Risk])</f>
        <v>0</v>
      </c>
    </row>
    <row r="539" spans="2:16" x14ac:dyDescent="0.25">
      <c r="B539" s="101">
        <f t="shared" si="23"/>
        <v>33</v>
      </c>
      <c r="L539" s="71">
        <f t="shared" si="22"/>
        <v>0</v>
      </c>
      <c r="M539" s="71">
        <f t="shared" si="24"/>
        <v>0</v>
      </c>
      <c r="N539" s="71" t="str">
        <f>IFERROR(VLOOKUP(M539,NCAA_Bets[[Date]:[Version]],2,0),"")</f>
        <v/>
      </c>
      <c r="O539" s="94" t="str">
        <f>COUNTIFS(NCAA_Bets[Date],M539,NCAA_Bets[Result],"W")&amp;"-"&amp;COUNTIFS(NCAA_Bets[Date],M539,NCAA_Bets[Result],"L")&amp;IF(COUNTIFS(NCAA_Bets[Date],M539,NCAA_Bets[Result],"Push")&gt;0,"-"&amp;COUNTIFS(NCAA_Bets[Date],M539,NCAA_Bets[Result],"Push"),"")</f>
        <v>0-0</v>
      </c>
      <c r="P539" s="90">
        <f>SUMIF(NCAA_Bets[Date],M539,NCAA_Bets[Winnings])-SUMIF(NCAA_Bets[Date],M539,NCAA_Bets[Risk])</f>
        <v>0</v>
      </c>
    </row>
    <row r="540" spans="2:16" x14ac:dyDescent="0.25">
      <c r="B540" s="101">
        <f t="shared" si="23"/>
        <v>33</v>
      </c>
      <c r="L540" s="71">
        <f t="shared" si="22"/>
        <v>0</v>
      </c>
      <c r="M540" s="71">
        <f t="shared" si="24"/>
        <v>0</v>
      </c>
      <c r="N540" s="71" t="str">
        <f>IFERROR(VLOOKUP(M540,NCAA_Bets[[Date]:[Version]],2,0),"")</f>
        <v/>
      </c>
      <c r="O540" s="94" t="str">
        <f>COUNTIFS(NCAA_Bets[Date],M540,NCAA_Bets[Result],"W")&amp;"-"&amp;COUNTIFS(NCAA_Bets[Date],M540,NCAA_Bets[Result],"L")&amp;IF(COUNTIFS(NCAA_Bets[Date],M540,NCAA_Bets[Result],"Push")&gt;0,"-"&amp;COUNTIFS(NCAA_Bets[Date],M540,NCAA_Bets[Result],"Push"),"")</f>
        <v>0-0</v>
      </c>
      <c r="P540" s="90">
        <f>SUMIF(NCAA_Bets[Date],M540,NCAA_Bets[Winnings])-SUMIF(NCAA_Bets[Date],M540,NCAA_Bets[Risk])</f>
        <v>0</v>
      </c>
    </row>
    <row r="541" spans="2:16" x14ac:dyDescent="0.25">
      <c r="B541" s="101">
        <f t="shared" si="23"/>
        <v>33</v>
      </c>
      <c r="L541" s="71">
        <f t="shared" si="22"/>
        <v>0</v>
      </c>
      <c r="M541" s="71">
        <f t="shared" si="24"/>
        <v>0</v>
      </c>
      <c r="N541" s="71" t="str">
        <f>IFERROR(VLOOKUP(M541,NCAA_Bets[[Date]:[Version]],2,0),"")</f>
        <v/>
      </c>
      <c r="O541" s="94" t="str">
        <f>COUNTIFS(NCAA_Bets[Date],M541,NCAA_Bets[Result],"W")&amp;"-"&amp;COUNTIFS(NCAA_Bets[Date],M541,NCAA_Bets[Result],"L")&amp;IF(COUNTIFS(NCAA_Bets[Date],M541,NCAA_Bets[Result],"Push")&gt;0,"-"&amp;COUNTIFS(NCAA_Bets[Date],M541,NCAA_Bets[Result],"Push"),"")</f>
        <v>0-0</v>
      </c>
      <c r="P541" s="90">
        <f>SUMIF(NCAA_Bets[Date],M541,NCAA_Bets[Winnings])-SUMIF(NCAA_Bets[Date],M541,NCAA_Bets[Risk])</f>
        <v>0</v>
      </c>
    </row>
    <row r="542" spans="2:16" x14ac:dyDescent="0.25">
      <c r="B542" s="101">
        <f t="shared" si="23"/>
        <v>33</v>
      </c>
      <c r="L542" s="71">
        <f t="shared" si="22"/>
        <v>0</v>
      </c>
      <c r="M542" s="71">
        <f t="shared" si="24"/>
        <v>0</v>
      </c>
      <c r="N542" s="71" t="str">
        <f>IFERROR(VLOOKUP(M542,NCAA_Bets[[Date]:[Version]],2,0),"")</f>
        <v/>
      </c>
      <c r="O542" s="94" t="str">
        <f>COUNTIFS(NCAA_Bets[Date],M542,NCAA_Bets[Result],"W")&amp;"-"&amp;COUNTIFS(NCAA_Bets[Date],M542,NCAA_Bets[Result],"L")&amp;IF(COUNTIFS(NCAA_Bets[Date],M542,NCAA_Bets[Result],"Push")&gt;0,"-"&amp;COUNTIFS(NCAA_Bets[Date],M542,NCAA_Bets[Result],"Push"),"")</f>
        <v>0-0</v>
      </c>
      <c r="P542" s="90">
        <f>SUMIF(NCAA_Bets[Date],M542,NCAA_Bets[Winnings])-SUMIF(NCAA_Bets[Date],M542,NCAA_Bets[Risk])</f>
        <v>0</v>
      </c>
    </row>
    <row r="543" spans="2:16" x14ac:dyDescent="0.25">
      <c r="B543" s="101">
        <f t="shared" si="23"/>
        <v>33</v>
      </c>
      <c r="L543" s="71">
        <f t="shared" si="22"/>
        <v>0</v>
      </c>
      <c r="M543" s="71">
        <f t="shared" si="24"/>
        <v>0</v>
      </c>
      <c r="N543" s="71" t="str">
        <f>IFERROR(VLOOKUP(M543,NCAA_Bets[[Date]:[Version]],2,0),"")</f>
        <v/>
      </c>
      <c r="O543" s="94" t="str">
        <f>COUNTIFS(NCAA_Bets[Date],M543,NCAA_Bets[Result],"W")&amp;"-"&amp;COUNTIFS(NCAA_Bets[Date],M543,NCAA_Bets[Result],"L")&amp;IF(COUNTIFS(NCAA_Bets[Date],M543,NCAA_Bets[Result],"Push")&gt;0,"-"&amp;COUNTIFS(NCAA_Bets[Date],M543,NCAA_Bets[Result],"Push"),"")</f>
        <v>0-0</v>
      </c>
      <c r="P543" s="90">
        <f>SUMIF(NCAA_Bets[Date],M543,NCAA_Bets[Winnings])-SUMIF(NCAA_Bets[Date],M543,NCAA_Bets[Risk])</f>
        <v>0</v>
      </c>
    </row>
    <row r="544" spans="2:16" x14ac:dyDescent="0.25">
      <c r="B544" s="101">
        <f t="shared" si="23"/>
        <v>33</v>
      </c>
      <c r="L544" s="71">
        <f t="shared" si="22"/>
        <v>0</v>
      </c>
      <c r="M544" s="71">
        <f t="shared" si="24"/>
        <v>0</v>
      </c>
      <c r="N544" s="71" t="str">
        <f>IFERROR(VLOOKUP(M544,NCAA_Bets[[Date]:[Version]],2,0),"")</f>
        <v/>
      </c>
      <c r="O544" s="94" t="str">
        <f>COUNTIFS(NCAA_Bets[Date],M544,NCAA_Bets[Result],"W")&amp;"-"&amp;COUNTIFS(NCAA_Bets[Date],M544,NCAA_Bets[Result],"L")&amp;IF(COUNTIFS(NCAA_Bets[Date],M544,NCAA_Bets[Result],"Push")&gt;0,"-"&amp;COUNTIFS(NCAA_Bets[Date],M544,NCAA_Bets[Result],"Push"),"")</f>
        <v>0-0</v>
      </c>
      <c r="P544" s="90">
        <f>SUMIF(NCAA_Bets[Date],M544,NCAA_Bets[Winnings])-SUMIF(NCAA_Bets[Date],M544,NCAA_Bets[Risk])</f>
        <v>0</v>
      </c>
    </row>
    <row r="545" spans="2:16" x14ac:dyDescent="0.25">
      <c r="B545" s="101">
        <f t="shared" si="23"/>
        <v>33</v>
      </c>
      <c r="L545" s="71">
        <f t="shared" si="22"/>
        <v>0</v>
      </c>
      <c r="M545" s="71">
        <f t="shared" si="24"/>
        <v>0</v>
      </c>
      <c r="N545" s="71" t="str">
        <f>IFERROR(VLOOKUP(M545,NCAA_Bets[[Date]:[Version]],2,0),"")</f>
        <v/>
      </c>
      <c r="O545" s="94" t="str">
        <f>COUNTIFS(NCAA_Bets[Date],M545,NCAA_Bets[Result],"W")&amp;"-"&amp;COUNTIFS(NCAA_Bets[Date],M545,NCAA_Bets[Result],"L")&amp;IF(COUNTIFS(NCAA_Bets[Date],M545,NCAA_Bets[Result],"Push")&gt;0,"-"&amp;COUNTIFS(NCAA_Bets[Date],M545,NCAA_Bets[Result],"Push"),"")</f>
        <v>0-0</v>
      </c>
      <c r="P545" s="90">
        <f>SUMIF(NCAA_Bets[Date],M545,NCAA_Bets[Winnings])-SUMIF(NCAA_Bets[Date],M545,NCAA_Bets[Risk])</f>
        <v>0</v>
      </c>
    </row>
    <row r="546" spans="2:16" x14ac:dyDescent="0.25">
      <c r="B546" s="101">
        <f t="shared" si="23"/>
        <v>33</v>
      </c>
      <c r="L546" s="71">
        <f t="shared" si="22"/>
        <v>0</v>
      </c>
      <c r="M546" s="71">
        <f t="shared" si="24"/>
        <v>0</v>
      </c>
      <c r="N546" s="71" t="str">
        <f>IFERROR(VLOOKUP(M546,NCAA_Bets[[Date]:[Version]],2,0),"")</f>
        <v/>
      </c>
      <c r="O546" s="94" t="str">
        <f>COUNTIFS(NCAA_Bets[Date],M546,NCAA_Bets[Result],"W")&amp;"-"&amp;COUNTIFS(NCAA_Bets[Date],M546,NCAA_Bets[Result],"L")&amp;IF(COUNTIFS(NCAA_Bets[Date],M546,NCAA_Bets[Result],"Push")&gt;0,"-"&amp;COUNTIFS(NCAA_Bets[Date],M546,NCAA_Bets[Result],"Push"),"")</f>
        <v>0-0</v>
      </c>
      <c r="P546" s="90">
        <f>SUMIF(NCAA_Bets[Date],M546,NCAA_Bets[Winnings])-SUMIF(NCAA_Bets[Date],M546,NCAA_Bets[Risk])</f>
        <v>0</v>
      </c>
    </row>
    <row r="547" spans="2:16" x14ac:dyDescent="0.25">
      <c r="B547" s="101">
        <f t="shared" si="23"/>
        <v>33</v>
      </c>
      <c r="L547" s="71">
        <f t="shared" si="22"/>
        <v>0</v>
      </c>
      <c r="M547" s="71">
        <f t="shared" si="24"/>
        <v>0</v>
      </c>
      <c r="N547" s="71" t="str">
        <f>IFERROR(VLOOKUP(M547,NCAA_Bets[[Date]:[Version]],2,0),"")</f>
        <v/>
      </c>
      <c r="O547" s="94" t="str">
        <f>COUNTIFS(NCAA_Bets[Date],M547,NCAA_Bets[Result],"W")&amp;"-"&amp;COUNTIFS(NCAA_Bets[Date],M547,NCAA_Bets[Result],"L")&amp;IF(COUNTIFS(NCAA_Bets[Date],M547,NCAA_Bets[Result],"Push")&gt;0,"-"&amp;COUNTIFS(NCAA_Bets[Date],M547,NCAA_Bets[Result],"Push"),"")</f>
        <v>0-0</v>
      </c>
      <c r="P547" s="90">
        <f>SUMIF(NCAA_Bets[Date],M547,NCAA_Bets[Winnings])-SUMIF(NCAA_Bets[Date],M547,NCAA_Bets[Risk])</f>
        <v>0</v>
      </c>
    </row>
    <row r="548" spans="2:16" x14ac:dyDescent="0.25">
      <c r="B548" s="101">
        <f t="shared" si="23"/>
        <v>33</v>
      </c>
      <c r="L548" s="71">
        <f t="shared" ref="L548:L611" si="25">IFERROR(VLOOKUP(ROW()-4,B:C,2,0),0)</f>
        <v>0</v>
      </c>
      <c r="M548" s="71">
        <f t="shared" si="24"/>
        <v>0</v>
      </c>
      <c r="N548" s="71" t="str">
        <f>IFERROR(VLOOKUP(M548,NCAA_Bets[[Date]:[Version]],2,0),"")</f>
        <v/>
      </c>
      <c r="O548" s="94" t="str">
        <f>COUNTIFS(NCAA_Bets[Date],M548,NCAA_Bets[Result],"W")&amp;"-"&amp;COUNTIFS(NCAA_Bets[Date],M548,NCAA_Bets[Result],"L")&amp;IF(COUNTIFS(NCAA_Bets[Date],M548,NCAA_Bets[Result],"Push")&gt;0,"-"&amp;COUNTIFS(NCAA_Bets[Date],M548,NCAA_Bets[Result],"Push"),"")</f>
        <v>0-0</v>
      </c>
      <c r="P548" s="90">
        <f>SUMIF(NCAA_Bets[Date],M548,NCAA_Bets[Winnings])-SUMIF(NCAA_Bets[Date],M548,NCAA_Bets[Risk])</f>
        <v>0</v>
      </c>
    </row>
    <row r="549" spans="2:16" x14ac:dyDescent="0.25">
      <c r="B549" s="101">
        <f t="shared" si="23"/>
        <v>33</v>
      </c>
      <c r="L549" s="71">
        <f t="shared" si="25"/>
        <v>0</v>
      </c>
      <c r="M549" s="71">
        <f t="shared" si="24"/>
        <v>0</v>
      </c>
      <c r="N549" s="71" t="str">
        <f>IFERROR(VLOOKUP(M549,NCAA_Bets[[Date]:[Version]],2,0),"")</f>
        <v/>
      </c>
      <c r="O549" s="94" t="str">
        <f>COUNTIFS(NCAA_Bets[Date],M549,NCAA_Bets[Result],"W")&amp;"-"&amp;COUNTIFS(NCAA_Bets[Date],M549,NCAA_Bets[Result],"L")&amp;IF(COUNTIFS(NCAA_Bets[Date],M549,NCAA_Bets[Result],"Push")&gt;0,"-"&amp;COUNTIFS(NCAA_Bets[Date],M549,NCAA_Bets[Result],"Push"),"")</f>
        <v>0-0</v>
      </c>
      <c r="P549" s="90">
        <f>SUMIF(NCAA_Bets[Date],M549,NCAA_Bets[Winnings])-SUMIF(NCAA_Bets[Date],M549,NCAA_Bets[Risk])</f>
        <v>0</v>
      </c>
    </row>
    <row r="550" spans="2:16" x14ac:dyDescent="0.25">
      <c r="B550" s="101">
        <f t="shared" si="23"/>
        <v>33</v>
      </c>
      <c r="L550" s="71">
        <f t="shared" si="25"/>
        <v>0</v>
      </c>
      <c r="M550" s="71">
        <f t="shared" si="24"/>
        <v>0</v>
      </c>
      <c r="N550" s="71" t="str">
        <f>IFERROR(VLOOKUP(M550,NCAA_Bets[[Date]:[Version]],2,0),"")</f>
        <v/>
      </c>
      <c r="O550" s="94" t="str">
        <f>COUNTIFS(NCAA_Bets[Date],M550,NCAA_Bets[Result],"W")&amp;"-"&amp;COUNTIFS(NCAA_Bets[Date],M550,NCAA_Bets[Result],"L")&amp;IF(COUNTIFS(NCAA_Bets[Date],M550,NCAA_Bets[Result],"Push")&gt;0,"-"&amp;COUNTIFS(NCAA_Bets[Date],M550,NCAA_Bets[Result],"Push"),"")</f>
        <v>0-0</v>
      </c>
      <c r="P550" s="90">
        <f>SUMIF(NCAA_Bets[Date],M550,NCAA_Bets[Winnings])-SUMIF(NCAA_Bets[Date],M550,NCAA_Bets[Risk])</f>
        <v>0</v>
      </c>
    </row>
    <row r="551" spans="2:16" x14ac:dyDescent="0.25">
      <c r="B551" s="101">
        <f t="shared" si="23"/>
        <v>33</v>
      </c>
      <c r="L551" s="71">
        <f t="shared" si="25"/>
        <v>0</v>
      </c>
      <c r="M551" s="71">
        <f t="shared" si="24"/>
        <v>0</v>
      </c>
      <c r="N551" s="71" t="str">
        <f>IFERROR(VLOOKUP(M551,NCAA_Bets[[Date]:[Version]],2,0),"")</f>
        <v/>
      </c>
      <c r="O551" s="94" t="str">
        <f>COUNTIFS(NCAA_Bets[Date],M551,NCAA_Bets[Result],"W")&amp;"-"&amp;COUNTIFS(NCAA_Bets[Date],M551,NCAA_Bets[Result],"L")&amp;IF(COUNTIFS(NCAA_Bets[Date],M551,NCAA_Bets[Result],"Push")&gt;0,"-"&amp;COUNTIFS(NCAA_Bets[Date],M551,NCAA_Bets[Result],"Push"),"")</f>
        <v>0-0</v>
      </c>
      <c r="P551" s="90">
        <f>SUMIF(NCAA_Bets[Date],M551,NCAA_Bets[Winnings])-SUMIF(NCAA_Bets[Date],M551,NCAA_Bets[Risk])</f>
        <v>0</v>
      </c>
    </row>
    <row r="552" spans="2:16" x14ac:dyDescent="0.25">
      <c r="B552" s="101">
        <f t="shared" si="23"/>
        <v>33</v>
      </c>
      <c r="L552" s="71">
        <f t="shared" si="25"/>
        <v>0</v>
      </c>
      <c r="M552" s="71">
        <f t="shared" si="24"/>
        <v>0</v>
      </c>
      <c r="N552" s="71" t="str">
        <f>IFERROR(VLOOKUP(M552,NCAA_Bets[[Date]:[Version]],2,0),"")</f>
        <v/>
      </c>
      <c r="O552" s="94" t="str">
        <f>COUNTIFS(NCAA_Bets[Date],M552,NCAA_Bets[Result],"W")&amp;"-"&amp;COUNTIFS(NCAA_Bets[Date],M552,NCAA_Bets[Result],"L")&amp;IF(COUNTIFS(NCAA_Bets[Date],M552,NCAA_Bets[Result],"Push")&gt;0,"-"&amp;COUNTIFS(NCAA_Bets[Date],M552,NCAA_Bets[Result],"Push"),"")</f>
        <v>0-0</v>
      </c>
      <c r="P552" s="90">
        <f>SUMIF(NCAA_Bets[Date],M552,NCAA_Bets[Winnings])-SUMIF(NCAA_Bets[Date],M552,NCAA_Bets[Risk])</f>
        <v>0</v>
      </c>
    </row>
    <row r="553" spans="2:16" x14ac:dyDescent="0.25">
      <c r="B553" s="101">
        <f t="shared" si="23"/>
        <v>33</v>
      </c>
      <c r="L553" s="71">
        <f t="shared" si="25"/>
        <v>0</v>
      </c>
      <c r="M553" s="71">
        <f t="shared" si="24"/>
        <v>0</v>
      </c>
      <c r="N553" s="71" t="str">
        <f>IFERROR(VLOOKUP(M553,NCAA_Bets[[Date]:[Version]],2,0),"")</f>
        <v/>
      </c>
      <c r="O553" s="94" t="str">
        <f>COUNTIFS(NCAA_Bets[Date],M553,NCAA_Bets[Result],"W")&amp;"-"&amp;COUNTIFS(NCAA_Bets[Date],M553,NCAA_Bets[Result],"L")&amp;IF(COUNTIFS(NCAA_Bets[Date],M553,NCAA_Bets[Result],"Push")&gt;0,"-"&amp;COUNTIFS(NCAA_Bets[Date],M553,NCAA_Bets[Result],"Push"),"")</f>
        <v>0-0</v>
      </c>
      <c r="P553" s="90">
        <f>SUMIF(NCAA_Bets[Date],M553,NCAA_Bets[Winnings])-SUMIF(NCAA_Bets[Date],M553,NCAA_Bets[Risk])</f>
        <v>0</v>
      </c>
    </row>
    <row r="554" spans="2:16" x14ac:dyDescent="0.25">
      <c r="B554" s="101">
        <f t="shared" si="23"/>
        <v>33</v>
      </c>
      <c r="L554" s="71">
        <f t="shared" si="25"/>
        <v>0</v>
      </c>
      <c r="M554" s="71">
        <f t="shared" si="24"/>
        <v>0</v>
      </c>
      <c r="N554" s="71" t="str">
        <f>IFERROR(VLOOKUP(M554,NCAA_Bets[[Date]:[Version]],2,0),"")</f>
        <v/>
      </c>
      <c r="O554" s="94" t="str">
        <f>COUNTIFS(NCAA_Bets[Date],M554,NCAA_Bets[Result],"W")&amp;"-"&amp;COUNTIFS(NCAA_Bets[Date],M554,NCAA_Bets[Result],"L")&amp;IF(COUNTIFS(NCAA_Bets[Date],M554,NCAA_Bets[Result],"Push")&gt;0,"-"&amp;COUNTIFS(NCAA_Bets[Date],M554,NCAA_Bets[Result],"Push"),"")</f>
        <v>0-0</v>
      </c>
      <c r="P554" s="90">
        <f>SUMIF(NCAA_Bets[Date],M554,NCAA_Bets[Winnings])-SUMIF(NCAA_Bets[Date],M554,NCAA_Bets[Risk])</f>
        <v>0</v>
      </c>
    </row>
    <row r="555" spans="2:16" x14ac:dyDescent="0.25">
      <c r="B555" s="101">
        <f t="shared" si="23"/>
        <v>33</v>
      </c>
      <c r="L555" s="71">
        <f t="shared" si="25"/>
        <v>0</v>
      </c>
      <c r="M555" s="71">
        <f t="shared" si="24"/>
        <v>0</v>
      </c>
      <c r="N555" s="71" t="str">
        <f>IFERROR(VLOOKUP(M555,NCAA_Bets[[Date]:[Version]],2,0),"")</f>
        <v/>
      </c>
      <c r="O555" s="94" t="str">
        <f>COUNTIFS(NCAA_Bets[Date],M555,NCAA_Bets[Result],"W")&amp;"-"&amp;COUNTIFS(NCAA_Bets[Date],M555,NCAA_Bets[Result],"L")&amp;IF(COUNTIFS(NCAA_Bets[Date],M555,NCAA_Bets[Result],"Push")&gt;0,"-"&amp;COUNTIFS(NCAA_Bets[Date],M555,NCAA_Bets[Result],"Push"),"")</f>
        <v>0-0</v>
      </c>
      <c r="P555" s="90">
        <f>SUMIF(NCAA_Bets[Date],M555,NCAA_Bets[Winnings])-SUMIF(NCAA_Bets[Date],M555,NCAA_Bets[Risk])</f>
        <v>0</v>
      </c>
    </row>
    <row r="556" spans="2:16" x14ac:dyDescent="0.25">
      <c r="B556" s="101">
        <f t="shared" si="23"/>
        <v>33</v>
      </c>
      <c r="L556" s="71">
        <f t="shared" si="25"/>
        <v>0</v>
      </c>
      <c r="M556" s="71">
        <f t="shared" si="24"/>
        <v>0</v>
      </c>
      <c r="N556" s="71" t="str">
        <f>IFERROR(VLOOKUP(M556,NCAA_Bets[[Date]:[Version]],2,0),"")</f>
        <v/>
      </c>
      <c r="O556" s="94" t="str">
        <f>COUNTIFS(NCAA_Bets[Date],M556,NCAA_Bets[Result],"W")&amp;"-"&amp;COUNTIFS(NCAA_Bets[Date],M556,NCAA_Bets[Result],"L")&amp;IF(COUNTIFS(NCAA_Bets[Date],M556,NCAA_Bets[Result],"Push")&gt;0,"-"&amp;COUNTIFS(NCAA_Bets[Date],M556,NCAA_Bets[Result],"Push"),"")</f>
        <v>0-0</v>
      </c>
      <c r="P556" s="90">
        <f>SUMIF(NCAA_Bets[Date],M556,NCAA_Bets[Winnings])-SUMIF(NCAA_Bets[Date],M556,NCAA_Bets[Risk])</f>
        <v>0</v>
      </c>
    </row>
    <row r="557" spans="2:16" x14ac:dyDescent="0.25">
      <c r="B557" s="101">
        <f t="shared" si="23"/>
        <v>33</v>
      </c>
      <c r="L557" s="71">
        <f t="shared" si="25"/>
        <v>0</v>
      </c>
      <c r="M557" s="71">
        <f t="shared" si="24"/>
        <v>0</v>
      </c>
      <c r="N557" s="71" t="str">
        <f>IFERROR(VLOOKUP(M557,NCAA_Bets[[Date]:[Version]],2,0),"")</f>
        <v/>
      </c>
      <c r="O557" s="94" t="str">
        <f>COUNTIFS(NCAA_Bets[Date],M557,NCAA_Bets[Result],"W")&amp;"-"&amp;COUNTIFS(NCAA_Bets[Date],M557,NCAA_Bets[Result],"L")&amp;IF(COUNTIFS(NCAA_Bets[Date],M557,NCAA_Bets[Result],"Push")&gt;0,"-"&amp;COUNTIFS(NCAA_Bets[Date],M557,NCAA_Bets[Result],"Push"),"")</f>
        <v>0-0</v>
      </c>
      <c r="P557" s="90">
        <f>SUMIF(NCAA_Bets[Date],M557,NCAA_Bets[Winnings])-SUMIF(NCAA_Bets[Date],M557,NCAA_Bets[Risk])</f>
        <v>0</v>
      </c>
    </row>
    <row r="558" spans="2:16" x14ac:dyDescent="0.25">
      <c r="B558" s="101">
        <f t="shared" si="23"/>
        <v>33</v>
      </c>
      <c r="L558" s="71">
        <f t="shared" si="25"/>
        <v>0</v>
      </c>
      <c r="M558" s="71">
        <f t="shared" si="24"/>
        <v>0</v>
      </c>
      <c r="N558" s="71" t="str">
        <f>IFERROR(VLOOKUP(M558,NCAA_Bets[[Date]:[Version]],2,0),"")</f>
        <v/>
      </c>
      <c r="O558" s="94" t="str">
        <f>COUNTIFS(NCAA_Bets[Date],M558,NCAA_Bets[Result],"W")&amp;"-"&amp;COUNTIFS(NCAA_Bets[Date],M558,NCAA_Bets[Result],"L")&amp;IF(COUNTIFS(NCAA_Bets[Date],M558,NCAA_Bets[Result],"Push")&gt;0,"-"&amp;COUNTIFS(NCAA_Bets[Date],M558,NCAA_Bets[Result],"Push"),"")</f>
        <v>0-0</v>
      </c>
      <c r="P558" s="90">
        <f>SUMIF(NCAA_Bets[Date],M558,NCAA_Bets[Winnings])-SUMIF(NCAA_Bets[Date],M558,NCAA_Bets[Risk])</f>
        <v>0</v>
      </c>
    </row>
    <row r="559" spans="2:16" x14ac:dyDescent="0.25">
      <c r="B559" s="101">
        <f t="shared" si="23"/>
        <v>33</v>
      </c>
      <c r="L559" s="71">
        <f t="shared" si="25"/>
        <v>0</v>
      </c>
      <c r="M559" s="71">
        <f t="shared" si="24"/>
        <v>0</v>
      </c>
      <c r="N559" s="71" t="str">
        <f>IFERROR(VLOOKUP(M559,NCAA_Bets[[Date]:[Version]],2,0),"")</f>
        <v/>
      </c>
      <c r="O559" s="94" t="str">
        <f>COUNTIFS(NCAA_Bets[Date],M559,NCAA_Bets[Result],"W")&amp;"-"&amp;COUNTIFS(NCAA_Bets[Date],M559,NCAA_Bets[Result],"L")&amp;IF(COUNTIFS(NCAA_Bets[Date],M559,NCAA_Bets[Result],"Push")&gt;0,"-"&amp;COUNTIFS(NCAA_Bets[Date],M559,NCAA_Bets[Result],"Push"),"")</f>
        <v>0-0</v>
      </c>
      <c r="P559" s="90">
        <f>SUMIF(NCAA_Bets[Date],M559,NCAA_Bets[Winnings])-SUMIF(NCAA_Bets[Date],M559,NCAA_Bets[Risk])</f>
        <v>0</v>
      </c>
    </row>
    <row r="560" spans="2:16" x14ac:dyDescent="0.25">
      <c r="B560" s="101">
        <f t="shared" si="23"/>
        <v>33</v>
      </c>
      <c r="L560" s="71">
        <f t="shared" si="25"/>
        <v>0</v>
      </c>
      <c r="M560" s="71">
        <f t="shared" si="24"/>
        <v>0</v>
      </c>
      <c r="N560" s="71" t="str">
        <f>IFERROR(VLOOKUP(M560,NCAA_Bets[[Date]:[Version]],2,0),"")</f>
        <v/>
      </c>
      <c r="O560" s="94" t="str">
        <f>COUNTIFS(NCAA_Bets[Date],M560,NCAA_Bets[Result],"W")&amp;"-"&amp;COUNTIFS(NCAA_Bets[Date],M560,NCAA_Bets[Result],"L")&amp;IF(COUNTIFS(NCAA_Bets[Date],M560,NCAA_Bets[Result],"Push")&gt;0,"-"&amp;COUNTIFS(NCAA_Bets[Date],M560,NCAA_Bets[Result],"Push"),"")</f>
        <v>0-0</v>
      </c>
      <c r="P560" s="90">
        <f>SUMIF(NCAA_Bets[Date],M560,NCAA_Bets[Winnings])-SUMIF(NCAA_Bets[Date],M560,NCAA_Bets[Risk])</f>
        <v>0</v>
      </c>
    </row>
    <row r="561" spans="2:16" x14ac:dyDescent="0.25">
      <c r="B561" s="101">
        <f t="shared" si="23"/>
        <v>33</v>
      </c>
      <c r="L561" s="71">
        <f t="shared" si="25"/>
        <v>0</v>
      </c>
      <c r="M561" s="71">
        <f t="shared" si="24"/>
        <v>0</v>
      </c>
      <c r="N561" s="71" t="str">
        <f>IFERROR(VLOOKUP(M561,NCAA_Bets[[Date]:[Version]],2,0),"")</f>
        <v/>
      </c>
      <c r="O561" s="94" t="str">
        <f>COUNTIFS(NCAA_Bets[Date],M561,NCAA_Bets[Result],"W")&amp;"-"&amp;COUNTIFS(NCAA_Bets[Date],M561,NCAA_Bets[Result],"L")&amp;IF(COUNTIFS(NCAA_Bets[Date],M561,NCAA_Bets[Result],"Push")&gt;0,"-"&amp;COUNTIFS(NCAA_Bets[Date],M561,NCAA_Bets[Result],"Push"),"")</f>
        <v>0-0</v>
      </c>
      <c r="P561" s="90">
        <f>SUMIF(NCAA_Bets[Date],M561,NCAA_Bets[Winnings])-SUMIF(NCAA_Bets[Date],M561,NCAA_Bets[Risk])</f>
        <v>0</v>
      </c>
    </row>
    <row r="562" spans="2:16" x14ac:dyDescent="0.25">
      <c r="B562" s="101">
        <f t="shared" si="23"/>
        <v>33</v>
      </c>
      <c r="L562" s="71">
        <f t="shared" si="25"/>
        <v>0</v>
      </c>
      <c r="M562" s="71">
        <f t="shared" si="24"/>
        <v>0</v>
      </c>
      <c r="N562" s="71" t="str">
        <f>IFERROR(VLOOKUP(M562,NCAA_Bets[[Date]:[Version]],2,0),"")</f>
        <v/>
      </c>
      <c r="O562" s="94" t="str">
        <f>COUNTIFS(NCAA_Bets[Date],M562,NCAA_Bets[Result],"W")&amp;"-"&amp;COUNTIFS(NCAA_Bets[Date],M562,NCAA_Bets[Result],"L")&amp;IF(COUNTIFS(NCAA_Bets[Date],M562,NCAA_Bets[Result],"Push")&gt;0,"-"&amp;COUNTIFS(NCAA_Bets[Date],M562,NCAA_Bets[Result],"Push"),"")</f>
        <v>0-0</v>
      </c>
      <c r="P562" s="90">
        <f>SUMIF(NCAA_Bets[Date],M562,NCAA_Bets[Winnings])-SUMIF(NCAA_Bets[Date],M562,NCAA_Bets[Risk])</f>
        <v>0</v>
      </c>
    </row>
    <row r="563" spans="2:16" x14ac:dyDescent="0.25">
      <c r="B563" s="101">
        <f t="shared" si="23"/>
        <v>33</v>
      </c>
      <c r="L563" s="71">
        <f t="shared" si="25"/>
        <v>0</v>
      </c>
      <c r="M563" s="71">
        <f t="shared" si="24"/>
        <v>0</v>
      </c>
      <c r="N563" s="71" t="str">
        <f>IFERROR(VLOOKUP(M563,NCAA_Bets[[Date]:[Version]],2,0),"")</f>
        <v/>
      </c>
      <c r="O563" s="94" t="str">
        <f>COUNTIFS(NCAA_Bets[Date],M563,NCAA_Bets[Result],"W")&amp;"-"&amp;COUNTIFS(NCAA_Bets[Date],M563,NCAA_Bets[Result],"L")&amp;IF(COUNTIFS(NCAA_Bets[Date],M563,NCAA_Bets[Result],"Push")&gt;0,"-"&amp;COUNTIFS(NCAA_Bets[Date],M563,NCAA_Bets[Result],"Push"),"")</f>
        <v>0-0</v>
      </c>
      <c r="P563" s="90">
        <f>SUMIF(NCAA_Bets[Date],M563,NCAA_Bets[Winnings])-SUMIF(NCAA_Bets[Date],M563,NCAA_Bets[Risk])</f>
        <v>0</v>
      </c>
    </row>
    <row r="564" spans="2:16" x14ac:dyDescent="0.25">
      <c r="B564" s="101">
        <f t="shared" si="23"/>
        <v>33</v>
      </c>
      <c r="L564" s="71">
        <f t="shared" si="25"/>
        <v>0</v>
      </c>
      <c r="M564" s="71">
        <f t="shared" si="24"/>
        <v>0</v>
      </c>
      <c r="N564" s="71" t="str">
        <f>IFERROR(VLOOKUP(M564,NCAA_Bets[[Date]:[Version]],2,0),"")</f>
        <v/>
      </c>
      <c r="O564" s="94" t="str">
        <f>COUNTIFS(NCAA_Bets[Date],M564,NCAA_Bets[Result],"W")&amp;"-"&amp;COUNTIFS(NCAA_Bets[Date],M564,NCAA_Bets[Result],"L")&amp;IF(COUNTIFS(NCAA_Bets[Date],M564,NCAA_Bets[Result],"Push")&gt;0,"-"&amp;COUNTIFS(NCAA_Bets[Date],M564,NCAA_Bets[Result],"Push"),"")</f>
        <v>0-0</v>
      </c>
      <c r="P564" s="90">
        <f>SUMIF(NCAA_Bets[Date],M564,NCAA_Bets[Winnings])-SUMIF(NCAA_Bets[Date],M564,NCAA_Bets[Risk])</f>
        <v>0</v>
      </c>
    </row>
    <row r="565" spans="2:16" x14ac:dyDescent="0.25">
      <c r="B565" s="101">
        <f t="shared" si="23"/>
        <v>33</v>
      </c>
      <c r="L565" s="71">
        <f t="shared" si="25"/>
        <v>0</v>
      </c>
      <c r="M565" s="71">
        <f t="shared" si="24"/>
        <v>0</v>
      </c>
      <c r="N565" s="71" t="str">
        <f>IFERROR(VLOOKUP(M565,NCAA_Bets[[Date]:[Version]],2,0),"")</f>
        <v/>
      </c>
      <c r="O565" s="94" t="str">
        <f>COUNTIFS(NCAA_Bets[Date],M565,NCAA_Bets[Result],"W")&amp;"-"&amp;COUNTIFS(NCAA_Bets[Date],M565,NCAA_Bets[Result],"L")&amp;IF(COUNTIFS(NCAA_Bets[Date],M565,NCAA_Bets[Result],"Push")&gt;0,"-"&amp;COUNTIFS(NCAA_Bets[Date],M565,NCAA_Bets[Result],"Push"),"")</f>
        <v>0-0</v>
      </c>
      <c r="P565" s="90">
        <f>SUMIF(NCAA_Bets[Date],M565,NCAA_Bets[Winnings])-SUMIF(NCAA_Bets[Date],M565,NCAA_Bets[Risk])</f>
        <v>0</v>
      </c>
    </row>
    <row r="566" spans="2:16" x14ac:dyDescent="0.25">
      <c r="B566" s="101">
        <f t="shared" si="23"/>
        <v>33</v>
      </c>
      <c r="L566" s="71">
        <f t="shared" si="25"/>
        <v>0</v>
      </c>
      <c r="M566" s="71">
        <f t="shared" si="24"/>
        <v>0</v>
      </c>
      <c r="N566" s="71" t="str">
        <f>IFERROR(VLOOKUP(M566,NCAA_Bets[[Date]:[Version]],2,0),"")</f>
        <v/>
      </c>
      <c r="O566" s="94" t="str">
        <f>COUNTIFS(NCAA_Bets[Date],M566,NCAA_Bets[Result],"W")&amp;"-"&amp;COUNTIFS(NCAA_Bets[Date],M566,NCAA_Bets[Result],"L")&amp;IF(COUNTIFS(NCAA_Bets[Date],M566,NCAA_Bets[Result],"Push")&gt;0,"-"&amp;COUNTIFS(NCAA_Bets[Date],M566,NCAA_Bets[Result],"Push"),"")</f>
        <v>0-0</v>
      </c>
      <c r="P566" s="90">
        <f>SUMIF(NCAA_Bets[Date],M566,NCAA_Bets[Winnings])-SUMIF(NCAA_Bets[Date],M566,NCAA_Bets[Risk])</f>
        <v>0</v>
      </c>
    </row>
    <row r="567" spans="2:16" x14ac:dyDescent="0.25">
      <c r="B567" s="101">
        <f t="shared" si="23"/>
        <v>33</v>
      </c>
      <c r="L567" s="71">
        <f t="shared" si="25"/>
        <v>0</v>
      </c>
      <c r="M567" s="71">
        <f t="shared" si="24"/>
        <v>0</v>
      </c>
      <c r="N567" s="71" t="str">
        <f>IFERROR(VLOOKUP(M567,NCAA_Bets[[Date]:[Version]],2,0),"")</f>
        <v/>
      </c>
      <c r="O567" s="94" t="str">
        <f>COUNTIFS(NCAA_Bets[Date],M567,NCAA_Bets[Result],"W")&amp;"-"&amp;COUNTIFS(NCAA_Bets[Date],M567,NCAA_Bets[Result],"L")&amp;IF(COUNTIFS(NCAA_Bets[Date],M567,NCAA_Bets[Result],"Push")&gt;0,"-"&amp;COUNTIFS(NCAA_Bets[Date],M567,NCAA_Bets[Result],"Push"),"")</f>
        <v>0-0</v>
      </c>
      <c r="P567" s="90">
        <f>SUMIF(NCAA_Bets[Date],M567,NCAA_Bets[Winnings])-SUMIF(NCAA_Bets[Date],M567,NCAA_Bets[Risk])</f>
        <v>0</v>
      </c>
    </row>
    <row r="568" spans="2:16" x14ac:dyDescent="0.25">
      <c r="B568" s="101">
        <f t="shared" si="23"/>
        <v>33</v>
      </c>
      <c r="L568" s="71">
        <f t="shared" si="25"/>
        <v>0</v>
      </c>
      <c r="M568" s="71">
        <f t="shared" si="24"/>
        <v>0</v>
      </c>
      <c r="N568" s="71" t="str">
        <f>IFERROR(VLOOKUP(M568,NCAA_Bets[[Date]:[Version]],2,0),"")</f>
        <v/>
      </c>
      <c r="O568" s="94" t="str">
        <f>COUNTIFS(NCAA_Bets[Date],M568,NCAA_Bets[Result],"W")&amp;"-"&amp;COUNTIFS(NCAA_Bets[Date],M568,NCAA_Bets[Result],"L")&amp;IF(COUNTIFS(NCAA_Bets[Date],M568,NCAA_Bets[Result],"Push")&gt;0,"-"&amp;COUNTIFS(NCAA_Bets[Date],M568,NCAA_Bets[Result],"Push"),"")</f>
        <v>0-0</v>
      </c>
      <c r="P568" s="90">
        <f>SUMIF(NCAA_Bets[Date],M568,NCAA_Bets[Winnings])-SUMIF(NCAA_Bets[Date],M568,NCAA_Bets[Risk])</f>
        <v>0</v>
      </c>
    </row>
    <row r="569" spans="2:16" x14ac:dyDescent="0.25">
      <c r="B569" s="101">
        <f t="shared" si="23"/>
        <v>33</v>
      </c>
      <c r="L569" s="71">
        <f t="shared" si="25"/>
        <v>0</v>
      </c>
      <c r="M569" s="71">
        <f t="shared" si="24"/>
        <v>0</v>
      </c>
      <c r="N569" s="71" t="str">
        <f>IFERROR(VLOOKUP(M569,NCAA_Bets[[Date]:[Version]],2,0),"")</f>
        <v/>
      </c>
      <c r="O569" s="94" t="str">
        <f>COUNTIFS(NCAA_Bets[Date],M569,NCAA_Bets[Result],"W")&amp;"-"&amp;COUNTIFS(NCAA_Bets[Date],M569,NCAA_Bets[Result],"L")&amp;IF(COUNTIFS(NCAA_Bets[Date],M569,NCAA_Bets[Result],"Push")&gt;0,"-"&amp;COUNTIFS(NCAA_Bets[Date],M569,NCAA_Bets[Result],"Push"),"")</f>
        <v>0-0</v>
      </c>
      <c r="P569" s="90">
        <f>SUMIF(NCAA_Bets[Date],M569,NCAA_Bets[Winnings])-SUMIF(NCAA_Bets[Date],M569,NCAA_Bets[Risk])</f>
        <v>0</v>
      </c>
    </row>
    <row r="570" spans="2:16" x14ac:dyDescent="0.25">
      <c r="B570" s="101">
        <f t="shared" si="23"/>
        <v>33</v>
      </c>
      <c r="L570" s="71">
        <f t="shared" si="25"/>
        <v>0</v>
      </c>
      <c r="M570" s="71">
        <f t="shared" si="24"/>
        <v>0</v>
      </c>
      <c r="N570" s="71" t="str">
        <f>IFERROR(VLOOKUP(M570,NCAA_Bets[[Date]:[Version]],2,0),"")</f>
        <v/>
      </c>
      <c r="O570" s="94" t="str">
        <f>COUNTIFS(NCAA_Bets[Date],M570,NCAA_Bets[Result],"W")&amp;"-"&amp;COUNTIFS(NCAA_Bets[Date],M570,NCAA_Bets[Result],"L")&amp;IF(COUNTIFS(NCAA_Bets[Date],M570,NCAA_Bets[Result],"Push")&gt;0,"-"&amp;COUNTIFS(NCAA_Bets[Date],M570,NCAA_Bets[Result],"Push"),"")</f>
        <v>0-0</v>
      </c>
      <c r="P570" s="90">
        <f>SUMIF(NCAA_Bets[Date],M570,NCAA_Bets[Winnings])-SUMIF(NCAA_Bets[Date],M570,NCAA_Bets[Risk])</f>
        <v>0</v>
      </c>
    </row>
    <row r="571" spans="2:16" x14ac:dyDescent="0.25">
      <c r="B571" s="101">
        <f t="shared" si="23"/>
        <v>33</v>
      </c>
      <c r="L571" s="71">
        <f t="shared" si="25"/>
        <v>0</v>
      </c>
      <c r="M571" s="71">
        <f t="shared" si="24"/>
        <v>0</v>
      </c>
      <c r="N571" s="71" t="str">
        <f>IFERROR(VLOOKUP(M571,NCAA_Bets[[Date]:[Version]],2,0),"")</f>
        <v/>
      </c>
      <c r="O571" s="94" t="str">
        <f>COUNTIFS(NCAA_Bets[Date],M571,NCAA_Bets[Result],"W")&amp;"-"&amp;COUNTIFS(NCAA_Bets[Date],M571,NCAA_Bets[Result],"L")&amp;IF(COUNTIFS(NCAA_Bets[Date],M571,NCAA_Bets[Result],"Push")&gt;0,"-"&amp;COUNTIFS(NCAA_Bets[Date],M571,NCAA_Bets[Result],"Push"),"")</f>
        <v>0-0</v>
      </c>
      <c r="P571" s="90">
        <f>SUMIF(NCAA_Bets[Date],M571,NCAA_Bets[Winnings])-SUMIF(NCAA_Bets[Date],M571,NCAA_Bets[Risk])</f>
        <v>0</v>
      </c>
    </row>
    <row r="572" spans="2:16" x14ac:dyDescent="0.25">
      <c r="B572" s="101">
        <f t="shared" si="23"/>
        <v>33</v>
      </c>
      <c r="L572" s="71">
        <f t="shared" si="25"/>
        <v>0</v>
      </c>
      <c r="M572" s="71">
        <f t="shared" si="24"/>
        <v>0</v>
      </c>
      <c r="N572" s="71" t="str">
        <f>IFERROR(VLOOKUP(M572,NCAA_Bets[[Date]:[Version]],2,0),"")</f>
        <v/>
      </c>
      <c r="O572" s="94" t="str">
        <f>COUNTIFS(NCAA_Bets[Date],M572,NCAA_Bets[Result],"W")&amp;"-"&amp;COUNTIFS(NCAA_Bets[Date],M572,NCAA_Bets[Result],"L")&amp;IF(COUNTIFS(NCAA_Bets[Date],M572,NCAA_Bets[Result],"Push")&gt;0,"-"&amp;COUNTIFS(NCAA_Bets[Date],M572,NCAA_Bets[Result],"Push"),"")</f>
        <v>0-0</v>
      </c>
      <c r="P572" s="90">
        <f>SUMIF(NCAA_Bets[Date],M572,NCAA_Bets[Winnings])-SUMIF(NCAA_Bets[Date],M572,NCAA_Bets[Risk])</f>
        <v>0</v>
      </c>
    </row>
    <row r="573" spans="2:16" x14ac:dyDescent="0.25">
      <c r="B573" s="101">
        <f t="shared" si="23"/>
        <v>33</v>
      </c>
      <c r="L573" s="71">
        <f t="shared" si="25"/>
        <v>0</v>
      </c>
      <c r="M573" s="71">
        <f t="shared" si="24"/>
        <v>0</v>
      </c>
      <c r="N573" s="71" t="str">
        <f>IFERROR(VLOOKUP(M573,NCAA_Bets[[Date]:[Version]],2,0),"")</f>
        <v/>
      </c>
      <c r="O573" s="94" t="str">
        <f>COUNTIFS(NCAA_Bets[Date],M573,NCAA_Bets[Result],"W")&amp;"-"&amp;COUNTIFS(NCAA_Bets[Date],M573,NCAA_Bets[Result],"L")&amp;IF(COUNTIFS(NCAA_Bets[Date],M573,NCAA_Bets[Result],"Push")&gt;0,"-"&amp;COUNTIFS(NCAA_Bets[Date],M573,NCAA_Bets[Result],"Push"),"")</f>
        <v>0-0</v>
      </c>
      <c r="P573" s="90">
        <f>SUMIF(NCAA_Bets[Date],M573,NCAA_Bets[Winnings])-SUMIF(NCAA_Bets[Date],M573,NCAA_Bets[Risk])</f>
        <v>0</v>
      </c>
    </row>
    <row r="574" spans="2:16" x14ac:dyDescent="0.25">
      <c r="B574" s="101">
        <f t="shared" si="23"/>
        <v>33</v>
      </c>
      <c r="L574" s="71">
        <f t="shared" si="25"/>
        <v>0</v>
      </c>
      <c r="M574" s="71">
        <f t="shared" si="24"/>
        <v>0</v>
      </c>
      <c r="N574" s="71" t="str">
        <f>IFERROR(VLOOKUP(M574,NCAA_Bets[[Date]:[Version]],2,0),"")</f>
        <v/>
      </c>
      <c r="O574" s="94" t="str">
        <f>COUNTIFS(NCAA_Bets[Date],M574,NCAA_Bets[Result],"W")&amp;"-"&amp;COUNTIFS(NCAA_Bets[Date],M574,NCAA_Bets[Result],"L")&amp;IF(COUNTIFS(NCAA_Bets[Date],M574,NCAA_Bets[Result],"Push")&gt;0,"-"&amp;COUNTIFS(NCAA_Bets[Date],M574,NCAA_Bets[Result],"Push"),"")</f>
        <v>0-0</v>
      </c>
      <c r="P574" s="90">
        <f>SUMIF(NCAA_Bets[Date],M574,NCAA_Bets[Winnings])-SUMIF(NCAA_Bets[Date],M574,NCAA_Bets[Risk])</f>
        <v>0</v>
      </c>
    </row>
    <row r="575" spans="2:16" x14ac:dyDescent="0.25">
      <c r="B575" s="101">
        <f t="shared" si="23"/>
        <v>33</v>
      </c>
      <c r="L575" s="71">
        <f t="shared" si="25"/>
        <v>0</v>
      </c>
      <c r="M575" s="71">
        <f t="shared" si="24"/>
        <v>0</v>
      </c>
      <c r="N575" s="71" t="str">
        <f>IFERROR(VLOOKUP(M575,NCAA_Bets[[Date]:[Version]],2,0),"")</f>
        <v/>
      </c>
      <c r="O575" s="94" t="str">
        <f>COUNTIFS(NCAA_Bets[Date],M575,NCAA_Bets[Result],"W")&amp;"-"&amp;COUNTIFS(NCAA_Bets[Date],M575,NCAA_Bets[Result],"L")&amp;IF(COUNTIFS(NCAA_Bets[Date],M575,NCAA_Bets[Result],"Push")&gt;0,"-"&amp;COUNTIFS(NCAA_Bets[Date],M575,NCAA_Bets[Result],"Push"),"")</f>
        <v>0-0</v>
      </c>
      <c r="P575" s="90">
        <f>SUMIF(NCAA_Bets[Date],M575,NCAA_Bets[Winnings])-SUMIF(NCAA_Bets[Date],M575,NCAA_Bets[Risk])</f>
        <v>0</v>
      </c>
    </row>
    <row r="576" spans="2:16" x14ac:dyDescent="0.25">
      <c r="B576" s="101">
        <f t="shared" si="23"/>
        <v>33</v>
      </c>
      <c r="L576" s="71">
        <f t="shared" si="25"/>
        <v>0</v>
      </c>
      <c r="M576" s="71">
        <f t="shared" si="24"/>
        <v>0</v>
      </c>
      <c r="N576" s="71" t="str">
        <f>IFERROR(VLOOKUP(M576,NCAA_Bets[[Date]:[Version]],2,0),"")</f>
        <v/>
      </c>
      <c r="O576" s="94" t="str">
        <f>COUNTIFS(NCAA_Bets[Date],M576,NCAA_Bets[Result],"W")&amp;"-"&amp;COUNTIFS(NCAA_Bets[Date],M576,NCAA_Bets[Result],"L")&amp;IF(COUNTIFS(NCAA_Bets[Date],M576,NCAA_Bets[Result],"Push")&gt;0,"-"&amp;COUNTIFS(NCAA_Bets[Date],M576,NCAA_Bets[Result],"Push"),"")</f>
        <v>0-0</v>
      </c>
      <c r="P576" s="90">
        <f>SUMIF(NCAA_Bets[Date],M576,NCAA_Bets[Winnings])-SUMIF(NCAA_Bets[Date],M576,NCAA_Bets[Risk])</f>
        <v>0</v>
      </c>
    </row>
    <row r="577" spans="2:16" x14ac:dyDescent="0.25">
      <c r="B577" s="101">
        <f t="shared" si="23"/>
        <v>33</v>
      </c>
      <c r="L577" s="71">
        <f t="shared" si="25"/>
        <v>0</v>
      </c>
      <c r="M577" s="71">
        <f t="shared" si="24"/>
        <v>0</v>
      </c>
      <c r="N577" s="71" t="str">
        <f>IFERROR(VLOOKUP(M577,NCAA_Bets[[Date]:[Version]],2,0),"")</f>
        <v/>
      </c>
      <c r="O577" s="94" t="str">
        <f>COUNTIFS(NCAA_Bets[Date],M577,NCAA_Bets[Result],"W")&amp;"-"&amp;COUNTIFS(NCAA_Bets[Date],M577,NCAA_Bets[Result],"L")&amp;IF(COUNTIFS(NCAA_Bets[Date],M577,NCAA_Bets[Result],"Push")&gt;0,"-"&amp;COUNTIFS(NCAA_Bets[Date],M577,NCAA_Bets[Result],"Push"),"")</f>
        <v>0-0</v>
      </c>
      <c r="P577" s="90">
        <f>SUMIF(NCAA_Bets[Date],M577,NCAA_Bets[Winnings])-SUMIF(NCAA_Bets[Date],M577,NCAA_Bets[Risk])</f>
        <v>0</v>
      </c>
    </row>
    <row r="578" spans="2:16" x14ac:dyDescent="0.25">
      <c r="B578" s="101">
        <f t="shared" si="23"/>
        <v>33</v>
      </c>
      <c r="L578" s="71">
        <f t="shared" si="25"/>
        <v>0</v>
      </c>
      <c r="M578" s="71">
        <f t="shared" si="24"/>
        <v>0</v>
      </c>
      <c r="N578" s="71" t="str">
        <f>IFERROR(VLOOKUP(M578,NCAA_Bets[[Date]:[Version]],2,0),"")</f>
        <v/>
      </c>
      <c r="O578" s="94" t="str">
        <f>COUNTIFS(NCAA_Bets[Date],M578,NCAA_Bets[Result],"W")&amp;"-"&amp;COUNTIFS(NCAA_Bets[Date],M578,NCAA_Bets[Result],"L")&amp;IF(COUNTIFS(NCAA_Bets[Date],M578,NCAA_Bets[Result],"Push")&gt;0,"-"&amp;COUNTIFS(NCAA_Bets[Date],M578,NCAA_Bets[Result],"Push"),"")</f>
        <v>0-0</v>
      </c>
      <c r="P578" s="90">
        <f>SUMIF(NCAA_Bets[Date],M578,NCAA_Bets[Winnings])-SUMIF(NCAA_Bets[Date],M578,NCAA_Bets[Risk])</f>
        <v>0</v>
      </c>
    </row>
    <row r="579" spans="2:16" x14ac:dyDescent="0.25">
      <c r="B579" s="101">
        <f t="shared" si="23"/>
        <v>33</v>
      </c>
      <c r="L579" s="71">
        <f t="shared" si="25"/>
        <v>0</v>
      </c>
      <c r="M579" s="71">
        <f t="shared" si="24"/>
        <v>0</v>
      </c>
      <c r="N579" s="71" t="str">
        <f>IFERROR(VLOOKUP(M579,NCAA_Bets[[Date]:[Version]],2,0),"")</f>
        <v/>
      </c>
      <c r="O579" s="94" t="str">
        <f>COUNTIFS(NCAA_Bets[Date],M579,NCAA_Bets[Result],"W")&amp;"-"&amp;COUNTIFS(NCAA_Bets[Date],M579,NCAA_Bets[Result],"L")&amp;IF(COUNTIFS(NCAA_Bets[Date],M579,NCAA_Bets[Result],"Push")&gt;0,"-"&amp;COUNTIFS(NCAA_Bets[Date],M579,NCAA_Bets[Result],"Push"),"")</f>
        <v>0-0</v>
      </c>
      <c r="P579" s="90">
        <f>SUMIF(NCAA_Bets[Date],M579,NCAA_Bets[Winnings])-SUMIF(NCAA_Bets[Date],M579,NCAA_Bets[Risk])</f>
        <v>0</v>
      </c>
    </row>
    <row r="580" spans="2:16" x14ac:dyDescent="0.25">
      <c r="B580" s="101">
        <f t="shared" si="23"/>
        <v>33</v>
      </c>
      <c r="L580" s="71">
        <f t="shared" si="25"/>
        <v>0</v>
      </c>
      <c r="M580" s="71">
        <f t="shared" si="24"/>
        <v>0</v>
      </c>
      <c r="N580" s="71" t="str">
        <f>IFERROR(VLOOKUP(M580,NCAA_Bets[[Date]:[Version]],2,0),"")</f>
        <v/>
      </c>
      <c r="O580" s="94" t="str">
        <f>COUNTIFS(NCAA_Bets[Date],M580,NCAA_Bets[Result],"W")&amp;"-"&amp;COUNTIFS(NCAA_Bets[Date],M580,NCAA_Bets[Result],"L")&amp;IF(COUNTIFS(NCAA_Bets[Date],M580,NCAA_Bets[Result],"Push")&gt;0,"-"&amp;COUNTIFS(NCAA_Bets[Date],M580,NCAA_Bets[Result],"Push"),"")</f>
        <v>0-0</v>
      </c>
      <c r="P580" s="90">
        <f>SUMIF(NCAA_Bets[Date],M580,NCAA_Bets[Winnings])-SUMIF(NCAA_Bets[Date],M580,NCAA_Bets[Risk])</f>
        <v>0</v>
      </c>
    </row>
    <row r="581" spans="2:16" x14ac:dyDescent="0.25">
      <c r="B581" s="101">
        <f t="shared" si="23"/>
        <v>33</v>
      </c>
      <c r="L581" s="71">
        <f t="shared" si="25"/>
        <v>0</v>
      </c>
      <c r="M581" s="71">
        <f t="shared" si="24"/>
        <v>0</v>
      </c>
      <c r="N581" s="71" t="str">
        <f>IFERROR(VLOOKUP(M581,NCAA_Bets[[Date]:[Version]],2,0),"")</f>
        <v/>
      </c>
      <c r="O581" s="94" t="str">
        <f>COUNTIFS(NCAA_Bets[Date],M581,NCAA_Bets[Result],"W")&amp;"-"&amp;COUNTIFS(NCAA_Bets[Date],M581,NCAA_Bets[Result],"L")&amp;IF(COUNTIFS(NCAA_Bets[Date],M581,NCAA_Bets[Result],"Push")&gt;0,"-"&amp;COUNTIFS(NCAA_Bets[Date],M581,NCAA_Bets[Result],"Push"),"")</f>
        <v>0-0</v>
      </c>
      <c r="P581" s="90">
        <f>SUMIF(NCAA_Bets[Date],M581,NCAA_Bets[Winnings])-SUMIF(NCAA_Bets[Date],M581,NCAA_Bets[Risk])</f>
        <v>0</v>
      </c>
    </row>
    <row r="582" spans="2:16" x14ac:dyDescent="0.25">
      <c r="B582" s="101">
        <f t="shared" ref="B582:B645" si="26">IF(C582=C581,B581,B581+1)</f>
        <v>33</v>
      </c>
      <c r="L582" s="71">
        <f t="shared" si="25"/>
        <v>0</v>
      </c>
      <c r="M582" s="71">
        <f t="shared" si="24"/>
        <v>0</v>
      </c>
      <c r="N582" s="71" t="str">
        <f>IFERROR(VLOOKUP(M582,NCAA_Bets[[Date]:[Version]],2,0),"")</f>
        <v/>
      </c>
      <c r="O582" s="94" t="str">
        <f>COUNTIFS(NCAA_Bets[Date],M582,NCAA_Bets[Result],"W")&amp;"-"&amp;COUNTIFS(NCAA_Bets[Date],M582,NCAA_Bets[Result],"L")&amp;IF(COUNTIFS(NCAA_Bets[Date],M582,NCAA_Bets[Result],"Push")&gt;0,"-"&amp;COUNTIFS(NCAA_Bets[Date],M582,NCAA_Bets[Result],"Push"),"")</f>
        <v>0-0</v>
      </c>
      <c r="P582" s="90">
        <f>SUMIF(NCAA_Bets[Date],M582,NCAA_Bets[Winnings])-SUMIF(NCAA_Bets[Date],M582,NCAA_Bets[Risk])</f>
        <v>0</v>
      </c>
    </row>
    <row r="583" spans="2:16" x14ac:dyDescent="0.25">
      <c r="B583" s="101">
        <f t="shared" si="26"/>
        <v>33</v>
      </c>
      <c r="L583" s="71">
        <f t="shared" si="25"/>
        <v>0</v>
      </c>
      <c r="M583" s="71">
        <f t="shared" si="24"/>
        <v>0</v>
      </c>
      <c r="N583" s="71" t="str">
        <f>IFERROR(VLOOKUP(M583,NCAA_Bets[[Date]:[Version]],2,0),"")</f>
        <v/>
      </c>
      <c r="O583" s="94" t="str">
        <f>COUNTIFS(NCAA_Bets[Date],M583,NCAA_Bets[Result],"W")&amp;"-"&amp;COUNTIFS(NCAA_Bets[Date],M583,NCAA_Bets[Result],"L")&amp;IF(COUNTIFS(NCAA_Bets[Date],M583,NCAA_Bets[Result],"Push")&gt;0,"-"&amp;COUNTIFS(NCAA_Bets[Date],M583,NCAA_Bets[Result],"Push"),"")</f>
        <v>0-0</v>
      </c>
      <c r="P583" s="90">
        <f>SUMIF(NCAA_Bets[Date],M583,NCAA_Bets[Winnings])-SUMIF(NCAA_Bets[Date],M583,NCAA_Bets[Risk])</f>
        <v>0</v>
      </c>
    </row>
    <row r="584" spans="2:16" x14ac:dyDescent="0.25">
      <c r="B584" s="101">
        <f t="shared" si="26"/>
        <v>33</v>
      </c>
      <c r="L584" s="71">
        <f t="shared" si="25"/>
        <v>0</v>
      </c>
      <c r="M584" s="71">
        <f t="shared" si="24"/>
        <v>0</v>
      </c>
      <c r="N584" s="71" t="str">
        <f>IFERROR(VLOOKUP(M584,NCAA_Bets[[Date]:[Version]],2,0),"")</f>
        <v/>
      </c>
      <c r="O584" s="94" t="str">
        <f>COUNTIFS(NCAA_Bets[Date],M584,NCAA_Bets[Result],"W")&amp;"-"&amp;COUNTIFS(NCAA_Bets[Date],M584,NCAA_Bets[Result],"L")&amp;IF(COUNTIFS(NCAA_Bets[Date],M584,NCAA_Bets[Result],"Push")&gt;0,"-"&amp;COUNTIFS(NCAA_Bets[Date],M584,NCAA_Bets[Result],"Push"),"")</f>
        <v>0-0</v>
      </c>
      <c r="P584" s="90">
        <f>SUMIF(NCAA_Bets[Date],M584,NCAA_Bets[Winnings])-SUMIF(NCAA_Bets[Date],M584,NCAA_Bets[Risk])</f>
        <v>0</v>
      </c>
    </row>
    <row r="585" spans="2:16" x14ac:dyDescent="0.25">
      <c r="B585" s="101">
        <f t="shared" si="26"/>
        <v>33</v>
      </c>
      <c r="L585" s="71">
        <f t="shared" si="25"/>
        <v>0</v>
      </c>
      <c r="M585" s="71">
        <f t="shared" si="24"/>
        <v>0</v>
      </c>
      <c r="N585" s="71" t="str">
        <f>IFERROR(VLOOKUP(M585,NCAA_Bets[[Date]:[Version]],2,0),"")</f>
        <v/>
      </c>
      <c r="O585" s="94" t="str">
        <f>COUNTIFS(NCAA_Bets[Date],M585,NCAA_Bets[Result],"W")&amp;"-"&amp;COUNTIFS(NCAA_Bets[Date],M585,NCAA_Bets[Result],"L")&amp;IF(COUNTIFS(NCAA_Bets[Date],M585,NCAA_Bets[Result],"Push")&gt;0,"-"&amp;COUNTIFS(NCAA_Bets[Date],M585,NCAA_Bets[Result],"Push"),"")</f>
        <v>0-0</v>
      </c>
      <c r="P585" s="90">
        <f>SUMIF(NCAA_Bets[Date],M585,NCAA_Bets[Winnings])-SUMIF(NCAA_Bets[Date],M585,NCAA_Bets[Risk])</f>
        <v>0</v>
      </c>
    </row>
    <row r="586" spans="2:16" x14ac:dyDescent="0.25">
      <c r="B586" s="101">
        <f t="shared" si="26"/>
        <v>33</v>
      </c>
      <c r="L586" s="71">
        <f t="shared" si="25"/>
        <v>0</v>
      </c>
      <c r="M586" s="71">
        <f t="shared" si="24"/>
        <v>0</v>
      </c>
      <c r="N586" s="71" t="str">
        <f>IFERROR(VLOOKUP(M586,NCAA_Bets[[Date]:[Version]],2,0),"")</f>
        <v/>
      </c>
      <c r="O586" s="94" t="str">
        <f>COUNTIFS(NCAA_Bets[Date],M586,NCAA_Bets[Result],"W")&amp;"-"&amp;COUNTIFS(NCAA_Bets[Date],M586,NCAA_Bets[Result],"L")&amp;IF(COUNTIFS(NCAA_Bets[Date],M586,NCAA_Bets[Result],"Push")&gt;0,"-"&amp;COUNTIFS(NCAA_Bets[Date],M586,NCAA_Bets[Result],"Push"),"")</f>
        <v>0-0</v>
      </c>
      <c r="P586" s="90">
        <f>SUMIF(NCAA_Bets[Date],M586,NCAA_Bets[Winnings])-SUMIF(NCAA_Bets[Date],M586,NCAA_Bets[Risk])</f>
        <v>0</v>
      </c>
    </row>
    <row r="587" spans="2:16" x14ac:dyDescent="0.25">
      <c r="B587" s="101">
        <f t="shared" si="26"/>
        <v>33</v>
      </c>
      <c r="L587" s="71">
        <f t="shared" si="25"/>
        <v>0</v>
      </c>
      <c r="M587" s="71">
        <f t="shared" si="24"/>
        <v>0</v>
      </c>
      <c r="N587" s="71" t="str">
        <f>IFERROR(VLOOKUP(M587,NCAA_Bets[[Date]:[Version]],2,0),"")</f>
        <v/>
      </c>
      <c r="O587" s="94" t="str">
        <f>COUNTIFS(NCAA_Bets[Date],M587,NCAA_Bets[Result],"W")&amp;"-"&amp;COUNTIFS(NCAA_Bets[Date],M587,NCAA_Bets[Result],"L")&amp;IF(COUNTIFS(NCAA_Bets[Date],M587,NCAA_Bets[Result],"Push")&gt;0,"-"&amp;COUNTIFS(NCAA_Bets[Date],M587,NCAA_Bets[Result],"Push"),"")</f>
        <v>0-0</v>
      </c>
      <c r="P587" s="90">
        <f>SUMIF(NCAA_Bets[Date],M587,NCAA_Bets[Winnings])-SUMIF(NCAA_Bets[Date],M587,NCAA_Bets[Risk])</f>
        <v>0</v>
      </c>
    </row>
    <row r="588" spans="2:16" x14ac:dyDescent="0.25">
      <c r="B588" s="101">
        <f t="shared" si="26"/>
        <v>33</v>
      </c>
      <c r="L588" s="71">
        <f t="shared" si="25"/>
        <v>0</v>
      </c>
      <c r="M588" s="71">
        <f t="shared" si="24"/>
        <v>0</v>
      </c>
      <c r="N588" s="71" t="str">
        <f>IFERROR(VLOOKUP(M588,NCAA_Bets[[Date]:[Version]],2,0),"")</f>
        <v/>
      </c>
      <c r="O588" s="94" t="str">
        <f>COUNTIFS(NCAA_Bets[Date],M588,NCAA_Bets[Result],"W")&amp;"-"&amp;COUNTIFS(NCAA_Bets[Date],M588,NCAA_Bets[Result],"L")&amp;IF(COUNTIFS(NCAA_Bets[Date],M588,NCAA_Bets[Result],"Push")&gt;0,"-"&amp;COUNTIFS(NCAA_Bets[Date],M588,NCAA_Bets[Result],"Push"),"")</f>
        <v>0-0</v>
      </c>
      <c r="P588" s="90">
        <f>SUMIF(NCAA_Bets[Date],M588,NCAA_Bets[Winnings])-SUMIF(NCAA_Bets[Date],M588,NCAA_Bets[Risk])</f>
        <v>0</v>
      </c>
    </row>
    <row r="589" spans="2:16" x14ac:dyDescent="0.25">
      <c r="B589" s="101">
        <f t="shared" si="26"/>
        <v>33</v>
      </c>
      <c r="L589" s="71">
        <f t="shared" si="25"/>
        <v>0</v>
      </c>
      <c r="M589" s="71">
        <f t="shared" si="24"/>
        <v>0</v>
      </c>
      <c r="N589" s="71" t="str">
        <f>IFERROR(VLOOKUP(M589,NCAA_Bets[[Date]:[Version]],2,0),"")</f>
        <v/>
      </c>
      <c r="O589" s="94" t="str">
        <f>COUNTIFS(NCAA_Bets[Date],M589,NCAA_Bets[Result],"W")&amp;"-"&amp;COUNTIFS(NCAA_Bets[Date],M589,NCAA_Bets[Result],"L")&amp;IF(COUNTIFS(NCAA_Bets[Date],M589,NCAA_Bets[Result],"Push")&gt;0,"-"&amp;COUNTIFS(NCAA_Bets[Date],M589,NCAA_Bets[Result],"Push"),"")</f>
        <v>0-0</v>
      </c>
      <c r="P589" s="90">
        <f>SUMIF(NCAA_Bets[Date],M589,NCAA_Bets[Winnings])-SUMIF(NCAA_Bets[Date],M589,NCAA_Bets[Risk])</f>
        <v>0</v>
      </c>
    </row>
    <row r="590" spans="2:16" x14ac:dyDescent="0.25">
      <c r="B590" s="101">
        <f t="shared" si="26"/>
        <v>33</v>
      </c>
      <c r="L590" s="71">
        <f t="shared" si="25"/>
        <v>0</v>
      </c>
      <c r="M590" s="71">
        <f t="shared" si="24"/>
        <v>0</v>
      </c>
      <c r="N590" s="71" t="str">
        <f>IFERROR(VLOOKUP(M590,NCAA_Bets[[Date]:[Version]],2,0),"")</f>
        <v/>
      </c>
      <c r="O590" s="94" t="str">
        <f>COUNTIFS(NCAA_Bets[Date],M590,NCAA_Bets[Result],"W")&amp;"-"&amp;COUNTIFS(NCAA_Bets[Date],M590,NCAA_Bets[Result],"L")&amp;IF(COUNTIFS(NCAA_Bets[Date],M590,NCAA_Bets[Result],"Push")&gt;0,"-"&amp;COUNTIFS(NCAA_Bets[Date],M590,NCAA_Bets[Result],"Push"),"")</f>
        <v>0-0</v>
      </c>
      <c r="P590" s="90">
        <f>SUMIF(NCAA_Bets[Date],M590,NCAA_Bets[Winnings])-SUMIF(NCAA_Bets[Date],M590,NCAA_Bets[Risk])</f>
        <v>0</v>
      </c>
    </row>
    <row r="591" spans="2:16" x14ac:dyDescent="0.25">
      <c r="B591" s="101">
        <f t="shared" si="26"/>
        <v>33</v>
      </c>
      <c r="L591" s="71">
        <f t="shared" si="25"/>
        <v>0</v>
      </c>
      <c r="M591" s="71">
        <f t="shared" si="24"/>
        <v>0</v>
      </c>
      <c r="N591" s="71" t="str">
        <f>IFERROR(VLOOKUP(M591,NCAA_Bets[[Date]:[Version]],2,0),"")</f>
        <v/>
      </c>
      <c r="O591" s="94" t="str">
        <f>COUNTIFS(NCAA_Bets[Date],M591,NCAA_Bets[Result],"W")&amp;"-"&amp;COUNTIFS(NCAA_Bets[Date],M591,NCAA_Bets[Result],"L")&amp;IF(COUNTIFS(NCAA_Bets[Date],M591,NCAA_Bets[Result],"Push")&gt;0,"-"&amp;COUNTIFS(NCAA_Bets[Date],M591,NCAA_Bets[Result],"Push"),"")</f>
        <v>0-0</v>
      </c>
      <c r="P591" s="90">
        <f>SUMIF(NCAA_Bets[Date],M591,NCAA_Bets[Winnings])-SUMIF(NCAA_Bets[Date],M591,NCAA_Bets[Risk])</f>
        <v>0</v>
      </c>
    </row>
    <row r="592" spans="2:16" x14ac:dyDescent="0.25">
      <c r="B592" s="101">
        <f t="shared" si="26"/>
        <v>33</v>
      </c>
      <c r="L592" s="71">
        <f t="shared" si="25"/>
        <v>0</v>
      </c>
      <c r="M592" s="71">
        <f t="shared" si="24"/>
        <v>0</v>
      </c>
      <c r="N592" s="71" t="str">
        <f>IFERROR(VLOOKUP(M592,NCAA_Bets[[Date]:[Version]],2,0),"")</f>
        <v/>
      </c>
      <c r="O592" s="94" t="str">
        <f>COUNTIFS(NCAA_Bets[Date],M592,NCAA_Bets[Result],"W")&amp;"-"&amp;COUNTIFS(NCAA_Bets[Date],M592,NCAA_Bets[Result],"L")&amp;IF(COUNTIFS(NCAA_Bets[Date],M592,NCAA_Bets[Result],"Push")&gt;0,"-"&amp;COUNTIFS(NCAA_Bets[Date],M592,NCAA_Bets[Result],"Push"),"")</f>
        <v>0-0</v>
      </c>
      <c r="P592" s="90">
        <f>SUMIF(NCAA_Bets[Date],M592,NCAA_Bets[Winnings])-SUMIF(NCAA_Bets[Date],M592,NCAA_Bets[Risk])</f>
        <v>0</v>
      </c>
    </row>
    <row r="593" spans="2:16" x14ac:dyDescent="0.25">
      <c r="B593" s="101">
        <f t="shared" si="26"/>
        <v>33</v>
      </c>
      <c r="L593" s="71">
        <f t="shared" si="25"/>
        <v>0</v>
      </c>
      <c r="M593" s="71">
        <f t="shared" si="24"/>
        <v>0</v>
      </c>
      <c r="N593" s="71" t="str">
        <f>IFERROR(VLOOKUP(M593,NCAA_Bets[[Date]:[Version]],2,0),"")</f>
        <v/>
      </c>
      <c r="O593" s="94" t="str">
        <f>COUNTIFS(NCAA_Bets[Date],M593,NCAA_Bets[Result],"W")&amp;"-"&amp;COUNTIFS(NCAA_Bets[Date],M593,NCAA_Bets[Result],"L")&amp;IF(COUNTIFS(NCAA_Bets[Date],M593,NCAA_Bets[Result],"Push")&gt;0,"-"&amp;COUNTIFS(NCAA_Bets[Date],M593,NCAA_Bets[Result],"Push"),"")</f>
        <v>0-0</v>
      </c>
      <c r="P593" s="90">
        <f>SUMIF(NCAA_Bets[Date],M593,NCAA_Bets[Winnings])-SUMIF(NCAA_Bets[Date],M593,NCAA_Bets[Risk])</f>
        <v>0</v>
      </c>
    </row>
    <row r="594" spans="2:16" x14ac:dyDescent="0.25">
      <c r="B594" s="101">
        <f t="shared" si="26"/>
        <v>33</v>
      </c>
      <c r="L594" s="71">
        <f t="shared" si="25"/>
        <v>0</v>
      </c>
      <c r="M594" s="71">
        <f t="shared" si="24"/>
        <v>0</v>
      </c>
      <c r="N594" s="71" t="str">
        <f>IFERROR(VLOOKUP(M594,NCAA_Bets[[Date]:[Version]],2,0),"")</f>
        <v/>
      </c>
      <c r="O594" s="94" t="str">
        <f>COUNTIFS(NCAA_Bets[Date],M594,NCAA_Bets[Result],"W")&amp;"-"&amp;COUNTIFS(NCAA_Bets[Date],M594,NCAA_Bets[Result],"L")&amp;IF(COUNTIFS(NCAA_Bets[Date],M594,NCAA_Bets[Result],"Push")&gt;0,"-"&amp;COUNTIFS(NCAA_Bets[Date],M594,NCAA_Bets[Result],"Push"),"")</f>
        <v>0-0</v>
      </c>
      <c r="P594" s="90">
        <f>SUMIF(NCAA_Bets[Date],M594,NCAA_Bets[Winnings])-SUMIF(NCAA_Bets[Date],M594,NCAA_Bets[Risk])</f>
        <v>0</v>
      </c>
    </row>
    <row r="595" spans="2:16" x14ac:dyDescent="0.25">
      <c r="B595" s="101">
        <f t="shared" si="26"/>
        <v>33</v>
      </c>
      <c r="L595" s="71">
        <f t="shared" si="25"/>
        <v>0</v>
      </c>
      <c r="M595" s="71">
        <f t="shared" si="24"/>
        <v>0</v>
      </c>
      <c r="N595" s="71" t="str">
        <f>IFERROR(VLOOKUP(M595,NCAA_Bets[[Date]:[Version]],2,0),"")</f>
        <v/>
      </c>
      <c r="O595" s="94" t="str">
        <f>COUNTIFS(NCAA_Bets[Date],M595,NCAA_Bets[Result],"W")&amp;"-"&amp;COUNTIFS(NCAA_Bets[Date],M595,NCAA_Bets[Result],"L")&amp;IF(COUNTIFS(NCAA_Bets[Date],M595,NCAA_Bets[Result],"Push")&gt;0,"-"&amp;COUNTIFS(NCAA_Bets[Date],M595,NCAA_Bets[Result],"Push"),"")</f>
        <v>0-0</v>
      </c>
      <c r="P595" s="90">
        <f>SUMIF(NCAA_Bets[Date],M595,NCAA_Bets[Winnings])-SUMIF(NCAA_Bets[Date],M595,NCAA_Bets[Risk])</f>
        <v>0</v>
      </c>
    </row>
    <row r="596" spans="2:16" x14ac:dyDescent="0.25">
      <c r="B596" s="101">
        <f t="shared" si="26"/>
        <v>33</v>
      </c>
      <c r="L596" s="71">
        <f t="shared" si="25"/>
        <v>0</v>
      </c>
      <c r="M596" s="71">
        <f t="shared" si="24"/>
        <v>0</v>
      </c>
      <c r="N596" s="71" t="str">
        <f>IFERROR(VLOOKUP(M596,NCAA_Bets[[Date]:[Version]],2,0),"")</f>
        <v/>
      </c>
      <c r="O596" s="94" t="str">
        <f>COUNTIFS(NCAA_Bets[Date],M596,NCAA_Bets[Result],"W")&amp;"-"&amp;COUNTIFS(NCAA_Bets[Date],M596,NCAA_Bets[Result],"L")&amp;IF(COUNTIFS(NCAA_Bets[Date],M596,NCAA_Bets[Result],"Push")&gt;0,"-"&amp;COUNTIFS(NCAA_Bets[Date],M596,NCAA_Bets[Result],"Push"),"")</f>
        <v>0-0</v>
      </c>
      <c r="P596" s="90">
        <f>SUMIF(NCAA_Bets[Date],M596,NCAA_Bets[Winnings])-SUMIF(NCAA_Bets[Date],M596,NCAA_Bets[Risk])</f>
        <v>0</v>
      </c>
    </row>
    <row r="597" spans="2:16" x14ac:dyDescent="0.25">
      <c r="B597" s="101">
        <f t="shared" si="26"/>
        <v>33</v>
      </c>
      <c r="L597" s="71">
        <f t="shared" si="25"/>
        <v>0</v>
      </c>
      <c r="M597" s="71">
        <f t="shared" si="24"/>
        <v>0</v>
      </c>
      <c r="N597" s="71" t="str">
        <f>IFERROR(VLOOKUP(M597,NCAA_Bets[[Date]:[Version]],2,0),"")</f>
        <v/>
      </c>
      <c r="O597" s="94" t="str">
        <f>COUNTIFS(NCAA_Bets[Date],M597,NCAA_Bets[Result],"W")&amp;"-"&amp;COUNTIFS(NCAA_Bets[Date],M597,NCAA_Bets[Result],"L")&amp;IF(COUNTIFS(NCAA_Bets[Date],M597,NCAA_Bets[Result],"Push")&gt;0,"-"&amp;COUNTIFS(NCAA_Bets[Date],M597,NCAA_Bets[Result],"Push"),"")</f>
        <v>0-0</v>
      </c>
      <c r="P597" s="90">
        <f>SUMIF(NCAA_Bets[Date],M597,NCAA_Bets[Winnings])-SUMIF(NCAA_Bets[Date],M597,NCAA_Bets[Risk])</f>
        <v>0</v>
      </c>
    </row>
    <row r="598" spans="2:16" x14ac:dyDescent="0.25">
      <c r="B598" s="101">
        <f t="shared" si="26"/>
        <v>33</v>
      </c>
      <c r="L598" s="71">
        <f t="shared" si="25"/>
        <v>0</v>
      </c>
      <c r="M598" s="71">
        <f t="shared" si="24"/>
        <v>0</v>
      </c>
      <c r="N598" s="71" t="str">
        <f>IFERROR(VLOOKUP(M598,NCAA_Bets[[Date]:[Version]],2,0),"")</f>
        <v/>
      </c>
      <c r="O598" s="94" t="str">
        <f>COUNTIFS(NCAA_Bets[Date],M598,NCAA_Bets[Result],"W")&amp;"-"&amp;COUNTIFS(NCAA_Bets[Date],M598,NCAA_Bets[Result],"L")&amp;IF(COUNTIFS(NCAA_Bets[Date],M598,NCAA_Bets[Result],"Push")&gt;0,"-"&amp;COUNTIFS(NCAA_Bets[Date],M598,NCAA_Bets[Result],"Push"),"")</f>
        <v>0-0</v>
      </c>
      <c r="P598" s="90">
        <f>SUMIF(NCAA_Bets[Date],M598,NCAA_Bets[Winnings])-SUMIF(NCAA_Bets[Date],M598,NCAA_Bets[Risk])</f>
        <v>0</v>
      </c>
    </row>
    <row r="599" spans="2:16" x14ac:dyDescent="0.25">
      <c r="B599" s="101">
        <f t="shared" si="26"/>
        <v>33</v>
      </c>
      <c r="L599" s="71">
        <f t="shared" si="25"/>
        <v>0</v>
      </c>
      <c r="M599" s="71">
        <f t="shared" si="24"/>
        <v>0</v>
      </c>
      <c r="N599" s="71" t="str">
        <f>IFERROR(VLOOKUP(M599,NCAA_Bets[[Date]:[Version]],2,0),"")</f>
        <v/>
      </c>
      <c r="O599" s="94" t="str">
        <f>COUNTIFS(NCAA_Bets[Date],M599,NCAA_Bets[Result],"W")&amp;"-"&amp;COUNTIFS(NCAA_Bets[Date],M599,NCAA_Bets[Result],"L")&amp;IF(COUNTIFS(NCAA_Bets[Date],M599,NCAA_Bets[Result],"Push")&gt;0,"-"&amp;COUNTIFS(NCAA_Bets[Date],M599,NCAA_Bets[Result],"Push"),"")</f>
        <v>0-0</v>
      </c>
      <c r="P599" s="90">
        <f>SUMIF(NCAA_Bets[Date],M599,NCAA_Bets[Winnings])-SUMIF(NCAA_Bets[Date],M599,NCAA_Bets[Risk])</f>
        <v>0</v>
      </c>
    </row>
    <row r="600" spans="2:16" x14ac:dyDescent="0.25">
      <c r="B600" s="101">
        <f t="shared" si="26"/>
        <v>33</v>
      </c>
      <c r="L600" s="71">
        <f t="shared" si="25"/>
        <v>0</v>
      </c>
      <c r="M600" s="71">
        <f t="shared" si="24"/>
        <v>0</v>
      </c>
      <c r="N600" s="71" t="str">
        <f>IFERROR(VLOOKUP(M600,NCAA_Bets[[Date]:[Version]],2,0),"")</f>
        <v/>
      </c>
      <c r="O600" s="94" t="str">
        <f>COUNTIFS(NCAA_Bets[Date],M600,NCAA_Bets[Result],"W")&amp;"-"&amp;COUNTIFS(NCAA_Bets[Date],M600,NCAA_Bets[Result],"L")&amp;IF(COUNTIFS(NCAA_Bets[Date],M600,NCAA_Bets[Result],"Push")&gt;0,"-"&amp;COUNTIFS(NCAA_Bets[Date],M600,NCAA_Bets[Result],"Push"),"")</f>
        <v>0-0</v>
      </c>
      <c r="P600" s="90">
        <f>SUMIF(NCAA_Bets[Date],M600,NCAA_Bets[Winnings])-SUMIF(NCAA_Bets[Date],M600,NCAA_Bets[Risk])</f>
        <v>0</v>
      </c>
    </row>
    <row r="601" spans="2:16" x14ac:dyDescent="0.25">
      <c r="B601" s="101">
        <f t="shared" si="26"/>
        <v>33</v>
      </c>
      <c r="L601" s="71">
        <f t="shared" si="25"/>
        <v>0</v>
      </c>
      <c r="M601" s="71">
        <f t="shared" si="24"/>
        <v>0</v>
      </c>
      <c r="N601" s="71" t="str">
        <f>IFERROR(VLOOKUP(M601,NCAA_Bets[[Date]:[Version]],2,0),"")</f>
        <v/>
      </c>
      <c r="O601" s="94" t="str">
        <f>COUNTIFS(NCAA_Bets[Date],M601,NCAA_Bets[Result],"W")&amp;"-"&amp;COUNTIFS(NCAA_Bets[Date],M601,NCAA_Bets[Result],"L")&amp;IF(COUNTIFS(NCAA_Bets[Date],M601,NCAA_Bets[Result],"Push")&gt;0,"-"&amp;COUNTIFS(NCAA_Bets[Date],M601,NCAA_Bets[Result],"Push"),"")</f>
        <v>0-0</v>
      </c>
      <c r="P601" s="90">
        <f>SUMIF(NCAA_Bets[Date],M601,NCAA_Bets[Winnings])-SUMIF(NCAA_Bets[Date],M601,NCAA_Bets[Risk])</f>
        <v>0</v>
      </c>
    </row>
    <row r="602" spans="2:16" x14ac:dyDescent="0.25">
      <c r="B602" s="101">
        <f t="shared" si="26"/>
        <v>33</v>
      </c>
      <c r="L602" s="71">
        <f t="shared" si="25"/>
        <v>0</v>
      </c>
      <c r="M602" s="71">
        <f t="shared" ref="M602:M665" si="27">IFERROR(VLOOKUP(ROW()-4,B:C,2,0),0)</f>
        <v>0</v>
      </c>
      <c r="N602" s="71" t="str">
        <f>IFERROR(VLOOKUP(M602,NCAA_Bets[[Date]:[Version]],2,0),"")</f>
        <v/>
      </c>
      <c r="O602" s="94" t="str">
        <f>COUNTIFS(NCAA_Bets[Date],M602,NCAA_Bets[Result],"W")&amp;"-"&amp;COUNTIFS(NCAA_Bets[Date],M602,NCAA_Bets[Result],"L")&amp;IF(COUNTIFS(NCAA_Bets[Date],M602,NCAA_Bets[Result],"Push")&gt;0,"-"&amp;COUNTIFS(NCAA_Bets[Date],M602,NCAA_Bets[Result],"Push"),"")</f>
        <v>0-0</v>
      </c>
      <c r="P602" s="90">
        <f>SUMIF(NCAA_Bets[Date],M602,NCAA_Bets[Winnings])-SUMIF(NCAA_Bets[Date],M602,NCAA_Bets[Risk])</f>
        <v>0</v>
      </c>
    </row>
    <row r="603" spans="2:16" x14ac:dyDescent="0.25">
      <c r="B603" s="101">
        <f t="shared" si="26"/>
        <v>33</v>
      </c>
      <c r="L603" s="71">
        <f t="shared" si="25"/>
        <v>0</v>
      </c>
      <c r="M603" s="71">
        <f t="shared" si="27"/>
        <v>0</v>
      </c>
      <c r="N603" s="71" t="str">
        <f>IFERROR(VLOOKUP(M603,NCAA_Bets[[Date]:[Version]],2,0),"")</f>
        <v/>
      </c>
      <c r="O603" s="94" t="str">
        <f>COUNTIFS(NCAA_Bets[Date],M603,NCAA_Bets[Result],"W")&amp;"-"&amp;COUNTIFS(NCAA_Bets[Date],M603,NCAA_Bets[Result],"L")&amp;IF(COUNTIFS(NCAA_Bets[Date],M603,NCAA_Bets[Result],"Push")&gt;0,"-"&amp;COUNTIFS(NCAA_Bets[Date],M603,NCAA_Bets[Result],"Push"),"")</f>
        <v>0-0</v>
      </c>
      <c r="P603" s="90">
        <f>SUMIF(NCAA_Bets[Date],M603,NCAA_Bets[Winnings])-SUMIF(NCAA_Bets[Date],M603,NCAA_Bets[Risk])</f>
        <v>0</v>
      </c>
    </row>
    <row r="604" spans="2:16" x14ac:dyDescent="0.25">
      <c r="B604" s="101">
        <f t="shared" si="26"/>
        <v>33</v>
      </c>
      <c r="L604" s="71">
        <f t="shared" si="25"/>
        <v>0</v>
      </c>
      <c r="M604" s="71">
        <f t="shared" si="27"/>
        <v>0</v>
      </c>
      <c r="N604" s="71" t="str">
        <f>IFERROR(VLOOKUP(M604,NCAA_Bets[[Date]:[Version]],2,0),"")</f>
        <v/>
      </c>
      <c r="O604" s="94" t="str">
        <f>COUNTIFS(NCAA_Bets[Date],M604,NCAA_Bets[Result],"W")&amp;"-"&amp;COUNTIFS(NCAA_Bets[Date],M604,NCAA_Bets[Result],"L")&amp;IF(COUNTIFS(NCAA_Bets[Date],M604,NCAA_Bets[Result],"Push")&gt;0,"-"&amp;COUNTIFS(NCAA_Bets[Date],M604,NCAA_Bets[Result],"Push"),"")</f>
        <v>0-0</v>
      </c>
      <c r="P604" s="90">
        <f>SUMIF(NCAA_Bets[Date],M604,NCAA_Bets[Winnings])-SUMIF(NCAA_Bets[Date],M604,NCAA_Bets[Risk])</f>
        <v>0</v>
      </c>
    </row>
    <row r="605" spans="2:16" x14ac:dyDescent="0.25">
      <c r="B605" s="101">
        <f t="shared" si="26"/>
        <v>33</v>
      </c>
      <c r="L605" s="71">
        <f t="shared" si="25"/>
        <v>0</v>
      </c>
      <c r="M605" s="71">
        <f t="shared" si="27"/>
        <v>0</v>
      </c>
      <c r="N605" s="71" t="str">
        <f>IFERROR(VLOOKUP(M605,NCAA_Bets[[Date]:[Version]],2,0),"")</f>
        <v/>
      </c>
      <c r="O605" s="94" t="str">
        <f>COUNTIFS(NCAA_Bets[Date],M605,NCAA_Bets[Result],"W")&amp;"-"&amp;COUNTIFS(NCAA_Bets[Date],M605,NCAA_Bets[Result],"L")&amp;IF(COUNTIFS(NCAA_Bets[Date],M605,NCAA_Bets[Result],"Push")&gt;0,"-"&amp;COUNTIFS(NCAA_Bets[Date],M605,NCAA_Bets[Result],"Push"),"")</f>
        <v>0-0</v>
      </c>
      <c r="P605" s="90">
        <f>SUMIF(NCAA_Bets[Date],M605,NCAA_Bets[Winnings])-SUMIF(NCAA_Bets[Date],M605,NCAA_Bets[Risk])</f>
        <v>0</v>
      </c>
    </row>
    <row r="606" spans="2:16" x14ac:dyDescent="0.25">
      <c r="B606" s="101">
        <f t="shared" si="26"/>
        <v>33</v>
      </c>
      <c r="L606" s="71">
        <f t="shared" si="25"/>
        <v>0</v>
      </c>
      <c r="M606" s="71">
        <f t="shared" si="27"/>
        <v>0</v>
      </c>
      <c r="N606" s="71" t="str">
        <f>IFERROR(VLOOKUP(M606,NCAA_Bets[[Date]:[Version]],2,0),"")</f>
        <v/>
      </c>
      <c r="O606" s="94" t="str">
        <f>COUNTIFS(NCAA_Bets[Date],M606,NCAA_Bets[Result],"W")&amp;"-"&amp;COUNTIFS(NCAA_Bets[Date],M606,NCAA_Bets[Result],"L")&amp;IF(COUNTIFS(NCAA_Bets[Date],M606,NCAA_Bets[Result],"Push")&gt;0,"-"&amp;COUNTIFS(NCAA_Bets[Date],M606,NCAA_Bets[Result],"Push"),"")</f>
        <v>0-0</v>
      </c>
      <c r="P606" s="90">
        <f>SUMIF(NCAA_Bets[Date],M606,NCAA_Bets[Winnings])-SUMIF(NCAA_Bets[Date],M606,NCAA_Bets[Risk])</f>
        <v>0</v>
      </c>
    </row>
    <row r="607" spans="2:16" x14ac:dyDescent="0.25">
      <c r="B607" s="101">
        <f t="shared" si="26"/>
        <v>33</v>
      </c>
      <c r="L607" s="71">
        <f t="shared" si="25"/>
        <v>0</v>
      </c>
      <c r="M607" s="71">
        <f t="shared" si="27"/>
        <v>0</v>
      </c>
      <c r="N607" s="71" t="str">
        <f>IFERROR(VLOOKUP(M607,NCAA_Bets[[Date]:[Version]],2,0),"")</f>
        <v/>
      </c>
      <c r="O607" s="94" t="str">
        <f>COUNTIFS(NCAA_Bets[Date],M607,NCAA_Bets[Result],"W")&amp;"-"&amp;COUNTIFS(NCAA_Bets[Date],M607,NCAA_Bets[Result],"L")&amp;IF(COUNTIFS(NCAA_Bets[Date],M607,NCAA_Bets[Result],"Push")&gt;0,"-"&amp;COUNTIFS(NCAA_Bets[Date],M607,NCAA_Bets[Result],"Push"),"")</f>
        <v>0-0</v>
      </c>
      <c r="P607" s="90">
        <f>SUMIF(NCAA_Bets[Date],M607,NCAA_Bets[Winnings])-SUMIF(NCAA_Bets[Date],M607,NCAA_Bets[Risk])</f>
        <v>0</v>
      </c>
    </row>
    <row r="608" spans="2:16" x14ac:dyDescent="0.25">
      <c r="B608" s="101">
        <f t="shared" si="26"/>
        <v>33</v>
      </c>
      <c r="L608" s="71">
        <f t="shared" si="25"/>
        <v>0</v>
      </c>
      <c r="M608" s="71">
        <f t="shared" si="27"/>
        <v>0</v>
      </c>
      <c r="N608" s="71" t="str">
        <f>IFERROR(VLOOKUP(M608,NCAA_Bets[[Date]:[Version]],2,0),"")</f>
        <v/>
      </c>
      <c r="O608" s="94" t="str">
        <f>COUNTIFS(NCAA_Bets[Date],M608,NCAA_Bets[Result],"W")&amp;"-"&amp;COUNTIFS(NCAA_Bets[Date],M608,NCAA_Bets[Result],"L")&amp;IF(COUNTIFS(NCAA_Bets[Date],M608,NCAA_Bets[Result],"Push")&gt;0,"-"&amp;COUNTIFS(NCAA_Bets[Date],M608,NCAA_Bets[Result],"Push"),"")</f>
        <v>0-0</v>
      </c>
      <c r="P608" s="90">
        <f>SUMIF(NCAA_Bets[Date],M608,NCAA_Bets[Winnings])-SUMIF(NCAA_Bets[Date],M608,NCAA_Bets[Risk])</f>
        <v>0</v>
      </c>
    </row>
    <row r="609" spans="2:16" x14ac:dyDescent="0.25">
      <c r="B609" s="101">
        <f t="shared" si="26"/>
        <v>33</v>
      </c>
      <c r="L609" s="71">
        <f t="shared" si="25"/>
        <v>0</v>
      </c>
      <c r="M609" s="71">
        <f t="shared" si="27"/>
        <v>0</v>
      </c>
      <c r="N609" s="71" t="str">
        <f>IFERROR(VLOOKUP(M609,NCAA_Bets[[Date]:[Version]],2,0),"")</f>
        <v/>
      </c>
      <c r="O609" s="94" t="str">
        <f>COUNTIFS(NCAA_Bets[Date],M609,NCAA_Bets[Result],"W")&amp;"-"&amp;COUNTIFS(NCAA_Bets[Date],M609,NCAA_Bets[Result],"L")&amp;IF(COUNTIFS(NCAA_Bets[Date],M609,NCAA_Bets[Result],"Push")&gt;0,"-"&amp;COUNTIFS(NCAA_Bets[Date],M609,NCAA_Bets[Result],"Push"),"")</f>
        <v>0-0</v>
      </c>
      <c r="P609" s="90">
        <f>SUMIF(NCAA_Bets[Date],M609,NCAA_Bets[Winnings])-SUMIF(NCAA_Bets[Date],M609,NCAA_Bets[Risk])</f>
        <v>0</v>
      </c>
    </row>
    <row r="610" spans="2:16" x14ac:dyDescent="0.25">
      <c r="B610" s="101">
        <f t="shared" si="26"/>
        <v>33</v>
      </c>
      <c r="L610" s="71">
        <f t="shared" si="25"/>
        <v>0</v>
      </c>
      <c r="M610" s="71">
        <f t="shared" si="27"/>
        <v>0</v>
      </c>
      <c r="N610" s="71" t="str">
        <f>IFERROR(VLOOKUP(M610,NCAA_Bets[[Date]:[Version]],2,0),"")</f>
        <v/>
      </c>
      <c r="O610" s="94" t="str">
        <f>COUNTIFS(NCAA_Bets[Date],M610,NCAA_Bets[Result],"W")&amp;"-"&amp;COUNTIFS(NCAA_Bets[Date],M610,NCAA_Bets[Result],"L")&amp;IF(COUNTIFS(NCAA_Bets[Date],M610,NCAA_Bets[Result],"Push")&gt;0,"-"&amp;COUNTIFS(NCAA_Bets[Date],M610,NCAA_Bets[Result],"Push"),"")</f>
        <v>0-0</v>
      </c>
      <c r="P610" s="90">
        <f>SUMIF(NCAA_Bets[Date],M610,NCAA_Bets[Winnings])-SUMIF(NCAA_Bets[Date],M610,NCAA_Bets[Risk])</f>
        <v>0</v>
      </c>
    </row>
    <row r="611" spans="2:16" x14ac:dyDescent="0.25">
      <c r="B611" s="101">
        <f t="shared" si="26"/>
        <v>33</v>
      </c>
      <c r="L611" s="71">
        <f t="shared" si="25"/>
        <v>0</v>
      </c>
      <c r="M611" s="71">
        <f t="shared" si="27"/>
        <v>0</v>
      </c>
      <c r="N611" s="71" t="str">
        <f>IFERROR(VLOOKUP(M611,NCAA_Bets[[Date]:[Version]],2,0),"")</f>
        <v/>
      </c>
      <c r="O611" s="94" t="str">
        <f>COUNTIFS(NCAA_Bets[Date],M611,NCAA_Bets[Result],"W")&amp;"-"&amp;COUNTIFS(NCAA_Bets[Date],M611,NCAA_Bets[Result],"L")&amp;IF(COUNTIFS(NCAA_Bets[Date],M611,NCAA_Bets[Result],"Push")&gt;0,"-"&amp;COUNTIFS(NCAA_Bets[Date],M611,NCAA_Bets[Result],"Push"),"")</f>
        <v>0-0</v>
      </c>
      <c r="P611" s="90">
        <f>SUMIF(NCAA_Bets[Date],M611,NCAA_Bets[Winnings])-SUMIF(NCAA_Bets[Date],M611,NCAA_Bets[Risk])</f>
        <v>0</v>
      </c>
    </row>
    <row r="612" spans="2:16" x14ac:dyDescent="0.25">
      <c r="B612" s="101">
        <f t="shared" si="26"/>
        <v>33</v>
      </c>
      <c r="L612" s="71">
        <f t="shared" ref="L612:L675" si="28">IFERROR(VLOOKUP(ROW()-4,B:C,2,0),0)</f>
        <v>0</v>
      </c>
      <c r="M612" s="71">
        <f t="shared" si="27"/>
        <v>0</v>
      </c>
      <c r="N612" s="71" t="str">
        <f>IFERROR(VLOOKUP(M612,NCAA_Bets[[Date]:[Version]],2,0),"")</f>
        <v/>
      </c>
      <c r="O612" s="94" t="str">
        <f>COUNTIFS(NCAA_Bets[Date],M612,NCAA_Bets[Result],"W")&amp;"-"&amp;COUNTIFS(NCAA_Bets[Date],M612,NCAA_Bets[Result],"L")&amp;IF(COUNTIFS(NCAA_Bets[Date],M612,NCAA_Bets[Result],"Push")&gt;0,"-"&amp;COUNTIFS(NCAA_Bets[Date],M612,NCAA_Bets[Result],"Push"),"")</f>
        <v>0-0</v>
      </c>
      <c r="P612" s="90">
        <f>SUMIF(NCAA_Bets[Date],M612,NCAA_Bets[Winnings])-SUMIF(NCAA_Bets[Date],M612,NCAA_Bets[Risk])</f>
        <v>0</v>
      </c>
    </row>
    <row r="613" spans="2:16" x14ac:dyDescent="0.25">
      <c r="B613" s="101">
        <f t="shared" si="26"/>
        <v>33</v>
      </c>
      <c r="L613" s="71">
        <f t="shared" si="28"/>
        <v>0</v>
      </c>
      <c r="M613" s="71">
        <f t="shared" si="27"/>
        <v>0</v>
      </c>
      <c r="N613" s="71" t="str">
        <f>IFERROR(VLOOKUP(M613,NCAA_Bets[[Date]:[Version]],2,0),"")</f>
        <v/>
      </c>
      <c r="O613" s="94" t="str">
        <f>COUNTIFS(NCAA_Bets[Date],M613,NCAA_Bets[Result],"W")&amp;"-"&amp;COUNTIFS(NCAA_Bets[Date],M613,NCAA_Bets[Result],"L")&amp;IF(COUNTIFS(NCAA_Bets[Date],M613,NCAA_Bets[Result],"Push")&gt;0,"-"&amp;COUNTIFS(NCAA_Bets[Date],M613,NCAA_Bets[Result],"Push"),"")</f>
        <v>0-0</v>
      </c>
      <c r="P613" s="90">
        <f>SUMIF(NCAA_Bets[Date],M613,NCAA_Bets[Winnings])-SUMIF(NCAA_Bets[Date],M613,NCAA_Bets[Risk])</f>
        <v>0</v>
      </c>
    </row>
    <row r="614" spans="2:16" x14ac:dyDescent="0.25">
      <c r="B614" s="101">
        <f t="shared" si="26"/>
        <v>33</v>
      </c>
      <c r="L614" s="71">
        <f t="shared" si="28"/>
        <v>0</v>
      </c>
      <c r="M614" s="71">
        <f t="shared" si="27"/>
        <v>0</v>
      </c>
      <c r="N614" s="71" t="str">
        <f>IFERROR(VLOOKUP(M614,NCAA_Bets[[Date]:[Version]],2,0),"")</f>
        <v/>
      </c>
      <c r="O614" s="94" t="str">
        <f>COUNTIFS(NCAA_Bets[Date],M614,NCAA_Bets[Result],"W")&amp;"-"&amp;COUNTIFS(NCAA_Bets[Date],M614,NCAA_Bets[Result],"L")&amp;IF(COUNTIFS(NCAA_Bets[Date],M614,NCAA_Bets[Result],"Push")&gt;0,"-"&amp;COUNTIFS(NCAA_Bets[Date],M614,NCAA_Bets[Result],"Push"),"")</f>
        <v>0-0</v>
      </c>
      <c r="P614" s="90">
        <f>SUMIF(NCAA_Bets[Date],M614,NCAA_Bets[Winnings])-SUMIF(NCAA_Bets[Date],M614,NCAA_Bets[Risk])</f>
        <v>0</v>
      </c>
    </row>
    <row r="615" spans="2:16" x14ac:dyDescent="0.25">
      <c r="B615" s="101">
        <f t="shared" si="26"/>
        <v>33</v>
      </c>
      <c r="L615" s="71">
        <f t="shared" si="28"/>
        <v>0</v>
      </c>
      <c r="M615" s="71">
        <f t="shared" si="27"/>
        <v>0</v>
      </c>
      <c r="N615" s="71" t="str">
        <f>IFERROR(VLOOKUP(M615,NCAA_Bets[[Date]:[Version]],2,0),"")</f>
        <v/>
      </c>
      <c r="O615" s="94" t="str">
        <f>COUNTIFS(NCAA_Bets[Date],M615,NCAA_Bets[Result],"W")&amp;"-"&amp;COUNTIFS(NCAA_Bets[Date],M615,NCAA_Bets[Result],"L")&amp;IF(COUNTIFS(NCAA_Bets[Date],M615,NCAA_Bets[Result],"Push")&gt;0,"-"&amp;COUNTIFS(NCAA_Bets[Date],M615,NCAA_Bets[Result],"Push"),"")</f>
        <v>0-0</v>
      </c>
      <c r="P615" s="90">
        <f>SUMIF(NCAA_Bets[Date],M615,NCAA_Bets[Winnings])-SUMIF(NCAA_Bets[Date],M615,NCAA_Bets[Risk])</f>
        <v>0</v>
      </c>
    </row>
    <row r="616" spans="2:16" x14ac:dyDescent="0.25">
      <c r="B616" s="101">
        <f t="shared" si="26"/>
        <v>33</v>
      </c>
      <c r="L616" s="71">
        <f t="shared" si="28"/>
        <v>0</v>
      </c>
      <c r="M616" s="71">
        <f t="shared" si="27"/>
        <v>0</v>
      </c>
      <c r="N616" s="71" t="str">
        <f>IFERROR(VLOOKUP(M616,NCAA_Bets[[Date]:[Version]],2,0),"")</f>
        <v/>
      </c>
      <c r="O616" s="94" t="str">
        <f>COUNTIFS(NCAA_Bets[Date],M616,NCAA_Bets[Result],"W")&amp;"-"&amp;COUNTIFS(NCAA_Bets[Date],M616,NCAA_Bets[Result],"L")&amp;IF(COUNTIFS(NCAA_Bets[Date],M616,NCAA_Bets[Result],"Push")&gt;0,"-"&amp;COUNTIFS(NCAA_Bets[Date],M616,NCAA_Bets[Result],"Push"),"")</f>
        <v>0-0</v>
      </c>
      <c r="P616" s="90">
        <f>SUMIF(NCAA_Bets[Date],M616,NCAA_Bets[Winnings])-SUMIF(NCAA_Bets[Date],M616,NCAA_Bets[Risk])</f>
        <v>0</v>
      </c>
    </row>
    <row r="617" spans="2:16" x14ac:dyDescent="0.25">
      <c r="B617" s="101">
        <f t="shared" si="26"/>
        <v>33</v>
      </c>
      <c r="L617" s="71">
        <f t="shared" si="28"/>
        <v>0</v>
      </c>
      <c r="M617" s="71">
        <f t="shared" si="27"/>
        <v>0</v>
      </c>
      <c r="N617" s="71" t="str">
        <f>IFERROR(VLOOKUP(M617,NCAA_Bets[[Date]:[Version]],2,0),"")</f>
        <v/>
      </c>
      <c r="O617" s="94" t="str">
        <f>COUNTIFS(NCAA_Bets[Date],M617,NCAA_Bets[Result],"W")&amp;"-"&amp;COUNTIFS(NCAA_Bets[Date],M617,NCAA_Bets[Result],"L")&amp;IF(COUNTIFS(NCAA_Bets[Date],M617,NCAA_Bets[Result],"Push")&gt;0,"-"&amp;COUNTIFS(NCAA_Bets[Date],M617,NCAA_Bets[Result],"Push"),"")</f>
        <v>0-0</v>
      </c>
      <c r="P617" s="90">
        <f>SUMIF(NCAA_Bets[Date],M617,NCAA_Bets[Winnings])-SUMIF(NCAA_Bets[Date],M617,NCAA_Bets[Risk])</f>
        <v>0</v>
      </c>
    </row>
    <row r="618" spans="2:16" x14ac:dyDescent="0.25">
      <c r="B618" s="101">
        <f t="shared" si="26"/>
        <v>33</v>
      </c>
      <c r="L618" s="71">
        <f t="shared" si="28"/>
        <v>0</v>
      </c>
      <c r="M618" s="71">
        <f t="shared" si="27"/>
        <v>0</v>
      </c>
      <c r="N618" s="71" t="str">
        <f>IFERROR(VLOOKUP(M618,NCAA_Bets[[Date]:[Version]],2,0),"")</f>
        <v/>
      </c>
      <c r="O618" s="94" t="str">
        <f>COUNTIFS(NCAA_Bets[Date],M618,NCAA_Bets[Result],"W")&amp;"-"&amp;COUNTIFS(NCAA_Bets[Date],M618,NCAA_Bets[Result],"L")&amp;IF(COUNTIFS(NCAA_Bets[Date],M618,NCAA_Bets[Result],"Push")&gt;0,"-"&amp;COUNTIFS(NCAA_Bets[Date],M618,NCAA_Bets[Result],"Push"),"")</f>
        <v>0-0</v>
      </c>
      <c r="P618" s="90">
        <f>SUMIF(NCAA_Bets[Date],M618,NCAA_Bets[Winnings])-SUMIF(NCAA_Bets[Date],M618,NCAA_Bets[Risk])</f>
        <v>0</v>
      </c>
    </row>
    <row r="619" spans="2:16" x14ac:dyDescent="0.25">
      <c r="B619" s="101">
        <f t="shared" si="26"/>
        <v>33</v>
      </c>
      <c r="L619" s="71">
        <f t="shared" si="28"/>
        <v>0</v>
      </c>
      <c r="M619" s="71">
        <f t="shared" si="27"/>
        <v>0</v>
      </c>
      <c r="N619" s="71" t="str">
        <f>IFERROR(VLOOKUP(M619,NCAA_Bets[[Date]:[Version]],2,0),"")</f>
        <v/>
      </c>
      <c r="O619" s="94" t="str">
        <f>COUNTIFS(NCAA_Bets[Date],M619,NCAA_Bets[Result],"W")&amp;"-"&amp;COUNTIFS(NCAA_Bets[Date],M619,NCAA_Bets[Result],"L")&amp;IF(COUNTIFS(NCAA_Bets[Date],M619,NCAA_Bets[Result],"Push")&gt;0,"-"&amp;COUNTIFS(NCAA_Bets[Date],M619,NCAA_Bets[Result],"Push"),"")</f>
        <v>0-0</v>
      </c>
      <c r="P619" s="90">
        <f>SUMIF(NCAA_Bets[Date],M619,NCAA_Bets[Winnings])-SUMIF(NCAA_Bets[Date],M619,NCAA_Bets[Risk])</f>
        <v>0</v>
      </c>
    </row>
    <row r="620" spans="2:16" x14ac:dyDescent="0.25">
      <c r="B620" s="101">
        <f t="shared" si="26"/>
        <v>33</v>
      </c>
      <c r="L620" s="71">
        <f t="shared" si="28"/>
        <v>0</v>
      </c>
      <c r="M620" s="71">
        <f t="shared" si="27"/>
        <v>0</v>
      </c>
      <c r="N620" s="71" t="str">
        <f>IFERROR(VLOOKUP(M620,NCAA_Bets[[Date]:[Version]],2,0),"")</f>
        <v/>
      </c>
      <c r="O620" s="94" t="str">
        <f>COUNTIFS(NCAA_Bets[Date],M620,NCAA_Bets[Result],"W")&amp;"-"&amp;COUNTIFS(NCAA_Bets[Date],M620,NCAA_Bets[Result],"L")&amp;IF(COUNTIFS(NCAA_Bets[Date],M620,NCAA_Bets[Result],"Push")&gt;0,"-"&amp;COUNTIFS(NCAA_Bets[Date],M620,NCAA_Bets[Result],"Push"),"")</f>
        <v>0-0</v>
      </c>
      <c r="P620" s="90">
        <f>SUMIF(NCAA_Bets[Date],M620,NCAA_Bets[Winnings])-SUMIF(NCAA_Bets[Date],M620,NCAA_Bets[Risk])</f>
        <v>0</v>
      </c>
    </row>
    <row r="621" spans="2:16" x14ac:dyDescent="0.25">
      <c r="B621" s="101">
        <f t="shared" si="26"/>
        <v>33</v>
      </c>
      <c r="L621" s="71">
        <f t="shared" si="28"/>
        <v>0</v>
      </c>
      <c r="M621" s="71">
        <f t="shared" si="27"/>
        <v>0</v>
      </c>
      <c r="N621" s="71" t="str">
        <f>IFERROR(VLOOKUP(M621,NCAA_Bets[[Date]:[Version]],2,0),"")</f>
        <v/>
      </c>
      <c r="O621" s="94" t="str">
        <f>COUNTIFS(NCAA_Bets[Date],M621,NCAA_Bets[Result],"W")&amp;"-"&amp;COUNTIFS(NCAA_Bets[Date],M621,NCAA_Bets[Result],"L")&amp;IF(COUNTIFS(NCAA_Bets[Date],M621,NCAA_Bets[Result],"Push")&gt;0,"-"&amp;COUNTIFS(NCAA_Bets[Date],M621,NCAA_Bets[Result],"Push"),"")</f>
        <v>0-0</v>
      </c>
      <c r="P621" s="90">
        <f>SUMIF(NCAA_Bets[Date],M621,NCAA_Bets[Winnings])-SUMIF(NCAA_Bets[Date],M621,NCAA_Bets[Risk])</f>
        <v>0</v>
      </c>
    </row>
    <row r="622" spans="2:16" x14ac:dyDescent="0.25">
      <c r="B622" s="101">
        <f t="shared" si="26"/>
        <v>33</v>
      </c>
      <c r="L622" s="71">
        <f t="shared" si="28"/>
        <v>0</v>
      </c>
      <c r="M622" s="71">
        <f t="shared" si="27"/>
        <v>0</v>
      </c>
      <c r="N622" s="71" t="str">
        <f>IFERROR(VLOOKUP(M622,NCAA_Bets[[Date]:[Version]],2,0),"")</f>
        <v/>
      </c>
      <c r="O622" s="94" t="str">
        <f>COUNTIFS(NCAA_Bets[Date],M622,NCAA_Bets[Result],"W")&amp;"-"&amp;COUNTIFS(NCAA_Bets[Date],M622,NCAA_Bets[Result],"L")&amp;IF(COUNTIFS(NCAA_Bets[Date],M622,NCAA_Bets[Result],"Push")&gt;0,"-"&amp;COUNTIFS(NCAA_Bets[Date],M622,NCAA_Bets[Result],"Push"),"")</f>
        <v>0-0</v>
      </c>
      <c r="P622" s="90">
        <f>SUMIF(NCAA_Bets[Date],M622,NCAA_Bets[Winnings])-SUMIF(NCAA_Bets[Date],M622,NCAA_Bets[Risk])</f>
        <v>0</v>
      </c>
    </row>
    <row r="623" spans="2:16" x14ac:dyDescent="0.25">
      <c r="B623" s="101">
        <f t="shared" si="26"/>
        <v>33</v>
      </c>
      <c r="L623" s="71">
        <f t="shared" si="28"/>
        <v>0</v>
      </c>
      <c r="M623" s="71">
        <f t="shared" si="27"/>
        <v>0</v>
      </c>
      <c r="N623" s="71" t="str">
        <f>IFERROR(VLOOKUP(M623,NCAA_Bets[[Date]:[Version]],2,0),"")</f>
        <v/>
      </c>
      <c r="O623" s="94" t="str">
        <f>COUNTIFS(NCAA_Bets[Date],M623,NCAA_Bets[Result],"W")&amp;"-"&amp;COUNTIFS(NCAA_Bets[Date],M623,NCAA_Bets[Result],"L")&amp;IF(COUNTIFS(NCAA_Bets[Date],M623,NCAA_Bets[Result],"Push")&gt;0,"-"&amp;COUNTIFS(NCAA_Bets[Date],M623,NCAA_Bets[Result],"Push"),"")</f>
        <v>0-0</v>
      </c>
      <c r="P623" s="90">
        <f>SUMIF(NCAA_Bets[Date],M623,NCAA_Bets[Winnings])-SUMIF(NCAA_Bets[Date],M623,NCAA_Bets[Risk])</f>
        <v>0</v>
      </c>
    </row>
    <row r="624" spans="2:16" x14ac:dyDescent="0.25">
      <c r="B624" s="101">
        <f t="shared" si="26"/>
        <v>33</v>
      </c>
      <c r="L624" s="71">
        <f t="shared" si="28"/>
        <v>0</v>
      </c>
      <c r="M624" s="71">
        <f t="shared" si="27"/>
        <v>0</v>
      </c>
      <c r="N624" s="71" t="str">
        <f>IFERROR(VLOOKUP(M624,NCAA_Bets[[Date]:[Version]],2,0),"")</f>
        <v/>
      </c>
      <c r="O624" s="94" t="str">
        <f>COUNTIFS(NCAA_Bets[Date],M624,NCAA_Bets[Result],"W")&amp;"-"&amp;COUNTIFS(NCAA_Bets[Date],M624,NCAA_Bets[Result],"L")&amp;IF(COUNTIFS(NCAA_Bets[Date],M624,NCAA_Bets[Result],"Push")&gt;0,"-"&amp;COUNTIFS(NCAA_Bets[Date],M624,NCAA_Bets[Result],"Push"),"")</f>
        <v>0-0</v>
      </c>
      <c r="P624" s="90">
        <f>SUMIF(NCAA_Bets[Date],M624,NCAA_Bets[Winnings])-SUMIF(NCAA_Bets[Date],M624,NCAA_Bets[Risk])</f>
        <v>0</v>
      </c>
    </row>
    <row r="625" spans="2:16" x14ac:dyDescent="0.25">
      <c r="B625" s="101">
        <f t="shared" si="26"/>
        <v>33</v>
      </c>
      <c r="L625" s="71">
        <f t="shared" si="28"/>
        <v>0</v>
      </c>
      <c r="M625" s="71">
        <f t="shared" si="27"/>
        <v>0</v>
      </c>
      <c r="N625" s="71" t="str">
        <f>IFERROR(VLOOKUP(M625,NCAA_Bets[[Date]:[Version]],2,0),"")</f>
        <v/>
      </c>
      <c r="O625" s="94" t="str">
        <f>COUNTIFS(NCAA_Bets[Date],M625,NCAA_Bets[Result],"W")&amp;"-"&amp;COUNTIFS(NCAA_Bets[Date],M625,NCAA_Bets[Result],"L")&amp;IF(COUNTIFS(NCAA_Bets[Date],M625,NCAA_Bets[Result],"Push")&gt;0,"-"&amp;COUNTIFS(NCAA_Bets[Date],M625,NCAA_Bets[Result],"Push"),"")</f>
        <v>0-0</v>
      </c>
      <c r="P625" s="90">
        <f>SUMIF(NCAA_Bets[Date],M625,NCAA_Bets[Winnings])-SUMIF(NCAA_Bets[Date],M625,NCAA_Bets[Risk])</f>
        <v>0</v>
      </c>
    </row>
    <row r="626" spans="2:16" x14ac:dyDescent="0.25">
      <c r="B626" s="101">
        <f t="shared" si="26"/>
        <v>33</v>
      </c>
      <c r="L626" s="71">
        <f t="shared" si="28"/>
        <v>0</v>
      </c>
      <c r="M626" s="71">
        <f t="shared" si="27"/>
        <v>0</v>
      </c>
      <c r="N626" s="71" t="str">
        <f>IFERROR(VLOOKUP(M626,NCAA_Bets[[Date]:[Version]],2,0),"")</f>
        <v/>
      </c>
      <c r="O626" s="94" t="str">
        <f>COUNTIFS(NCAA_Bets[Date],M626,NCAA_Bets[Result],"W")&amp;"-"&amp;COUNTIFS(NCAA_Bets[Date],M626,NCAA_Bets[Result],"L")&amp;IF(COUNTIFS(NCAA_Bets[Date],M626,NCAA_Bets[Result],"Push")&gt;0,"-"&amp;COUNTIFS(NCAA_Bets[Date],M626,NCAA_Bets[Result],"Push"),"")</f>
        <v>0-0</v>
      </c>
      <c r="P626" s="90">
        <f>SUMIF(NCAA_Bets[Date],M626,NCAA_Bets[Winnings])-SUMIF(NCAA_Bets[Date],M626,NCAA_Bets[Risk])</f>
        <v>0</v>
      </c>
    </row>
    <row r="627" spans="2:16" x14ac:dyDescent="0.25">
      <c r="B627" s="101">
        <f t="shared" si="26"/>
        <v>33</v>
      </c>
      <c r="L627" s="71">
        <f t="shared" si="28"/>
        <v>0</v>
      </c>
      <c r="M627" s="71">
        <f t="shared" si="27"/>
        <v>0</v>
      </c>
      <c r="N627" s="71" t="str">
        <f>IFERROR(VLOOKUP(M627,NCAA_Bets[[Date]:[Version]],2,0),"")</f>
        <v/>
      </c>
      <c r="O627" s="94" t="str">
        <f>COUNTIFS(NCAA_Bets[Date],M627,NCAA_Bets[Result],"W")&amp;"-"&amp;COUNTIFS(NCAA_Bets[Date],M627,NCAA_Bets[Result],"L")&amp;IF(COUNTIFS(NCAA_Bets[Date],M627,NCAA_Bets[Result],"Push")&gt;0,"-"&amp;COUNTIFS(NCAA_Bets[Date],M627,NCAA_Bets[Result],"Push"),"")</f>
        <v>0-0</v>
      </c>
      <c r="P627" s="90">
        <f>SUMIF(NCAA_Bets[Date],M627,NCAA_Bets[Winnings])-SUMIF(NCAA_Bets[Date],M627,NCAA_Bets[Risk])</f>
        <v>0</v>
      </c>
    </row>
    <row r="628" spans="2:16" x14ac:dyDescent="0.25">
      <c r="B628" s="101">
        <f t="shared" si="26"/>
        <v>33</v>
      </c>
      <c r="L628" s="71">
        <f t="shared" si="28"/>
        <v>0</v>
      </c>
      <c r="M628" s="71">
        <f t="shared" si="27"/>
        <v>0</v>
      </c>
      <c r="N628" s="71" t="str">
        <f>IFERROR(VLOOKUP(M628,NCAA_Bets[[Date]:[Version]],2,0),"")</f>
        <v/>
      </c>
      <c r="O628" s="94" t="str">
        <f>COUNTIFS(NCAA_Bets[Date],M628,NCAA_Bets[Result],"W")&amp;"-"&amp;COUNTIFS(NCAA_Bets[Date],M628,NCAA_Bets[Result],"L")&amp;IF(COUNTIFS(NCAA_Bets[Date],M628,NCAA_Bets[Result],"Push")&gt;0,"-"&amp;COUNTIFS(NCAA_Bets[Date],M628,NCAA_Bets[Result],"Push"),"")</f>
        <v>0-0</v>
      </c>
      <c r="P628" s="90">
        <f>SUMIF(NCAA_Bets[Date],M628,NCAA_Bets[Winnings])-SUMIF(NCAA_Bets[Date],M628,NCAA_Bets[Risk])</f>
        <v>0</v>
      </c>
    </row>
    <row r="629" spans="2:16" x14ac:dyDescent="0.25">
      <c r="B629" s="101">
        <f t="shared" si="26"/>
        <v>33</v>
      </c>
      <c r="L629" s="71">
        <f t="shared" si="28"/>
        <v>0</v>
      </c>
      <c r="M629" s="71">
        <f t="shared" si="27"/>
        <v>0</v>
      </c>
      <c r="N629" s="71" t="str">
        <f>IFERROR(VLOOKUP(M629,NCAA_Bets[[Date]:[Version]],2,0),"")</f>
        <v/>
      </c>
      <c r="O629" s="94" t="str">
        <f>COUNTIFS(NCAA_Bets[Date],M629,NCAA_Bets[Result],"W")&amp;"-"&amp;COUNTIFS(NCAA_Bets[Date],M629,NCAA_Bets[Result],"L")&amp;IF(COUNTIFS(NCAA_Bets[Date],M629,NCAA_Bets[Result],"Push")&gt;0,"-"&amp;COUNTIFS(NCAA_Bets[Date],M629,NCAA_Bets[Result],"Push"),"")</f>
        <v>0-0</v>
      </c>
      <c r="P629" s="90">
        <f>SUMIF(NCAA_Bets[Date],M629,NCAA_Bets[Winnings])-SUMIF(NCAA_Bets[Date],M629,NCAA_Bets[Risk])</f>
        <v>0</v>
      </c>
    </row>
    <row r="630" spans="2:16" x14ac:dyDescent="0.25">
      <c r="B630" s="101">
        <f t="shared" si="26"/>
        <v>33</v>
      </c>
      <c r="L630" s="71">
        <f t="shared" si="28"/>
        <v>0</v>
      </c>
      <c r="M630" s="71">
        <f t="shared" si="27"/>
        <v>0</v>
      </c>
      <c r="N630" s="71" t="str">
        <f>IFERROR(VLOOKUP(M630,NCAA_Bets[[Date]:[Version]],2,0),"")</f>
        <v/>
      </c>
      <c r="O630" s="94" t="str">
        <f>COUNTIFS(NCAA_Bets[Date],M630,NCAA_Bets[Result],"W")&amp;"-"&amp;COUNTIFS(NCAA_Bets[Date],M630,NCAA_Bets[Result],"L")&amp;IF(COUNTIFS(NCAA_Bets[Date],M630,NCAA_Bets[Result],"Push")&gt;0,"-"&amp;COUNTIFS(NCAA_Bets[Date],M630,NCAA_Bets[Result],"Push"),"")</f>
        <v>0-0</v>
      </c>
      <c r="P630" s="90">
        <f>SUMIF(NCAA_Bets[Date],M630,NCAA_Bets[Winnings])-SUMIF(NCAA_Bets[Date],M630,NCAA_Bets[Risk])</f>
        <v>0</v>
      </c>
    </row>
    <row r="631" spans="2:16" x14ac:dyDescent="0.25">
      <c r="B631" s="101">
        <f t="shared" si="26"/>
        <v>33</v>
      </c>
      <c r="L631" s="71">
        <f t="shared" si="28"/>
        <v>0</v>
      </c>
      <c r="M631" s="71">
        <f t="shared" si="27"/>
        <v>0</v>
      </c>
      <c r="N631" s="71" t="str">
        <f>IFERROR(VLOOKUP(M631,NCAA_Bets[[Date]:[Version]],2,0),"")</f>
        <v/>
      </c>
      <c r="O631" s="94" t="str">
        <f>COUNTIFS(NCAA_Bets[Date],M631,NCAA_Bets[Result],"W")&amp;"-"&amp;COUNTIFS(NCAA_Bets[Date],M631,NCAA_Bets[Result],"L")&amp;IF(COUNTIFS(NCAA_Bets[Date],M631,NCAA_Bets[Result],"Push")&gt;0,"-"&amp;COUNTIFS(NCAA_Bets[Date],M631,NCAA_Bets[Result],"Push"),"")</f>
        <v>0-0</v>
      </c>
      <c r="P631" s="90">
        <f>SUMIF(NCAA_Bets[Date],M631,NCAA_Bets[Winnings])-SUMIF(NCAA_Bets[Date],M631,NCAA_Bets[Risk])</f>
        <v>0</v>
      </c>
    </row>
    <row r="632" spans="2:16" x14ac:dyDescent="0.25">
      <c r="B632" s="101">
        <f t="shared" si="26"/>
        <v>33</v>
      </c>
      <c r="L632" s="71">
        <f t="shared" si="28"/>
        <v>0</v>
      </c>
      <c r="M632" s="71">
        <f t="shared" si="27"/>
        <v>0</v>
      </c>
      <c r="N632" s="71" t="str">
        <f>IFERROR(VLOOKUP(M632,NCAA_Bets[[Date]:[Version]],2,0),"")</f>
        <v/>
      </c>
      <c r="O632" s="94" t="str">
        <f>COUNTIFS(NCAA_Bets[Date],M632,NCAA_Bets[Result],"W")&amp;"-"&amp;COUNTIFS(NCAA_Bets[Date],M632,NCAA_Bets[Result],"L")&amp;IF(COUNTIFS(NCAA_Bets[Date],M632,NCAA_Bets[Result],"Push")&gt;0,"-"&amp;COUNTIFS(NCAA_Bets[Date],M632,NCAA_Bets[Result],"Push"),"")</f>
        <v>0-0</v>
      </c>
      <c r="P632" s="90">
        <f>SUMIF(NCAA_Bets[Date],M632,NCAA_Bets[Winnings])-SUMIF(NCAA_Bets[Date],M632,NCAA_Bets[Risk])</f>
        <v>0</v>
      </c>
    </row>
    <row r="633" spans="2:16" x14ac:dyDescent="0.25">
      <c r="B633" s="101">
        <f t="shared" si="26"/>
        <v>33</v>
      </c>
      <c r="L633" s="71">
        <f t="shared" si="28"/>
        <v>0</v>
      </c>
      <c r="M633" s="71">
        <f t="shared" si="27"/>
        <v>0</v>
      </c>
      <c r="N633" s="71" t="str">
        <f>IFERROR(VLOOKUP(M633,NCAA_Bets[[Date]:[Version]],2,0),"")</f>
        <v/>
      </c>
      <c r="O633" s="94" t="str">
        <f>COUNTIFS(NCAA_Bets[Date],M633,NCAA_Bets[Result],"W")&amp;"-"&amp;COUNTIFS(NCAA_Bets[Date],M633,NCAA_Bets[Result],"L")&amp;IF(COUNTIFS(NCAA_Bets[Date],M633,NCAA_Bets[Result],"Push")&gt;0,"-"&amp;COUNTIFS(NCAA_Bets[Date],M633,NCAA_Bets[Result],"Push"),"")</f>
        <v>0-0</v>
      </c>
      <c r="P633" s="90">
        <f>SUMIF(NCAA_Bets[Date],M633,NCAA_Bets[Winnings])-SUMIF(NCAA_Bets[Date],M633,NCAA_Bets[Risk])</f>
        <v>0</v>
      </c>
    </row>
    <row r="634" spans="2:16" x14ac:dyDescent="0.25">
      <c r="B634" s="101">
        <f t="shared" si="26"/>
        <v>33</v>
      </c>
      <c r="L634" s="71">
        <f t="shared" si="28"/>
        <v>0</v>
      </c>
      <c r="M634" s="71">
        <f t="shared" si="27"/>
        <v>0</v>
      </c>
      <c r="N634" s="71" t="str">
        <f>IFERROR(VLOOKUP(M634,NCAA_Bets[[Date]:[Version]],2,0),"")</f>
        <v/>
      </c>
      <c r="O634" s="94" t="str">
        <f>COUNTIFS(NCAA_Bets[Date],M634,NCAA_Bets[Result],"W")&amp;"-"&amp;COUNTIFS(NCAA_Bets[Date],M634,NCAA_Bets[Result],"L")&amp;IF(COUNTIFS(NCAA_Bets[Date],M634,NCAA_Bets[Result],"Push")&gt;0,"-"&amp;COUNTIFS(NCAA_Bets[Date],M634,NCAA_Bets[Result],"Push"),"")</f>
        <v>0-0</v>
      </c>
      <c r="P634" s="90">
        <f>SUMIF(NCAA_Bets[Date],M634,NCAA_Bets[Winnings])-SUMIF(NCAA_Bets[Date],M634,NCAA_Bets[Risk])</f>
        <v>0</v>
      </c>
    </row>
    <row r="635" spans="2:16" x14ac:dyDescent="0.25">
      <c r="B635" s="101">
        <f t="shared" si="26"/>
        <v>33</v>
      </c>
      <c r="L635" s="71">
        <f t="shared" si="28"/>
        <v>0</v>
      </c>
      <c r="M635" s="71">
        <f t="shared" si="27"/>
        <v>0</v>
      </c>
      <c r="N635" s="71" t="str">
        <f>IFERROR(VLOOKUP(M635,NCAA_Bets[[Date]:[Version]],2,0),"")</f>
        <v/>
      </c>
      <c r="O635" s="94" t="str">
        <f>COUNTIFS(NCAA_Bets[Date],M635,NCAA_Bets[Result],"W")&amp;"-"&amp;COUNTIFS(NCAA_Bets[Date],M635,NCAA_Bets[Result],"L")&amp;IF(COUNTIFS(NCAA_Bets[Date],M635,NCAA_Bets[Result],"Push")&gt;0,"-"&amp;COUNTIFS(NCAA_Bets[Date],M635,NCAA_Bets[Result],"Push"),"")</f>
        <v>0-0</v>
      </c>
      <c r="P635" s="90">
        <f>SUMIF(NCAA_Bets[Date],M635,NCAA_Bets[Winnings])-SUMIF(NCAA_Bets[Date],M635,NCAA_Bets[Risk])</f>
        <v>0</v>
      </c>
    </row>
    <row r="636" spans="2:16" x14ac:dyDescent="0.25">
      <c r="B636" s="101">
        <f t="shared" si="26"/>
        <v>33</v>
      </c>
      <c r="L636" s="71">
        <f t="shared" si="28"/>
        <v>0</v>
      </c>
      <c r="M636" s="71">
        <f t="shared" si="27"/>
        <v>0</v>
      </c>
      <c r="N636" s="71" t="str">
        <f>IFERROR(VLOOKUP(M636,NCAA_Bets[[Date]:[Version]],2,0),"")</f>
        <v/>
      </c>
      <c r="O636" s="94" t="str">
        <f>COUNTIFS(NCAA_Bets[Date],M636,NCAA_Bets[Result],"W")&amp;"-"&amp;COUNTIFS(NCAA_Bets[Date],M636,NCAA_Bets[Result],"L")&amp;IF(COUNTIFS(NCAA_Bets[Date],M636,NCAA_Bets[Result],"Push")&gt;0,"-"&amp;COUNTIFS(NCAA_Bets[Date],M636,NCAA_Bets[Result],"Push"),"")</f>
        <v>0-0</v>
      </c>
      <c r="P636" s="90">
        <f>SUMIF(NCAA_Bets[Date],M636,NCAA_Bets[Winnings])-SUMIF(NCAA_Bets[Date],M636,NCAA_Bets[Risk])</f>
        <v>0</v>
      </c>
    </row>
    <row r="637" spans="2:16" x14ac:dyDescent="0.25">
      <c r="B637" s="101">
        <f t="shared" si="26"/>
        <v>33</v>
      </c>
      <c r="L637" s="71">
        <f t="shared" si="28"/>
        <v>0</v>
      </c>
      <c r="M637" s="71">
        <f t="shared" si="27"/>
        <v>0</v>
      </c>
      <c r="N637" s="71" t="str">
        <f>IFERROR(VLOOKUP(M637,NCAA_Bets[[Date]:[Version]],2,0),"")</f>
        <v/>
      </c>
      <c r="O637" s="94" t="str">
        <f>COUNTIFS(NCAA_Bets[Date],M637,NCAA_Bets[Result],"W")&amp;"-"&amp;COUNTIFS(NCAA_Bets[Date],M637,NCAA_Bets[Result],"L")&amp;IF(COUNTIFS(NCAA_Bets[Date],M637,NCAA_Bets[Result],"Push")&gt;0,"-"&amp;COUNTIFS(NCAA_Bets[Date],M637,NCAA_Bets[Result],"Push"),"")</f>
        <v>0-0</v>
      </c>
      <c r="P637" s="90">
        <f>SUMIF(NCAA_Bets[Date],M637,NCAA_Bets[Winnings])-SUMIF(NCAA_Bets[Date],M637,NCAA_Bets[Risk])</f>
        <v>0</v>
      </c>
    </row>
    <row r="638" spans="2:16" x14ac:dyDescent="0.25">
      <c r="B638" s="101">
        <f t="shared" si="26"/>
        <v>33</v>
      </c>
      <c r="L638" s="71">
        <f t="shared" si="28"/>
        <v>0</v>
      </c>
      <c r="M638" s="71">
        <f t="shared" si="27"/>
        <v>0</v>
      </c>
      <c r="N638" s="71" t="str">
        <f>IFERROR(VLOOKUP(M638,NCAA_Bets[[Date]:[Version]],2,0),"")</f>
        <v/>
      </c>
      <c r="O638" s="94" t="str">
        <f>COUNTIFS(NCAA_Bets[Date],M638,NCAA_Bets[Result],"W")&amp;"-"&amp;COUNTIFS(NCAA_Bets[Date],M638,NCAA_Bets[Result],"L")&amp;IF(COUNTIFS(NCAA_Bets[Date],M638,NCAA_Bets[Result],"Push")&gt;0,"-"&amp;COUNTIFS(NCAA_Bets[Date],M638,NCAA_Bets[Result],"Push"),"")</f>
        <v>0-0</v>
      </c>
      <c r="P638" s="90">
        <f>SUMIF(NCAA_Bets[Date],M638,NCAA_Bets[Winnings])-SUMIF(NCAA_Bets[Date],M638,NCAA_Bets[Risk])</f>
        <v>0</v>
      </c>
    </row>
    <row r="639" spans="2:16" x14ac:dyDescent="0.25">
      <c r="B639" s="101">
        <f t="shared" si="26"/>
        <v>33</v>
      </c>
      <c r="L639" s="71">
        <f t="shared" si="28"/>
        <v>0</v>
      </c>
      <c r="M639" s="71">
        <f t="shared" si="27"/>
        <v>0</v>
      </c>
      <c r="N639" s="71" t="str">
        <f>IFERROR(VLOOKUP(M639,NCAA_Bets[[Date]:[Version]],2,0),"")</f>
        <v/>
      </c>
      <c r="O639" s="94" t="str">
        <f>COUNTIFS(NCAA_Bets[Date],M639,NCAA_Bets[Result],"W")&amp;"-"&amp;COUNTIFS(NCAA_Bets[Date],M639,NCAA_Bets[Result],"L")&amp;IF(COUNTIFS(NCAA_Bets[Date],M639,NCAA_Bets[Result],"Push")&gt;0,"-"&amp;COUNTIFS(NCAA_Bets[Date],M639,NCAA_Bets[Result],"Push"),"")</f>
        <v>0-0</v>
      </c>
      <c r="P639" s="90">
        <f>SUMIF(NCAA_Bets[Date],M639,NCAA_Bets[Winnings])-SUMIF(NCAA_Bets[Date],M639,NCAA_Bets[Risk])</f>
        <v>0</v>
      </c>
    </row>
    <row r="640" spans="2:16" x14ac:dyDescent="0.25">
      <c r="B640" s="101">
        <f t="shared" si="26"/>
        <v>33</v>
      </c>
      <c r="L640" s="71">
        <f t="shared" si="28"/>
        <v>0</v>
      </c>
      <c r="M640" s="71">
        <f t="shared" si="27"/>
        <v>0</v>
      </c>
      <c r="N640" s="71" t="str">
        <f>IFERROR(VLOOKUP(M640,NCAA_Bets[[Date]:[Version]],2,0),"")</f>
        <v/>
      </c>
      <c r="O640" s="94" t="str">
        <f>COUNTIFS(NCAA_Bets[Date],M640,NCAA_Bets[Result],"W")&amp;"-"&amp;COUNTIFS(NCAA_Bets[Date],M640,NCAA_Bets[Result],"L")&amp;IF(COUNTIFS(NCAA_Bets[Date],M640,NCAA_Bets[Result],"Push")&gt;0,"-"&amp;COUNTIFS(NCAA_Bets[Date],M640,NCAA_Bets[Result],"Push"),"")</f>
        <v>0-0</v>
      </c>
      <c r="P640" s="90">
        <f>SUMIF(NCAA_Bets[Date],M640,NCAA_Bets[Winnings])-SUMIF(NCAA_Bets[Date],M640,NCAA_Bets[Risk])</f>
        <v>0</v>
      </c>
    </row>
    <row r="641" spans="2:16" x14ac:dyDescent="0.25">
      <c r="B641" s="101">
        <f t="shared" si="26"/>
        <v>33</v>
      </c>
      <c r="L641" s="71">
        <f t="shared" si="28"/>
        <v>0</v>
      </c>
      <c r="M641" s="71">
        <f t="shared" si="27"/>
        <v>0</v>
      </c>
      <c r="N641" s="71" t="str">
        <f>IFERROR(VLOOKUP(M641,NCAA_Bets[[Date]:[Version]],2,0),"")</f>
        <v/>
      </c>
      <c r="O641" s="94" t="str">
        <f>COUNTIFS(NCAA_Bets[Date],M641,NCAA_Bets[Result],"W")&amp;"-"&amp;COUNTIFS(NCAA_Bets[Date],M641,NCAA_Bets[Result],"L")&amp;IF(COUNTIFS(NCAA_Bets[Date],M641,NCAA_Bets[Result],"Push")&gt;0,"-"&amp;COUNTIFS(NCAA_Bets[Date],M641,NCAA_Bets[Result],"Push"),"")</f>
        <v>0-0</v>
      </c>
      <c r="P641" s="90">
        <f>SUMIF(NCAA_Bets[Date],M641,NCAA_Bets[Winnings])-SUMIF(NCAA_Bets[Date],M641,NCAA_Bets[Risk])</f>
        <v>0</v>
      </c>
    </row>
    <row r="642" spans="2:16" x14ac:dyDescent="0.25">
      <c r="B642" s="101">
        <f t="shared" si="26"/>
        <v>33</v>
      </c>
      <c r="L642" s="71">
        <f t="shared" si="28"/>
        <v>0</v>
      </c>
      <c r="M642" s="71">
        <f t="shared" si="27"/>
        <v>0</v>
      </c>
      <c r="N642" s="71" t="str">
        <f>IFERROR(VLOOKUP(M642,NCAA_Bets[[Date]:[Version]],2,0),"")</f>
        <v/>
      </c>
      <c r="O642" s="94" t="str">
        <f>COUNTIFS(NCAA_Bets[Date],M642,NCAA_Bets[Result],"W")&amp;"-"&amp;COUNTIFS(NCAA_Bets[Date],M642,NCAA_Bets[Result],"L")&amp;IF(COUNTIFS(NCAA_Bets[Date],M642,NCAA_Bets[Result],"Push")&gt;0,"-"&amp;COUNTIFS(NCAA_Bets[Date],M642,NCAA_Bets[Result],"Push"),"")</f>
        <v>0-0</v>
      </c>
      <c r="P642" s="90">
        <f>SUMIF(NCAA_Bets[Date],M642,NCAA_Bets[Winnings])-SUMIF(NCAA_Bets[Date],M642,NCAA_Bets[Risk])</f>
        <v>0</v>
      </c>
    </row>
    <row r="643" spans="2:16" x14ac:dyDescent="0.25">
      <c r="B643" s="101">
        <f t="shared" si="26"/>
        <v>33</v>
      </c>
      <c r="L643" s="71">
        <f t="shared" si="28"/>
        <v>0</v>
      </c>
      <c r="M643" s="71">
        <f t="shared" si="27"/>
        <v>0</v>
      </c>
      <c r="N643" s="71" t="str">
        <f>IFERROR(VLOOKUP(M643,NCAA_Bets[[Date]:[Version]],2,0),"")</f>
        <v/>
      </c>
      <c r="O643" s="94" t="str">
        <f>COUNTIFS(NCAA_Bets[Date],M643,NCAA_Bets[Result],"W")&amp;"-"&amp;COUNTIFS(NCAA_Bets[Date],M643,NCAA_Bets[Result],"L")&amp;IF(COUNTIFS(NCAA_Bets[Date],M643,NCAA_Bets[Result],"Push")&gt;0,"-"&amp;COUNTIFS(NCAA_Bets[Date],M643,NCAA_Bets[Result],"Push"),"")</f>
        <v>0-0</v>
      </c>
      <c r="P643" s="90">
        <f>SUMIF(NCAA_Bets[Date],M643,NCAA_Bets[Winnings])-SUMIF(NCAA_Bets[Date],M643,NCAA_Bets[Risk])</f>
        <v>0</v>
      </c>
    </row>
    <row r="644" spans="2:16" x14ac:dyDescent="0.25">
      <c r="B644" s="101">
        <f t="shared" si="26"/>
        <v>33</v>
      </c>
      <c r="L644" s="71">
        <f t="shared" si="28"/>
        <v>0</v>
      </c>
      <c r="M644" s="71">
        <f t="shared" si="27"/>
        <v>0</v>
      </c>
      <c r="N644" s="71" t="str">
        <f>IFERROR(VLOOKUP(M644,NCAA_Bets[[Date]:[Version]],2,0),"")</f>
        <v/>
      </c>
      <c r="O644" s="94" t="str">
        <f>COUNTIFS(NCAA_Bets[Date],M644,NCAA_Bets[Result],"W")&amp;"-"&amp;COUNTIFS(NCAA_Bets[Date],M644,NCAA_Bets[Result],"L")&amp;IF(COUNTIFS(NCAA_Bets[Date],M644,NCAA_Bets[Result],"Push")&gt;0,"-"&amp;COUNTIFS(NCAA_Bets[Date],M644,NCAA_Bets[Result],"Push"),"")</f>
        <v>0-0</v>
      </c>
      <c r="P644" s="90">
        <f>SUMIF(NCAA_Bets[Date],M644,NCAA_Bets[Winnings])-SUMIF(NCAA_Bets[Date],M644,NCAA_Bets[Risk])</f>
        <v>0</v>
      </c>
    </row>
    <row r="645" spans="2:16" x14ac:dyDescent="0.25">
      <c r="B645" s="101">
        <f t="shared" si="26"/>
        <v>33</v>
      </c>
      <c r="L645" s="71">
        <f t="shared" si="28"/>
        <v>0</v>
      </c>
      <c r="M645" s="71">
        <f t="shared" si="27"/>
        <v>0</v>
      </c>
      <c r="N645" s="71" t="str">
        <f>IFERROR(VLOOKUP(M645,NCAA_Bets[[Date]:[Version]],2,0),"")</f>
        <v/>
      </c>
      <c r="O645" s="94" t="str">
        <f>COUNTIFS(NCAA_Bets[Date],M645,NCAA_Bets[Result],"W")&amp;"-"&amp;COUNTIFS(NCAA_Bets[Date],M645,NCAA_Bets[Result],"L")&amp;IF(COUNTIFS(NCAA_Bets[Date],M645,NCAA_Bets[Result],"Push")&gt;0,"-"&amp;COUNTIFS(NCAA_Bets[Date],M645,NCAA_Bets[Result],"Push"),"")</f>
        <v>0-0</v>
      </c>
      <c r="P645" s="90">
        <f>SUMIF(NCAA_Bets[Date],M645,NCAA_Bets[Winnings])-SUMIF(NCAA_Bets[Date],M645,NCAA_Bets[Risk])</f>
        <v>0</v>
      </c>
    </row>
    <row r="646" spans="2:16" x14ac:dyDescent="0.25">
      <c r="B646" s="101">
        <f t="shared" ref="B646:B709" si="29">IF(C646=C645,B645,B645+1)</f>
        <v>33</v>
      </c>
      <c r="L646" s="71">
        <f t="shared" si="28"/>
        <v>0</v>
      </c>
      <c r="M646" s="71">
        <f t="shared" si="27"/>
        <v>0</v>
      </c>
      <c r="N646" s="71" t="str">
        <f>IFERROR(VLOOKUP(M646,NCAA_Bets[[Date]:[Version]],2,0),"")</f>
        <v/>
      </c>
      <c r="O646" s="94" t="str">
        <f>COUNTIFS(NCAA_Bets[Date],M646,NCAA_Bets[Result],"W")&amp;"-"&amp;COUNTIFS(NCAA_Bets[Date],M646,NCAA_Bets[Result],"L")&amp;IF(COUNTIFS(NCAA_Bets[Date],M646,NCAA_Bets[Result],"Push")&gt;0,"-"&amp;COUNTIFS(NCAA_Bets[Date],M646,NCAA_Bets[Result],"Push"),"")</f>
        <v>0-0</v>
      </c>
      <c r="P646" s="90">
        <f>SUMIF(NCAA_Bets[Date],M646,NCAA_Bets[Winnings])-SUMIF(NCAA_Bets[Date],M646,NCAA_Bets[Risk])</f>
        <v>0</v>
      </c>
    </row>
    <row r="647" spans="2:16" x14ac:dyDescent="0.25">
      <c r="B647" s="101">
        <f t="shared" si="29"/>
        <v>33</v>
      </c>
      <c r="L647" s="71">
        <f t="shared" si="28"/>
        <v>0</v>
      </c>
      <c r="M647" s="71">
        <f t="shared" si="27"/>
        <v>0</v>
      </c>
      <c r="N647" s="71" t="str">
        <f>IFERROR(VLOOKUP(M647,NCAA_Bets[[Date]:[Version]],2,0),"")</f>
        <v/>
      </c>
      <c r="O647" s="94" t="str">
        <f>COUNTIFS(NCAA_Bets[Date],M647,NCAA_Bets[Result],"W")&amp;"-"&amp;COUNTIFS(NCAA_Bets[Date],M647,NCAA_Bets[Result],"L")&amp;IF(COUNTIFS(NCAA_Bets[Date],M647,NCAA_Bets[Result],"Push")&gt;0,"-"&amp;COUNTIFS(NCAA_Bets[Date],M647,NCAA_Bets[Result],"Push"),"")</f>
        <v>0-0</v>
      </c>
      <c r="P647" s="90">
        <f>SUMIF(NCAA_Bets[Date],M647,NCAA_Bets[Winnings])-SUMIF(NCAA_Bets[Date],M647,NCAA_Bets[Risk])</f>
        <v>0</v>
      </c>
    </row>
    <row r="648" spans="2:16" x14ac:dyDescent="0.25">
      <c r="B648" s="101">
        <f t="shared" si="29"/>
        <v>33</v>
      </c>
      <c r="L648" s="71">
        <f t="shared" si="28"/>
        <v>0</v>
      </c>
      <c r="M648" s="71">
        <f t="shared" si="27"/>
        <v>0</v>
      </c>
      <c r="N648" s="71" t="str">
        <f>IFERROR(VLOOKUP(M648,NCAA_Bets[[Date]:[Version]],2,0),"")</f>
        <v/>
      </c>
      <c r="O648" s="94" t="str">
        <f>COUNTIFS(NCAA_Bets[Date],M648,NCAA_Bets[Result],"W")&amp;"-"&amp;COUNTIFS(NCAA_Bets[Date],M648,NCAA_Bets[Result],"L")&amp;IF(COUNTIFS(NCAA_Bets[Date],M648,NCAA_Bets[Result],"Push")&gt;0,"-"&amp;COUNTIFS(NCAA_Bets[Date],M648,NCAA_Bets[Result],"Push"),"")</f>
        <v>0-0</v>
      </c>
      <c r="P648" s="90">
        <f>SUMIF(NCAA_Bets[Date],M648,NCAA_Bets[Winnings])-SUMIF(NCAA_Bets[Date],M648,NCAA_Bets[Risk])</f>
        <v>0</v>
      </c>
    </row>
    <row r="649" spans="2:16" x14ac:dyDescent="0.25">
      <c r="B649" s="101">
        <f t="shared" si="29"/>
        <v>33</v>
      </c>
      <c r="L649" s="71">
        <f t="shared" si="28"/>
        <v>0</v>
      </c>
      <c r="M649" s="71">
        <f t="shared" si="27"/>
        <v>0</v>
      </c>
      <c r="N649" s="71" t="str">
        <f>IFERROR(VLOOKUP(M649,NCAA_Bets[[Date]:[Version]],2,0),"")</f>
        <v/>
      </c>
      <c r="O649" s="94" t="str">
        <f>COUNTIFS(NCAA_Bets[Date],M649,NCAA_Bets[Result],"W")&amp;"-"&amp;COUNTIFS(NCAA_Bets[Date],M649,NCAA_Bets[Result],"L")&amp;IF(COUNTIFS(NCAA_Bets[Date],M649,NCAA_Bets[Result],"Push")&gt;0,"-"&amp;COUNTIFS(NCAA_Bets[Date],M649,NCAA_Bets[Result],"Push"),"")</f>
        <v>0-0</v>
      </c>
      <c r="P649" s="90">
        <f>SUMIF(NCAA_Bets[Date],M649,NCAA_Bets[Winnings])-SUMIF(NCAA_Bets[Date],M649,NCAA_Bets[Risk])</f>
        <v>0</v>
      </c>
    </row>
    <row r="650" spans="2:16" x14ac:dyDescent="0.25">
      <c r="B650" s="101">
        <f t="shared" si="29"/>
        <v>33</v>
      </c>
      <c r="L650" s="71">
        <f t="shared" si="28"/>
        <v>0</v>
      </c>
      <c r="M650" s="71">
        <f t="shared" si="27"/>
        <v>0</v>
      </c>
      <c r="N650" s="71" t="str">
        <f>IFERROR(VLOOKUP(M650,NCAA_Bets[[Date]:[Version]],2,0),"")</f>
        <v/>
      </c>
      <c r="O650" s="94" t="str">
        <f>COUNTIFS(NCAA_Bets[Date],M650,NCAA_Bets[Result],"W")&amp;"-"&amp;COUNTIFS(NCAA_Bets[Date],M650,NCAA_Bets[Result],"L")&amp;IF(COUNTIFS(NCAA_Bets[Date],M650,NCAA_Bets[Result],"Push")&gt;0,"-"&amp;COUNTIFS(NCAA_Bets[Date],M650,NCAA_Bets[Result],"Push"),"")</f>
        <v>0-0</v>
      </c>
      <c r="P650" s="90">
        <f>SUMIF(NCAA_Bets[Date],M650,NCAA_Bets[Winnings])-SUMIF(NCAA_Bets[Date],M650,NCAA_Bets[Risk])</f>
        <v>0</v>
      </c>
    </row>
    <row r="651" spans="2:16" x14ac:dyDescent="0.25">
      <c r="B651" s="101">
        <f t="shared" si="29"/>
        <v>33</v>
      </c>
      <c r="L651" s="71">
        <f t="shared" si="28"/>
        <v>0</v>
      </c>
      <c r="M651" s="71">
        <f t="shared" si="27"/>
        <v>0</v>
      </c>
      <c r="N651" s="71" t="str">
        <f>IFERROR(VLOOKUP(M651,NCAA_Bets[[Date]:[Version]],2,0),"")</f>
        <v/>
      </c>
      <c r="O651" s="94" t="str">
        <f>COUNTIFS(NCAA_Bets[Date],M651,NCAA_Bets[Result],"W")&amp;"-"&amp;COUNTIFS(NCAA_Bets[Date],M651,NCAA_Bets[Result],"L")&amp;IF(COUNTIFS(NCAA_Bets[Date],M651,NCAA_Bets[Result],"Push")&gt;0,"-"&amp;COUNTIFS(NCAA_Bets[Date],M651,NCAA_Bets[Result],"Push"),"")</f>
        <v>0-0</v>
      </c>
      <c r="P651" s="90">
        <f>SUMIF(NCAA_Bets[Date],M651,NCAA_Bets[Winnings])-SUMIF(NCAA_Bets[Date],M651,NCAA_Bets[Risk])</f>
        <v>0</v>
      </c>
    </row>
    <row r="652" spans="2:16" x14ac:dyDescent="0.25">
      <c r="B652" s="101">
        <f t="shared" si="29"/>
        <v>33</v>
      </c>
      <c r="L652" s="71">
        <f t="shared" si="28"/>
        <v>0</v>
      </c>
      <c r="M652" s="71">
        <f t="shared" si="27"/>
        <v>0</v>
      </c>
      <c r="N652" s="71" t="str">
        <f>IFERROR(VLOOKUP(M652,NCAA_Bets[[Date]:[Version]],2,0),"")</f>
        <v/>
      </c>
      <c r="O652" s="94" t="str">
        <f>COUNTIFS(NCAA_Bets[Date],M652,NCAA_Bets[Result],"W")&amp;"-"&amp;COUNTIFS(NCAA_Bets[Date],M652,NCAA_Bets[Result],"L")&amp;IF(COUNTIFS(NCAA_Bets[Date],M652,NCAA_Bets[Result],"Push")&gt;0,"-"&amp;COUNTIFS(NCAA_Bets[Date],M652,NCAA_Bets[Result],"Push"),"")</f>
        <v>0-0</v>
      </c>
      <c r="P652" s="90">
        <f>SUMIF(NCAA_Bets[Date],M652,NCAA_Bets[Winnings])-SUMIF(NCAA_Bets[Date],M652,NCAA_Bets[Risk])</f>
        <v>0</v>
      </c>
    </row>
    <row r="653" spans="2:16" x14ac:dyDescent="0.25">
      <c r="B653" s="101">
        <f t="shared" si="29"/>
        <v>33</v>
      </c>
      <c r="L653" s="71">
        <f t="shared" si="28"/>
        <v>0</v>
      </c>
      <c r="M653" s="71">
        <f t="shared" si="27"/>
        <v>0</v>
      </c>
      <c r="N653" s="71" t="str">
        <f>IFERROR(VLOOKUP(M653,NCAA_Bets[[Date]:[Version]],2,0),"")</f>
        <v/>
      </c>
      <c r="O653" s="94" t="str">
        <f>COUNTIFS(NCAA_Bets[Date],M653,NCAA_Bets[Result],"W")&amp;"-"&amp;COUNTIFS(NCAA_Bets[Date],M653,NCAA_Bets[Result],"L")&amp;IF(COUNTIFS(NCAA_Bets[Date],M653,NCAA_Bets[Result],"Push")&gt;0,"-"&amp;COUNTIFS(NCAA_Bets[Date],M653,NCAA_Bets[Result],"Push"),"")</f>
        <v>0-0</v>
      </c>
      <c r="P653" s="90">
        <f>SUMIF(NCAA_Bets[Date],M653,NCAA_Bets[Winnings])-SUMIF(NCAA_Bets[Date],M653,NCAA_Bets[Risk])</f>
        <v>0</v>
      </c>
    </row>
    <row r="654" spans="2:16" x14ac:dyDescent="0.25">
      <c r="B654" s="101">
        <f t="shared" si="29"/>
        <v>33</v>
      </c>
      <c r="L654" s="71">
        <f t="shared" si="28"/>
        <v>0</v>
      </c>
      <c r="M654" s="71">
        <f t="shared" si="27"/>
        <v>0</v>
      </c>
      <c r="N654" s="71" t="str">
        <f>IFERROR(VLOOKUP(M654,NCAA_Bets[[Date]:[Version]],2,0),"")</f>
        <v/>
      </c>
      <c r="O654" s="94" t="str">
        <f>COUNTIFS(NCAA_Bets[Date],M654,NCAA_Bets[Result],"W")&amp;"-"&amp;COUNTIFS(NCAA_Bets[Date],M654,NCAA_Bets[Result],"L")&amp;IF(COUNTIFS(NCAA_Bets[Date],M654,NCAA_Bets[Result],"Push")&gt;0,"-"&amp;COUNTIFS(NCAA_Bets[Date],M654,NCAA_Bets[Result],"Push"),"")</f>
        <v>0-0</v>
      </c>
      <c r="P654" s="90">
        <f>SUMIF(NCAA_Bets[Date],M654,NCAA_Bets[Winnings])-SUMIF(NCAA_Bets[Date],M654,NCAA_Bets[Risk])</f>
        <v>0</v>
      </c>
    </row>
    <row r="655" spans="2:16" x14ac:dyDescent="0.25">
      <c r="B655" s="101">
        <f t="shared" si="29"/>
        <v>33</v>
      </c>
      <c r="L655" s="71">
        <f t="shared" si="28"/>
        <v>0</v>
      </c>
      <c r="M655" s="71">
        <f t="shared" si="27"/>
        <v>0</v>
      </c>
      <c r="N655" s="71" t="str">
        <f>IFERROR(VLOOKUP(M655,NCAA_Bets[[Date]:[Version]],2,0),"")</f>
        <v/>
      </c>
      <c r="O655" s="94" t="str">
        <f>COUNTIFS(NCAA_Bets[Date],M655,NCAA_Bets[Result],"W")&amp;"-"&amp;COUNTIFS(NCAA_Bets[Date],M655,NCAA_Bets[Result],"L")&amp;IF(COUNTIFS(NCAA_Bets[Date],M655,NCAA_Bets[Result],"Push")&gt;0,"-"&amp;COUNTIFS(NCAA_Bets[Date],M655,NCAA_Bets[Result],"Push"),"")</f>
        <v>0-0</v>
      </c>
      <c r="P655" s="90">
        <f>SUMIF(NCAA_Bets[Date],M655,NCAA_Bets[Winnings])-SUMIF(NCAA_Bets[Date],M655,NCAA_Bets[Risk])</f>
        <v>0</v>
      </c>
    </row>
    <row r="656" spans="2:16" x14ac:dyDescent="0.25">
      <c r="B656" s="101">
        <f t="shared" si="29"/>
        <v>33</v>
      </c>
      <c r="L656" s="71">
        <f t="shared" si="28"/>
        <v>0</v>
      </c>
      <c r="M656" s="71">
        <f t="shared" si="27"/>
        <v>0</v>
      </c>
      <c r="N656" s="71" t="str">
        <f>IFERROR(VLOOKUP(M656,NCAA_Bets[[Date]:[Version]],2,0),"")</f>
        <v/>
      </c>
      <c r="O656" s="94" t="str">
        <f>COUNTIFS(NCAA_Bets[Date],M656,NCAA_Bets[Result],"W")&amp;"-"&amp;COUNTIFS(NCAA_Bets[Date],M656,NCAA_Bets[Result],"L")&amp;IF(COUNTIFS(NCAA_Bets[Date],M656,NCAA_Bets[Result],"Push")&gt;0,"-"&amp;COUNTIFS(NCAA_Bets[Date],M656,NCAA_Bets[Result],"Push"),"")</f>
        <v>0-0</v>
      </c>
      <c r="P656" s="90">
        <f>SUMIF(NCAA_Bets[Date],M656,NCAA_Bets[Winnings])-SUMIF(NCAA_Bets[Date],M656,NCAA_Bets[Risk])</f>
        <v>0</v>
      </c>
    </row>
    <row r="657" spans="2:16" x14ac:dyDescent="0.25">
      <c r="B657" s="101">
        <f t="shared" si="29"/>
        <v>33</v>
      </c>
      <c r="L657" s="71">
        <f t="shared" si="28"/>
        <v>0</v>
      </c>
      <c r="M657" s="71">
        <f t="shared" si="27"/>
        <v>0</v>
      </c>
      <c r="N657" s="71" t="str">
        <f>IFERROR(VLOOKUP(M657,NCAA_Bets[[Date]:[Version]],2,0),"")</f>
        <v/>
      </c>
      <c r="O657" s="94" t="str">
        <f>COUNTIFS(NCAA_Bets[Date],M657,NCAA_Bets[Result],"W")&amp;"-"&amp;COUNTIFS(NCAA_Bets[Date],M657,NCAA_Bets[Result],"L")&amp;IF(COUNTIFS(NCAA_Bets[Date],M657,NCAA_Bets[Result],"Push")&gt;0,"-"&amp;COUNTIFS(NCAA_Bets[Date],M657,NCAA_Bets[Result],"Push"),"")</f>
        <v>0-0</v>
      </c>
      <c r="P657" s="90">
        <f>SUMIF(NCAA_Bets[Date],M657,NCAA_Bets[Winnings])-SUMIF(NCAA_Bets[Date],M657,NCAA_Bets[Risk])</f>
        <v>0</v>
      </c>
    </row>
    <row r="658" spans="2:16" x14ac:dyDescent="0.25">
      <c r="B658" s="101">
        <f t="shared" si="29"/>
        <v>33</v>
      </c>
      <c r="L658" s="71">
        <f t="shared" si="28"/>
        <v>0</v>
      </c>
      <c r="M658" s="71">
        <f t="shared" si="27"/>
        <v>0</v>
      </c>
      <c r="N658" s="71" t="str">
        <f>IFERROR(VLOOKUP(M658,NCAA_Bets[[Date]:[Version]],2,0),"")</f>
        <v/>
      </c>
      <c r="O658" s="94" t="str">
        <f>COUNTIFS(NCAA_Bets[Date],M658,NCAA_Bets[Result],"W")&amp;"-"&amp;COUNTIFS(NCAA_Bets[Date],M658,NCAA_Bets[Result],"L")&amp;IF(COUNTIFS(NCAA_Bets[Date],M658,NCAA_Bets[Result],"Push")&gt;0,"-"&amp;COUNTIFS(NCAA_Bets[Date],M658,NCAA_Bets[Result],"Push"),"")</f>
        <v>0-0</v>
      </c>
      <c r="P658" s="90">
        <f>SUMIF(NCAA_Bets[Date],M658,NCAA_Bets[Winnings])-SUMIF(NCAA_Bets[Date],M658,NCAA_Bets[Risk])</f>
        <v>0</v>
      </c>
    </row>
    <row r="659" spans="2:16" x14ac:dyDescent="0.25">
      <c r="B659" s="101">
        <f t="shared" si="29"/>
        <v>33</v>
      </c>
      <c r="L659" s="71">
        <f t="shared" si="28"/>
        <v>0</v>
      </c>
      <c r="M659" s="71">
        <f t="shared" si="27"/>
        <v>0</v>
      </c>
      <c r="N659" s="71" t="str">
        <f>IFERROR(VLOOKUP(M659,NCAA_Bets[[Date]:[Version]],2,0),"")</f>
        <v/>
      </c>
      <c r="O659" s="94" t="str">
        <f>COUNTIFS(NCAA_Bets[Date],M659,NCAA_Bets[Result],"W")&amp;"-"&amp;COUNTIFS(NCAA_Bets[Date],M659,NCAA_Bets[Result],"L")&amp;IF(COUNTIFS(NCAA_Bets[Date],M659,NCAA_Bets[Result],"Push")&gt;0,"-"&amp;COUNTIFS(NCAA_Bets[Date],M659,NCAA_Bets[Result],"Push"),"")</f>
        <v>0-0</v>
      </c>
      <c r="P659" s="90">
        <f>SUMIF(NCAA_Bets[Date],M659,NCAA_Bets[Winnings])-SUMIF(NCAA_Bets[Date],M659,NCAA_Bets[Risk])</f>
        <v>0</v>
      </c>
    </row>
    <row r="660" spans="2:16" x14ac:dyDescent="0.25">
      <c r="B660" s="101">
        <f t="shared" si="29"/>
        <v>33</v>
      </c>
      <c r="L660" s="71">
        <f t="shared" si="28"/>
        <v>0</v>
      </c>
      <c r="M660" s="71">
        <f t="shared" si="27"/>
        <v>0</v>
      </c>
      <c r="N660" s="71" t="str">
        <f>IFERROR(VLOOKUP(M660,NCAA_Bets[[Date]:[Version]],2,0),"")</f>
        <v/>
      </c>
      <c r="O660" s="94" t="str">
        <f>COUNTIFS(NCAA_Bets[Date],M660,NCAA_Bets[Result],"W")&amp;"-"&amp;COUNTIFS(NCAA_Bets[Date],M660,NCAA_Bets[Result],"L")&amp;IF(COUNTIFS(NCAA_Bets[Date],M660,NCAA_Bets[Result],"Push")&gt;0,"-"&amp;COUNTIFS(NCAA_Bets[Date],M660,NCAA_Bets[Result],"Push"),"")</f>
        <v>0-0</v>
      </c>
      <c r="P660" s="90">
        <f>SUMIF(NCAA_Bets[Date],M660,NCAA_Bets[Winnings])-SUMIF(NCAA_Bets[Date],M660,NCAA_Bets[Risk])</f>
        <v>0</v>
      </c>
    </row>
    <row r="661" spans="2:16" x14ac:dyDescent="0.25">
      <c r="B661" s="101">
        <f t="shared" si="29"/>
        <v>33</v>
      </c>
      <c r="L661" s="71">
        <f t="shared" si="28"/>
        <v>0</v>
      </c>
      <c r="M661" s="71">
        <f t="shared" si="27"/>
        <v>0</v>
      </c>
      <c r="N661" s="71" t="str">
        <f>IFERROR(VLOOKUP(M661,NCAA_Bets[[Date]:[Version]],2,0),"")</f>
        <v/>
      </c>
      <c r="O661" s="94" t="str">
        <f>COUNTIFS(NCAA_Bets[Date],M661,NCAA_Bets[Result],"W")&amp;"-"&amp;COUNTIFS(NCAA_Bets[Date],M661,NCAA_Bets[Result],"L")&amp;IF(COUNTIFS(NCAA_Bets[Date],M661,NCAA_Bets[Result],"Push")&gt;0,"-"&amp;COUNTIFS(NCAA_Bets[Date],M661,NCAA_Bets[Result],"Push"),"")</f>
        <v>0-0</v>
      </c>
      <c r="P661" s="90">
        <f>SUMIF(NCAA_Bets[Date],M661,NCAA_Bets[Winnings])-SUMIF(NCAA_Bets[Date],M661,NCAA_Bets[Risk])</f>
        <v>0</v>
      </c>
    </row>
    <row r="662" spans="2:16" x14ac:dyDescent="0.25">
      <c r="B662" s="101">
        <f t="shared" si="29"/>
        <v>33</v>
      </c>
      <c r="L662" s="71">
        <f t="shared" si="28"/>
        <v>0</v>
      </c>
      <c r="M662" s="71">
        <f t="shared" si="27"/>
        <v>0</v>
      </c>
      <c r="N662" s="71" t="str">
        <f>IFERROR(VLOOKUP(M662,NCAA_Bets[[Date]:[Version]],2,0),"")</f>
        <v/>
      </c>
      <c r="O662" s="94" t="str">
        <f>COUNTIFS(NCAA_Bets[Date],M662,NCAA_Bets[Result],"W")&amp;"-"&amp;COUNTIFS(NCAA_Bets[Date],M662,NCAA_Bets[Result],"L")&amp;IF(COUNTIFS(NCAA_Bets[Date],M662,NCAA_Bets[Result],"Push")&gt;0,"-"&amp;COUNTIFS(NCAA_Bets[Date],M662,NCAA_Bets[Result],"Push"),"")</f>
        <v>0-0</v>
      </c>
      <c r="P662" s="90">
        <f>SUMIF(NCAA_Bets[Date],M662,NCAA_Bets[Winnings])-SUMIF(NCAA_Bets[Date],M662,NCAA_Bets[Risk])</f>
        <v>0</v>
      </c>
    </row>
    <row r="663" spans="2:16" x14ac:dyDescent="0.25">
      <c r="B663" s="101">
        <f t="shared" si="29"/>
        <v>33</v>
      </c>
      <c r="L663" s="71">
        <f t="shared" si="28"/>
        <v>0</v>
      </c>
      <c r="M663" s="71">
        <f t="shared" si="27"/>
        <v>0</v>
      </c>
      <c r="N663" s="71" t="str">
        <f>IFERROR(VLOOKUP(M663,NCAA_Bets[[Date]:[Version]],2,0),"")</f>
        <v/>
      </c>
      <c r="O663" s="94" t="str">
        <f>COUNTIFS(NCAA_Bets[Date],M663,NCAA_Bets[Result],"W")&amp;"-"&amp;COUNTIFS(NCAA_Bets[Date],M663,NCAA_Bets[Result],"L")&amp;IF(COUNTIFS(NCAA_Bets[Date],M663,NCAA_Bets[Result],"Push")&gt;0,"-"&amp;COUNTIFS(NCAA_Bets[Date],M663,NCAA_Bets[Result],"Push"),"")</f>
        <v>0-0</v>
      </c>
      <c r="P663" s="90">
        <f>SUMIF(NCAA_Bets[Date],M663,NCAA_Bets[Winnings])-SUMIF(NCAA_Bets[Date],M663,NCAA_Bets[Risk])</f>
        <v>0</v>
      </c>
    </row>
    <row r="664" spans="2:16" x14ac:dyDescent="0.25">
      <c r="B664" s="101">
        <f t="shared" si="29"/>
        <v>33</v>
      </c>
      <c r="L664" s="71">
        <f t="shared" si="28"/>
        <v>0</v>
      </c>
      <c r="M664" s="71">
        <f t="shared" si="27"/>
        <v>0</v>
      </c>
      <c r="N664" s="71" t="str">
        <f>IFERROR(VLOOKUP(M664,NCAA_Bets[[Date]:[Version]],2,0),"")</f>
        <v/>
      </c>
      <c r="O664" s="94" t="str">
        <f>COUNTIFS(NCAA_Bets[Date],M664,NCAA_Bets[Result],"W")&amp;"-"&amp;COUNTIFS(NCAA_Bets[Date],M664,NCAA_Bets[Result],"L")&amp;IF(COUNTIFS(NCAA_Bets[Date],M664,NCAA_Bets[Result],"Push")&gt;0,"-"&amp;COUNTIFS(NCAA_Bets[Date],M664,NCAA_Bets[Result],"Push"),"")</f>
        <v>0-0</v>
      </c>
      <c r="P664" s="90">
        <f>SUMIF(NCAA_Bets[Date],M664,NCAA_Bets[Winnings])-SUMIF(NCAA_Bets[Date],M664,NCAA_Bets[Risk])</f>
        <v>0</v>
      </c>
    </row>
    <row r="665" spans="2:16" x14ac:dyDescent="0.25">
      <c r="B665" s="101">
        <f t="shared" si="29"/>
        <v>33</v>
      </c>
      <c r="L665" s="71">
        <f t="shared" si="28"/>
        <v>0</v>
      </c>
      <c r="M665" s="71">
        <f t="shared" si="27"/>
        <v>0</v>
      </c>
      <c r="N665" s="71" t="str">
        <f>IFERROR(VLOOKUP(M665,NCAA_Bets[[Date]:[Version]],2,0),"")</f>
        <v/>
      </c>
      <c r="O665" s="94" t="str">
        <f>COUNTIFS(NCAA_Bets[Date],M665,NCAA_Bets[Result],"W")&amp;"-"&amp;COUNTIFS(NCAA_Bets[Date],M665,NCAA_Bets[Result],"L")&amp;IF(COUNTIFS(NCAA_Bets[Date],M665,NCAA_Bets[Result],"Push")&gt;0,"-"&amp;COUNTIFS(NCAA_Bets[Date],M665,NCAA_Bets[Result],"Push"),"")</f>
        <v>0-0</v>
      </c>
      <c r="P665" s="90">
        <f>SUMIF(NCAA_Bets[Date],M665,NCAA_Bets[Winnings])-SUMIF(NCAA_Bets[Date],M665,NCAA_Bets[Risk])</f>
        <v>0</v>
      </c>
    </row>
    <row r="666" spans="2:16" x14ac:dyDescent="0.25">
      <c r="B666" s="101">
        <f t="shared" si="29"/>
        <v>33</v>
      </c>
      <c r="L666" s="71">
        <f t="shared" si="28"/>
        <v>0</v>
      </c>
      <c r="M666" s="71">
        <f t="shared" ref="M666:M729" si="30">IFERROR(VLOOKUP(ROW()-4,B:C,2,0),0)</f>
        <v>0</v>
      </c>
      <c r="N666" s="71" t="str">
        <f>IFERROR(VLOOKUP(M666,NCAA_Bets[[Date]:[Version]],2,0),"")</f>
        <v/>
      </c>
      <c r="O666" s="94" t="str">
        <f>COUNTIFS(NCAA_Bets[Date],M666,NCAA_Bets[Result],"W")&amp;"-"&amp;COUNTIFS(NCAA_Bets[Date],M666,NCAA_Bets[Result],"L")&amp;IF(COUNTIFS(NCAA_Bets[Date],M666,NCAA_Bets[Result],"Push")&gt;0,"-"&amp;COUNTIFS(NCAA_Bets[Date],M666,NCAA_Bets[Result],"Push"),"")</f>
        <v>0-0</v>
      </c>
      <c r="P666" s="90">
        <f>SUMIF(NCAA_Bets[Date],M666,NCAA_Bets[Winnings])-SUMIF(NCAA_Bets[Date],M666,NCAA_Bets[Risk])</f>
        <v>0</v>
      </c>
    </row>
    <row r="667" spans="2:16" x14ac:dyDescent="0.25">
      <c r="B667" s="101">
        <f t="shared" si="29"/>
        <v>33</v>
      </c>
      <c r="L667" s="71">
        <f t="shared" si="28"/>
        <v>0</v>
      </c>
      <c r="M667" s="71">
        <f t="shared" si="30"/>
        <v>0</v>
      </c>
      <c r="N667" s="71" t="str">
        <f>IFERROR(VLOOKUP(M667,NCAA_Bets[[Date]:[Version]],2,0),"")</f>
        <v/>
      </c>
      <c r="O667" s="94" t="str">
        <f>COUNTIFS(NCAA_Bets[Date],M667,NCAA_Bets[Result],"W")&amp;"-"&amp;COUNTIFS(NCAA_Bets[Date],M667,NCAA_Bets[Result],"L")&amp;IF(COUNTIFS(NCAA_Bets[Date],M667,NCAA_Bets[Result],"Push")&gt;0,"-"&amp;COUNTIFS(NCAA_Bets[Date],M667,NCAA_Bets[Result],"Push"),"")</f>
        <v>0-0</v>
      </c>
      <c r="P667" s="90">
        <f>SUMIF(NCAA_Bets[Date],M667,NCAA_Bets[Winnings])-SUMIF(NCAA_Bets[Date],M667,NCAA_Bets[Risk])</f>
        <v>0</v>
      </c>
    </row>
    <row r="668" spans="2:16" x14ac:dyDescent="0.25">
      <c r="B668" s="101">
        <f t="shared" si="29"/>
        <v>33</v>
      </c>
      <c r="L668" s="71">
        <f t="shared" si="28"/>
        <v>0</v>
      </c>
      <c r="M668" s="71">
        <f t="shared" si="30"/>
        <v>0</v>
      </c>
      <c r="N668" s="71" t="str">
        <f>IFERROR(VLOOKUP(M668,NCAA_Bets[[Date]:[Version]],2,0),"")</f>
        <v/>
      </c>
      <c r="O668" s="94" t="str">
        <f>COUNTIFS(NCAA_Bets[Date],M668,NCAA_Bets[Result],"W")&amp;"-"&amp;COUNTIFS(NCAA_Bets[Date],M668,NCAA_Bets[Result],"L")&amp;IF(COUNTIFS(NCAA_Bets[Date],M668,NCAA_Bets[Result],"Push")&gt;0,"-"&amp;COUNTIFS(NCAA_Bets[Date],M668,NCAA_Bets[Result],"Push"),"")</f>
        <v>0-0</v>
      </c>
      <c r="P668" s="90">
        <f>SUMIF(NCAA_Bets[Date],M668,NCAA_Bets[Winnings])-SUMIF(NCAA_Bets[Date],M668,NCAA_Bets[Risk])</f>
        <v>0</v>
      </c>
    </row>
    <row r="669" spans="2:16" x14ac:dyDescent="0.25">
      <c r="B669" s="101">
        <f t="shared" si="29"/>
        <v>33</v>
      </c>
      <c r="L669" s="71">
        <f t="shared" si="28"/>
        <v>0</v>
      </c>
      <c r="M669" s="71">
        <f t="shared" si="30"/>
        <v>0</v>
      </c>
      <c r="N669" s="71" t="str">
        <f>IFERROR(VLOOKUP(M669,NCAA_Bets[[Date]:[Version]],2,0),"")</f>
        <v/>
      </c>
      <c r="O669" s="94" t="str">
        <f>COUNTIFS(NCAA_Bets[Date],M669,NCAA_Bets[Result],"W")&amp;"-"&amp;COUNTIFS(NCAA_Bets[Date],M669,NCAA_Bets[Result],"L")&amp;IF(COUNTIFS(NCAA_Bets[Date],M669,NCAA_Bets[Result],"Push")&gt;0,"-"&amp;COUNTIFS(NCAA_Bets[Date],M669,NCAA_Bets[Result],"Push"),"")</f>
        <v>0-0</v>
      </c>
      <c r="P669" s="90">
        <f>SUMIF(NCAA_Bets[Date],M669,NCAA_Bets[Winnings])-SUMIF(NCAA_Bets[Date],M669,NCAA_Bets[Risk])</f>
        <v>0</v>
      </c>
    </row>
    <row r="670" spans="2:16" x14ac:dyDescent="0.25">
      <c r="B670" s="101">
        <f t="shared" si="29"/>
        <v>33</v>
      </c>
      <c r="L670" s="71">
        <f t="shared" si="28"/>
        <v>0</v>
      </c>
      <c r="M670" s="71">
        <f t="shared" si="30"/>
        <v>0</v>
      </c>
      <c r="N670" s="71" t="str">
        <f>IFERROR(VLOOKUP(M670,NCAA_Bets[[Date]:[Version]],2,0),"")</f>
        <v/>
      </c>
      <c r="O670" s="94" t="str">
        <f>COUNTIFS(NCAA_Bets[Date],M670,NCAA_Bets[Result],"W")&amp;"-"&amp;COUNTIFS(NCAA_Bets[Date],M670,NCAA_Bets[Result],"L")&amp;IF(COUNTIFS(NCAA_Bets[Date],M670,NCAA_Bets[Result],"Push")&gt;0,"-"&amp;COUNTIFS(NCAA_Bets[Date],M670,NCAA_Bets[Result],"Push"),"")</f>
        <v>0-0</v>
      </c>
      <c r="P670" s="90">
        <f>SUMIF(NCAA_Bets[Date],M670,NCAA_Bets[Winnings])-SUMIF(NCAA_Bets[Date],M670,NCAA_Bets[Risk])</f>
        <v>0</v>
      </c>
    </row>
    <row r="671" spans="2:16" x14ac:dyDescent="0.25">
      <c r="B671" s="101">
        <f t="shared" si="29"/>
        <v>33</v>
      </c>
      <c r="L671" s="71">
        <f t="shared" si="28"/>
        <v>0</v>
      </c>
      <c r="M671" s="71">
        <f t="shared" si="30"/>
        <v>0</v>
      </c>
      <c r="N671" s="71" t="str">
        <f>IFERROR(VLOOKUP(M671,NCAA_Bets[[Date]:[Version]],2,0),"")</f>
        <v/>
      </c>
      <c r="O671" s="94" t="str">
        <f>COUNTIFS(NCAA_Bets[Date],M671,NCAA_Bets[Result],"W")&amp;"-"&amp;COUNTIFS(NCAA_Bets[Date],M671,NCAA_Bets[Result],"L")&amp;IF(COUNTIFS(NCAA_Bets[Date],M671,NCAA_Bets[Result],"Push")&gt;0,"-"&amp;COUNTIFS(NCAA_Bets[Date],M671,NCAA_Bets[Result],"Push"),"")</f>
        <v>0-0</v>
      </c>
      <c r="P671" s="90">
        <f>SUMIF(NCAA_Bets[Date],M671,NCAA_Bets[Winnings])-SUMIF(NCAA_Bets[Date],M671,NCAA_Bets[Risk])</f>
        <v>0</v>
      </c>
    </row>
    <row r="672" spans="2:16" x14ac:dyDescent="0.25">
      <c r="B672" s="101">
        <f t="shared" si="29"/>
        <v>33</v>
      </c>
      <c r="L672" s="71">
        <f t="shared" si="28"/>
        <v>0</v>
      </c>
      <c r="M672" s="71">
        <f t="shared" si="30"/>
        <v>0</v>
      </c>
      <c r="N672" s="71" t="str">
        <f>IFERROR(VLOOKUP(M672,NCAA_Bets[[Date]:[Version]],2,0),"")</f>
        <v/>
      </c>
      <c r="O672" s="94" t="str">
        <f>COUNTIFS(NCAA_Bets[Date],M672,NCAA_Bets[Result],"W")&amp;"-"&amp;COUNTIFS(NCAA_Bets[Date],M672,NCAA_Bets[Result],"L")&amp;IF(COUNTIFS(NCAA_Bets[Date],M672,NCAA_Bets[Result],"Push")&gt;0,"-"&amp;COUNTIFS(NCAA_Bets[Date],M672,NCAA_Bets[Result],"Push"),"")</f>
        <v>0-0</v>
      </c>
      <c r="P672" s="90">
        <f>SUMIF(NCAA_Bets[Date],M672,NCAA_Bets[Winnings])-SUMIF(NCAA_Bets[Date],M672,NCAA_Bets[Risk])</f>
        <v>0</v>
      </c>
    </row>
    <row r="673" spans="2:16" x14ac:dyDescent="0.25">
      <c r="B673" s="101">
        <f t="shared" si="29"/>
        <v>33</v>
      </c>
      <c r="L673" s="71">
        <f t="shared" si="28"/>
        <v>0</v>
      </c>
      <c r="M673" s="71">
        <f t="shared" si="30"/>
        <v>0</v>
      </c>
      <c r="N673" s="71" t="str">
        <f>IFERROR(VLOOKUP(M673,NCAA_Bets[[Date]:[Version]],2,0),"")</f>
        <v/>
      </c>
      <c r="O673" s="94" t="str">
        <f>COUNTIFS(NCAA_Bets[Date],M673,NCAA_Bets[Result],"W")&amp;"-"&amp;COUNTIFS(NCAA_Bets[Date],M673,NCAA_Bets[Result],"L")&amp;IF(COUNTIFS(NCAA_Bets[Date],M673,NCAA_Bets[Result],"Push")&gt;0,"-"&amp;COUNTIFS(NCAA_Bets[Date],M673,NCAA_Bets[Result],"Push"),"")</f>
        <v>0-0</v>
      </c>
      <c r="P673" s="90">
        <f>SUMIF(NCAA_Bets[Date],M673,NCAA_Bets[Winnings])-SUMIF(NCAA_Bets[Date],M673,NCAA_Bets[Risk])</f>
        <v>0</v>
      </c>
    </row>
    <row r="674" spans="2:16" x14ac:dyDescent="0.25">
      <c r="B674" s="101">
        <f t="shared" si="29"/>
        <v>33</v>
      </c>
      <c r="L674" s="71">
        <f t="shared" si="28"/>
        <v>0</v>
      </c>
      <c r="M674" s="71">
        <f t="shared" si="30"/>
        <v>0</v>
      </c>
      <c r="N674" s="71" t="str">
        <f>IFERROR(VLOOKUP(M674,NCAA_Bets[[Date]:[Version]],2,0),"")</f>
        <v/>
      </c>
      <c r="O674" s="94" t="str">
        <f>COUNTIFS(NCAA_Bets[Date],M674,NCAA_Bets[Result],"W")&amp;"-"&amp;COUNTIFS(NCAA_Bets[Date],M674,NCAA_Bets[Result],"L")&amp;IF(COUNTIFS(NCAA_Bets[Date],M674,NCAA_Bets[Result],"Push")&gt;0,"-"&amp;COUNTIFS(NCAA_Bets[Date],M674,NCAA_Bets[Result],"Push"),"")</f>
        <v>0-0</v>
      </c>
      <c r="P674" s="90">
        <f>SUMIF(NCAA_Bets[Date],M674,NCAA_Bets[Winnings])-SUMIF(NCAA_Bets[Date],M674,NCAA_Bets[Risk])</f>
        <v>0</v>
      </c>
    </row>
    <row r="675" spans="2:16" x14ac:dyDescent="0.25">
      <c r="B675" s="101">
        <f t="shared" si="29"/>
        <v>33</v>
      </c>
      <c r="L675" s="71">
        <f t="shared" si="28"/>
        <v>0</v>
      </c>
      <c r="M675" s="71">
        <f t="shared" si="30"/>
        <v>0</v>
      </c>
      <c r="N675" s="71" t="str">
        <f>IFERROR(VLOOKUP(M675,NCAA_Bets[[Date]:[Version]],2,0),"")</f>
        <v/>
      </c>
      <c r="O675" s="94" t="str">
        <f>COUNTIFS(NCAA_Bets[Date],M675,NCAA_Bets[Result],"W")&amp;"-"&amp;COUNTIFS(NCAA_Bets[Date],M675,NCAA_Bets[Result],"L")&amp;IF(COUNTIFS(NCAA_Bets[Date],M675,NCAA_Bets[Result],"Push")&gt;0,"-"&amp;COUNTIFS(NCAA_Bets[Date],M675,NCAA_Bets[Result],"Push"),"")</f>
        <v>0-0</v>
      </c>
      <c r="P675" s="90">
        <f>SUMIF(NCAA_Bets[Date],M675,NCAA_Bets[Winnings])-SUMIF(NCAA_Bets[Date],M675,NCAA_Bets[Risk])</f>
        <v>0</v>
      </c>
    </row>
    <row r="676" spans="2:16" x14ac:dyDescent="0.25">
      <c r="B676" s="101">
        <f t="shared" si="29"/>
        <v>33</v>
      </c>
      <c r="L676" s="71">
        <f t="shared" ref="L676:L739" si="31">IFERROR(VLOOKUP(ROW()-4,B:C,2,0),0)</f>
        <v>0</v>
      </c>
      <c r="M676" s="71">
        <f t="shared" si="30"/>
        <v>0</v>
      </c>
      <c r="N676" s="71" t="str">
        <f>IFERROR(VLOOKUP(M676,NCAA_Bets[[Date]:[Version]],2,0),"")</f>
        <v/>
      </c>
      <c r="O676" s="94" t="str">
        <f>COUNTIFS(NCAA_Bets[Date],M676,NCAA_Bets[Result],"W")&amp;"-"&amp;COUNTIFS(NCAA_Bets[Date],M676,NCAA_Bets[Result],"L")&amp;IF(COUNTIFS(NCAA_Bets[Date],M676,NCAA_Bets[Result],"Push")&gt;0,"-"&amp;COUNTIFS(NCAA_Bets[Date],M676,NCAA_Bets[Result],"Push"),"")</f>
        <v>0-0</v>
      </c>
      <c r="P676" s="90">
        <f>SUMIF(NCAA_Bets[Date],M676,NCAA_Bets[Winnings])-SUMIF(NCAA_Bets[Date],M676,NCAA_Bets[Risk])</f>
        <v>0</v>
      </c>
    </row>
    <row r="677" spans="2:16" x14ac:dyDescent="0.25">
      <c r="B677" s="101">
        <f t="shared" si="29"/>
        <v>33</v>
      </c>
      <c r="L677" s="71">
        <f t="shared" si="31"/>
        <v>0</v>
      </c>
      <c r="M677" s="71">
        <f t="shared" si="30"/>
        <v>0</v>
      </c>
      <c r="N677" s="71" t="str">
        <f>IFERROR(VLOOKUP(M677,NCAA_Bets[[Date]:[Version]],2,0),"")</f>
        <v/>
      </c>
      <c r="O677" s="94" t="str">
        <f>COUNTIFS(NCAA_Bets[Date],M677,NCAA_Bets[Result],"W")&amp;"-"&amp;COUNTIFS(NCAA_Bets[Date],M677,NCAA_Bets[Result],"L")&amp;IF(COUNTIFS(NCAA_Bets[Date],M677,NCAA_Bets[Result],"Push")&gt;0,"-"&amp;COUNTIFS(NCAA_Bets[Date],M677,NCAA_Bets[Result],"Push"),"")</f>
        <v>0-0</v>
      </c>
      <c r="P677" s="90">
        <f>SUMIF(NCAA_Bets[Date],M677,NCAA_Bets[Winnings])-SUMIF(NCAA_Bets[Date],M677,NCAA_Bets[Risk])</f>
        <v>0</v>
      </c>
    </row>
    <row r="678" spans="2:16" x14ac:dyDescent="0.25">
      <c r="B678" s="101">
        <f t="shared" si="29"/>
        <v>33</v>
      </c>
      <c r="L678" s="71">
        <f t="shared" si="31"/>
        <v>0</v>
      </c>
      <c r="M678" s="71">
        <f t="shared" si="30"/>
        <v>0</v>
      </c>
      <c r="N678" s="71" t="str">
        <f>IFERROR(VLOOKUP(M678,NCAA_Bets[[Date]:[Version]],2,0),"")</f>
        <v/>
      </c>
      <c r="O678" s="94" t="str">
        <f>COUNTIFS(NCAA_Bets[Date],M678,NCAA_Bets[Result],"W")&amp;"-"&amp;COUNTIFS(NCAA_Bets[Date],M678,NCAA_Bets[Result],"L")&amp;IF(COUNTIFS(NCAA_Bets[Date],M678,NCAA_Bets[Result],"Push")&gt;0,"-"&amp;COUNTIFS(NCAA_Bets[Date],M678,NCAA_Bets[Result],"Push"),"")</f>
        <v>0-0</v>
      </c>
      <c r="P678" s="90">
        <f>SUMIF(NCAA_Bets[Date],M678,NCAA_Bets[Winnings])-SUMIF(NCAA_Bets[Date],M678,NCAA_Bets[Risk])</f>
        <v>0</v>
      </c>
    </row>
    <row r="679" spans="2:16" x14ac:dyDescent="0.25">
      <c r="B679" s="101">
        <f t="shared" si="29"/>
        <v>33</v>
      </c>
      <c r="L679" s="71">
        <f t="shared" si="31"/>
        <v>0</v>
      </c>
      <c r="M679" s="71">
        <f t="shared" si="30"/>
        <v>0</v>
      </c>
      <c r="N679" s="71" t="str">
        <f>IFERROR(VLOOKUP(M679,NCAA_Bets[[Date]:[Version]],2,0),"")</f>
        <v/>
      </c>
      <c r="O679" s="94" t="str">
        <f>COUNTIFS(NCAA_Bets[Date],M679,NCAA_Bets[Result],"W")&amp;"-"&amp;COUNTIFS(NCAA_Bets[Date],M679,NCAA_Bets[Result],"L")&amp;IF(COUNTIFS(NCAA_Bets[Date],M679,NCAA_Bets[Result],"Push")&gt;0,"-"&amp;COUNTIFS(NCAA_Bets[Date],M679,NCAA_Bets[Result],"Push"),"")</f>
        <v>0-0</v>
      </c>
      <c r="P679" s="90">
        <f>SUMIF(NCAA_Bets[Date],M679,NCAA_Bets[Winnings])-SUMIF(NCAA_Bets[Date],M679,NCAA_Bets[Risk])</f>
        <v>0</v>
      </c>
    </row>
    <row r="680" spans="2:16" x14ac:dyDescent="0.25">
      <c r="B680" s="101">
        <f t="shared" si="29"/>
        <v>33</v>
      </c>
      <c r="L680" s="71">
        <f t="shared" si="31"/>
        <v>0</v>
      </c>
      <c r="M680" s="71">
        <f t="shared" si="30"/>
        <v>0</v>
      </c>
      <c r="N680" s="71" t="str">
        <f>IFERROR(VLOOKUP(M680,NCAA_Bets[[Date]:[Version]],2,0),"")</f>
        <v/>
      </c>
      <c r="O680" s="94" t="str">
        <f>COUNTIFS(NCAA_Bets[Date],M680,NCAA_Bets[Result],"W")&amp;"-"&amp;COUNTIFS(NCAA_Bets[Date],M680,NCAA_Bets[Result],"L")&amp;IF(COUNTIFS(NCAA_Bets[Date],M680,NCAA_Bets[Result],"Push")&gt;0,"-"&amp;COUNTIFS(NCAA_Bets[Date],M680,NCAA_Bets[Result],"Push"),"")</f>
        <v>0-0</v>
      </c>
      <c r="P680" s="90">
        <f>SUMIF(NCAA_Bets[Date],M680,NCAA_Bets[Winnings])-SUMIF(NCAA_Bets[Date],M680,NCAA_Bets[Risk])</f>
        <v>0</v>
      </c>
    </row>
    <row r="681" spans="2:16" x14ac:dyDescent="0.25">
      <c r="B681" s="101">
        <f t="shared" si="29"/>
        <v>33</v>
      </c>
      <c r="L681" s="71">
        <f t="shared" si="31"/>
        <v>0</v>
      </c>
      <c r="M681" s="71">
        <f t="shared" si="30"/>
        <v>0</v>
      </c>
      <c r="N681" s="71" t="str">
        <f>IFERROR(VLOOKUP(M681,NCAA_Bets[[Date]:[Version]],2,0),"")</f>
        <v/>
      </c>
      <c r="O681" s="94" t="str">
        <f>COUNTIFS(NCAA_Bets[Date],M681,NCAA_Bets[Result],"W")&amp;"-"&amp;COUNTIFS(NCAA_Bets[Date],M681,NCAA_Bets[Result],"L")&amp;IF(COUNTIFS(NCAA_Bets[Date],M681,NCAA_Bets[Result],"Push")&gt;0,"-"&amp;COUNTIFS(NCAA_Bets[Date],M681,NCAA_Bets[Result],"Push"),"")</f>
        <v>0-0</v>
      </c>
      <c r="P681" s="90">
        <f>SUMIF(NCAA_Bets[Date],M681,NCAA_Bets[Winnings])-SUMIF(NCAA_Bets[Date],M681,NCAA_Bets[Risk])</f>
        <v>0</v>
      </c>
    </row>
    <row r="682" spans="2:16" x14ac:dyDescent="0.25">
      <c r="B682" s="101">
        <f t="shared" si="29"/>
        <v>33</v>
      </c>
      <c r="L682" s="71">
        <f t="shared" si="31"/>
        <v>0</v>
      </c>
      <c r="M682" s="71">
        <f t="shared" si="30"/>
        <v>0</v>
      </c>
      <c r="N682" s="71" t="str">
        <f>IFERROR(VLOOKUP(M682,NCAA_Bets[[Date]:[Version]],2,0),"")</f>
        <v/>
      </c>
      <c r="O682" s="94" t="str">
        <f>COUNTIFS(NCAA_Bets[Date],M682,NCAA_Bets[Result],"W")&amp;"-"&amp;COUNTIFS(NCAA_Bets[Date],M682,NCAA_Bets[Result],"L")&amp;IF(COUNTIFS(NCAA_Bets[Date],M682,NCAA_Bets[Result],"Push")&gt;0,"-"&amp;COUNTIFS(NCAA_Bets[Date],M682,NCAA_Bets[Result],"Push"),"")</f>
        <v>0-0</v>
      </c>
      <c r="P682" s="90">
        <f>SUMIF(NCAA_Bets[Date],M682,NCAA_Bets[Winnings])-SUMIF(NCAA_Bets[Date],M682,NCAA_Bets[Risk])</f>
        <v>0</v>
      </c>
    </row>
    <row r="683" spans="2:16" x14ac:dyDescent="0.25">
      <c r="B683" s="101">
        <f t="shared" si="29"/>
        <v>33</v>
      </c>
      <c r="L683" s="71">
        <f t="shared" si="31"/>
        <v>0</v>
      </c>
      <c r="M683" s="71">
        <f t="shared" si="30"/>
        <v>0</v>
      </c>
      <c r="N683" s="71" t="str">
        <f>IFERROR(VLOOKUP(M683,NCAA_Bets[[Date]:[Version]],2,0),"")</f>
        <v/>
      </c>
      <c r="O683" s="94" t="str">
        <f>COUNTIFS(NCAA_Bets[Date],M683,NCAA_Bets[Result],"W")&amp;"-"&amp;COUNTIFS(NCAA_Bets[Date],M683,NCAA_Bets[Result],"L")&amp;IF(COUNTIFS(NCAA_Bets[Date],M683,NCAA_Bets[Result],"Push")&gt;0,"-"&amp;COUNTIFS(NCAA_Bets[Date],M683,NCAA_Bets[Result],"Push"),"")</f>
        <v>0-0</v>
      </c>
      <c r="P683" s="90">
        <f>SUMIF(NCAA_Bets[Date],M683,NCAA_Bets[Winnings])-SUMIF(NCAA_Bets[Date],M683,NCAA_Bets[Risk])</f>
        <v>0</v>
      </c>
    </row>
    <row r="684" spans="2:16" x14ac:dyDescent="0.25">
      <c r="B684" s="101">
        <f t="shared" si="29"/>
        <v>33</v>
      </c>
      <c r="L684" s="71">
        <f t="shared" si="31"/>
        <v>0</v>
      </c>
      <c r="M684" s="71">
        <f t="shared" si="30"/>
        <v>0</v>
      </c>
      <c r="N684" s="71" t="str">
        <f>IFERROR(VLOOKUP(M684,NCAA_Bets[[Date]:[Version]],2,0),"")</f>
        <v/>
      </c>
      <c r="O684" s="94" t="str">
        <f>COUNTIFS(NCAA_Bets[Date],M684,NCAA_Bets[Result],"W")&amp;"-"&amp;COUNTIFS(NCAA_Bets[Date],M684,NCAA_Bets[Result],"L")&amp;IF(COUNTIFS(NCAA_Bets[Date],M684,NCAA_Bets[Result],"Push")&gt;0,"-"&amp;COUNTIFS(NCAA_Bets[Date],M684,NCAA_Bets[Result],"Push"),"")</f>
        <v>0-0</v>
      </c>
      <c r="P684" s="90">
        <f>SUMIF(NCAA_Bets[Date],M684,NCAA_Bets[Winnings])-SUMIF(NCAA_Bets[Date],M684,NCAA_Bets[Risk])</f>
        <v>0</v>
      </c>
    </row>
    <row r="685" spans="2:16" x14ac:dyDescent="0.25">
      <c r="B685" s="101">
        <f t="shared" si="29"/>
        <v>33</v>
      </c>
      <c r="L685" s="71">
        <f t="shared" si="31"/>
        <v>0</v>
      </c>
      <c r="M685" s="71">
        <f t="shared" si="30"/>
        <v>0</v>
      </c>
      <c r="N685" s="71" t="str">
        <f>IFERROR(VLOOKUP(M685,NCAA_Bets[[Date]:[Version]],2,0),"")</f>
        <v/>
      </c>
      <c r="O685" s="94" t="str">
        <f>COUNTIFS(NCAA_Bets[Date],M685,NCAA_Bets[Result],"W")&amp;"-"&amp;COUNTIFS(NCAA_Bets[Date],M685,NCAA_Bets[Result],"L")&amp;IF(COUNTIFS(NCAA_Bets[Date],M685,NCAA_Bets[Result],"Push")&gt;0,"-"&amp;COUNTIFS(NCAA_Bets[Date],M685,NCAA_Bets[Result],"Push"),"")</f>
        <v>0-0</v>
      </c>
      <c r="P685" s="90">
        <f>SUMIF(NCAA_Bets[Date],M685,NCAA_Bets[Winnings])-SUMIF(NCAA_Bets[Date],M685,NCAA_Bets[Risk])</f>
        <v>0</v>
      </c>
    </row>
    <row r="686" spans="2:16" x14ac:dyDescent="0.25">
      <c r="B686" s="101">
        <f t="shared" si="29"/>
        <v>33</v>
      </c>
      <c r="L686" s="71">
        <f t="shared" si="31"/>
        <v>0</v>
      </c>
      <c r="M686" s="71">
        <f t="shared" si="30"/>
        <v>0</v>
      </c>
      <c r="N686" s="71" t="str">
        <f>IFERROR(VLOOKUP(M686,NCAA_Bets[[Date]:[Version]],2,0),"")</f>
        <v/>
      </c>
      <c r="O686" s="94" t="str">
        <f>COUNTIFS(NCAA_Bets[Date],M686,NCAA_Bets[Result],"W")&amp;"-"&amp;COUNTIFS(NCAA_Bets[Date],M686,NCAA_Bets[Result],"L")&amp;IF(COUNTIFS(NCAA_Bets[Date],M686,NCAA_Bets[Result],"Push")&gt;0,"-"&amp;COUNTIFS(NCAA_Bets[Date],M686,NCAA_Bets[Result],"Push"),"")</f>
        <v>0-0</v>
      </c>
      <c r="P686" s="90">
        <f>SUMIF(NCAA_Bets[Date],M686,NCAA_Bets[Winnings])-SUMIF(NCAA_Bets[Date],M686,NCAA_Bets[Risk])</f>
        <v>0</v>
      </c>
    </row>
    <row r="687" spans="2:16" x14ac:dyDescent="0.25">
      <c r="B687" s="101">
        <f t="shared" si="29"/>
        <v>33</v>
      </c>
      <c r="L687" s="71">
        <f t="shared" si="31"/>
        <v>0</v>
      </c>
      <c r="M687" s="71">
        <f t="shared" si="30"/>
        <v>0</v>
      </c>
      <c r="N687" s="71" t="str">
        <f>IFERROR(VLOOKUP(M687,NCAA_Bets[[Date]:[Version]],2,0),"")</f>
        <v/>
      </c>
      <c r="O687" s="94" t="str">
        <f>COUNTIFS(NCAA_Bets[Date],M687,NCAA_Bets[Result],"W")&amp;"-"&amp;COUNTIFS(NCAA_Bets[Date],M687,NCAA_Bets[Result],"L")&amp;IF(COUNTIFS(NCAA_Bets[Date],M687,NCAA_Bets[Result],"Push")&gt;0,"-"&amp;COUNTIFS(NCAA_Bets[Date],M687,NCAA_Bets[Result],"Push"),"")</f>
        <v>0-0</v>
      </c>
      <c r="P687" s="90">
        <f>SUMIF(NCAA_Bets[Date],M687,NCAA_Bets[Winnings])-SUMIF(NCAA_Bets[Date],M687,NCAA_Bets[Risk])</f>
        <v>0</v>
      </c>
    </row>
    <row r="688" spans="2:16" x14ac:dyDescent="0.25">
      <c r="B688" s="101">
        <f t="shared" si="29"/>
        <v>33</v>
      </c>
      <c r="L688" s="71">
        <f t="shared" si="31"/>
        <v>0</v>
      </c>
      <c r="M688" s="71">
        <f t="shared" si="30"/>
        <v>0</v>
      </c>
      <c r="N688" s="71" t="str">
        <f>IFERROR(VLOOKUP(M688,NCAA_Bets[[Date]:[Version]],2,0),"")</f>
        <v/>
      </c>
      <c r="O688" s="94" t="str">
        <f>COUNTIFS(NCAA_Bets[Date],M688,NCAA_Bets[Result],"W")&amp;"-"&amp;COUNTIFS(NCAA_Bets[Date],M688,NCAA_Bets[Result],"L")&amp;IF(COUNTIFS(NCAA_Bets[Date],M688,NCAA_Bets[Result],"Push")&gt;0,"-"&amp;COUNTIFS(NCAA_Bets[Date],M688,NCAA_Bets[Result],"Push"),"")</f>
        <v>0-0</v>
      </c>
      <c r="P688" s="90">
        <f>SUMIF(NCAA_Bets[Date],M688,NCAA_Bets[Winnings])-SUMIF(NCAA_Bets[Date],M688,NCAA_Bets[Risk])</f>
        <v>0</v>
      </c>
    </row>
    <row r="689" spans="2:16" x14ac:dyDescent="0.25">
      <c r="B689" s="101">
        <f t="shared" si="29"/>
        <v>33</v>
      </c>
      <c r="L689" s="71">
        <f t="shared" si="31"/>
        <v>0</v>
      </c>
      <c r="M689" s="71">
        <f t="shared" si="30"/>
        <v>0</v>
      </c>
      <c r="N689" s="71" t="str">
        <f>IFERROR(VLOOKUP(M689,NCAA_Bets[[Date]:[Version]],2,0),"")</f>
        <v/>
      </c>
      <c r="O689" s="94" t="str">
        <f>COUNTIFS(NCAA_Bets[Date],M689,NCAA_Bets[Result],"W")&amp;"-"&amp;COUNTIFS(NCAA_Bets[Date],M689,NCAA_Bets[Result],"L")&amp;IF(COUNTIFS(NCAA_Bets[Date],M689,NCAA_Bets[Result],"Push")&gt;0,"-"&amp;COUNTIFS(NCAA_Bets[Date],M689,NCAA_Bets[Result],"Push"),"")</f>
        <v>0-0</v>
      </c>
      <c r="P689" s="90">
        <f>SUMIF(NCAA_Bets[Date],M689,NCAA_Bets[Winnings])-SUMIF(NCAA_Bets[Date],M689,NCAA_Bets[Risk])</f>
        <v>0</v>
      </c>
    </row>
    <row r="690" spans="2:16" x14ac:dyDescent="0.25">
      <c r="B690" s="101">
        <f t="shared" si="29"/>
        <v>33</v>
      </c>
      <c r="L690" s="71">
        <f t="shared" si="31"/>
        <v>0</v>
      </c>
      <c r="M690" s="71">
        <f t="shared" si="30"/>
        <v>0</v>
      </c>
      <c r="N690" s="71" t="str">
        <f>IFERROR(VLOOKUP(M690,NCAA_Bets[[Date]:[Version]],2,0),"")</f>
        <v/>
      </c>
      <c r="O690" s="94" t="str">
        <f>COUNTIFS(NCAA_Bets[Date],M690,NCAA_Bets[Result],"W")&amp;"-"&amp;COUNTIFS(NCAA_Bets[Date],M690,NCAA_Bets[Result],"L")&amp;IF(COUNTIFS(NCAA_Bets[Date],M690,NCAA_Bets[Result],"Push")&gt;0,"-"&amp;COUNTIFS(NCAA_Bets[Date],M690,NCAA_Bets[Result],"Push"),"")</f>
        <v>0-0</v>
      </c>
      <c r="P690" s="90">
        <f>SUMIF(NCAA_Bets[Date],M690,NCAA_Bets[Winnings])-SUMIF(NCAA_Bets[Date],M690,NCAA_Bets[Risk])</f>
        <v>0</v>
      </c>
    </row>
    <row r="691" spans="2:16" x14ac:dyDescent="0.25">
      <c r="B691" s="101">
        <f t="shared" si="29"/>
        <v>33</v>
      </c>
      <c r="L691" s="71">
        <f t="shared" si="31"/>
        <v>0</v>
      </c>
      <c r="M691" s="71">
        <f t="shared" si="30"/>
        <v>0</v>
      </c>
      <c r="N691" s="71" t="str">
        <f>IFERROR(VLOOKUP(M691,NCAA_Bets[[Date]:[Version]],2,0),"")</f>
        <v/>
      </c>
      <c r="O691" s="94" t="str">
        <f>COUNTIFS(NCAA_Bets[Date],M691,NCAA_Bets[Result],"W")&amp;"-"&amp;COUNTIFS(NCAA_Bets[Date],M691,NCAA_Bets[Result],"L")&amp;IF(COUNTIFS(NCAA_Bets[Date],M691,NCAA_Bets[Result],"Push")&gt;0,"-"&amp;COUNTIFS(NCAA_Bets[Date],M691,NCAA_Bets[Result],"Push"),"")</f>
        <v>0-0</v>
      </c>
      <c r="P691" s="90">
        <f>SUMIF(NCAA_Bets[Date],M691,NCAA_Bets[Winnings])-SUMIF(NCAA_Bets[Date],M691,NCAA_Bets[Risk])</f>
        <v>0</v>
      </c>
    </row>
    <row r="692" spans="2:16" x14ac:dyDescent="0.25">
      <c r="B692" s="101">
        <f t="shared" si="29"/>
        <v>33</v>
      </c>
      <c r="L692" s="71">
        <f t="shared" si="31"/>
        <v>0</v>
      </c>
      <c r="M692" s="71">
        <f t="shared" si="30"/>
        <v>0</v>
      </c>
      <c r="N692" s="71" t="str">
        <f>IFERROR(VLOOKUP(M692,NCAA_Bets[[Date]:[Version]],2,0),"")</f>
        <v/>
      </c>
      <c r="O692" s="94" t="str">
        <f>COUNTIFS(NCAA_Bets[Date],M692,NCAA_Bets[Result],"W")&amp;"-"&amp;COUNTIFS(NCAA_Bets[Date],M692,NCAA_Bets[Result],"L")&amp;IF(COUNTIFS(NCAA_Bets[Date],M692,NCAA_Bets[Result],"Push")&gt;0,"-"&amp;COUNTIFS(NCAA_Bets[Date],M692,NCAA_Bets[Result],"Push"),"")</f>
        <v>0-0</v>
      </c>
      <c r="P692" s="90">
        <f>SUMIF(NCAA_Bets[Date],M692,NCAA_Bets[Winnings])-SUMIF(NCAA_Bets[Date],M692,NCAA_Bets[Risk])</f>
        <v>0</v>
      </c>
    </row>
    <row r="693" spans="2:16" x14ac:dyDescent="0.25">
      <c r="B693" s="101">
        <f t="shared" si="29"/>
        <v>33</v>
      </c>
      <c r="L693" s="71">
        <f t="shared" si="31"/>
        <v>0</v>
      </c>
      <c r="M693" s="71">
        <f t="shared" si="30"/>
        <v>0</v>
      </c>
      <c r="N693" s="71" t="str">
        <f>IFERROR(VLOOKUP(M693,NCAA_Bets[[Date]:[Version]],2,0),"")</f>
        <v/>
      </c>
      <c r="O693" s="94" t="str">
        <f>COUNTIFS(NCAA_Bets[Date],M693,NCAA_Bets[Result],"W")&amp;"-"&amp;COUNTIFS(NCAA_Bets[Date],M693,NCAA_Bets[Result],"L")&amp;IF(COUNTIFS(NCAA_Bets[Date],M693,NCAA_Bets[Result],"Push")&gt;0,"-"&amp;COUNTIFS(NCAA_Bets[Date],M693,NCAA_Bets[Result],"Push"),"")</f>
        <v>0-0</v>
      </c>
      <c r="P693" s="90">
        <f>SUMIF(NCAA_Bets[Date],M693,NCAA_Bets[Winnings])-SUMIF(NCAA_Bets[Date],M693,NCAA_Bets[Risk])</f>
        <v>0</v>
      </c>
    </row>
    <row r="694" spans="2:16" x14ac:dyDescent="0.25">
      <c r="B694" s="101">
        <f t="shared" si="29"/>
        <v>33</v>
      </c>
      <c r="L694" s="71">
        <f t="shared" si="31"/>
        <v>0</v>
      </c>
      <c r="M694" s="71">
        <f t="shared" si="30"/>
        <v>0</v>
      </c>
      <c r="N694" s="71" t="str">
        <f>IFERROR(VLOOKUP(M694,NCAA_Bets[[Date]:[Version]],2,0),"")</f>
        <v/>
      </c>
      <c r="O694" s="94" t="str">
        <f>COUNTIFS(NCAA_Bets[Date],M694,NCAA_Bets[Result],"W")&amp;"-"&amp;COUNTIFS(NCAA_Bets[Date],M694,NCAA_Bets[Result],"L")&amp;IF(COUNTIFS(NCAA_Bets[Date],M694,NCAA_Bets[Result],"Push")&gt;0,"-"&amp;COUNTIFS(NCAA_Bets[Date],M694,NCAA_Bets[Result],"Push"),"")</f>
        <v>0-0</v>
      </c>
      <c r="P694" s="90">
        <f>SUMIF(NCAA_Bets[Date],M694,NCAA_Bets[Winnings])-SUMIF(NCAA_Bets[Date],M694,NCAA_Bets[Risk])</f>
        <v>0</v>
      </c>
    </row>
    <row r="695" spans="2:16" x14ac:dyDescent="0.25">
      <c r="B695" s="101">
        <f t="shared" si="29"/>
        <v>33</v>
      </c>
      <c r="L695" s="71">
        <f t="shared" si="31"/>
        <v>0</v>
      </c>
      <c r="M695" s="71">
        <f t="shared" si="30"/>
        <v>0</v>
      </c>
      <c r="N695" s="71" t="str">
        <f>IFERROR(VLOOKUP(M695,NCAA_Bets[[Date]:[Version]],2,0),"")</f>
        <v/>
      </c>
      <c r="O695" s="94" t="str">
        <f>COUNTIFS(NCAA_Bets[Date],M695,NCAA_Bets[Result],"W")&amp;"-"&amp;COUNTIFS(NCAA_Bets[Date],M695,NCAA_Bets[Result],"L")&amp;IF(COUNTIFS(NCAA_Bets[Date],M695,NCAA_Bets[Result],"Push")&gt;0,"-"&amp;COUNTIFS(NCAA_Bets[Date],M695,NCAA_Bets[Result],"Push"),"")</f>
        <v>0-0</v>
      </c>
      <c r="P695" s="90">
        <f>SUMIF(NCAA_Bets[Date],M695,NCAA_Bets[Winnings])-SUMIF(NCAA_Bets[Date],M695,NCAA_Bets[Risk])</f>
        <v>0</v>
      </c>
    </row>
    <row r="696" spans="2:16" x14ac:dyDescent="0.25">
      <c r="B696" s="101">
        <f t="shared" si="29"/>
        <v>33</v>
      </c>
      <c r="L696" s="71">
        <f t="shared" si="31"/>
        <v>0</v>
      </c>
      <c r="M696" s="71">
        <f t="shared" si="30"/>
        <v>0</v>
      </c>
      <c r="N696" s="71" t="str">
        <f>IFERROR(VLOOKUP(M696,NCAA_Bets[[Date]:[Version]],2,0),"")</f>
        <v/>
      </c>
      <c r="O696" s="94" t="str">
        <f>COUNTIFS(NCAA_Bets[Date],M696,NCAA_Bets[Result],"W")&amp;"-"&amp;COUNTIFS(NCAA_Bets[Date],M696,NCAA_Bets[Result],"L")&amp;IF(COUNTIFS(NCAA_Bets[Date],M696,NCAA_Bets[Result],"Push")&gt;0,"-"&amp;COUNTIFS(NCAA_Bets[Date],M696,NCAA_Bets[Result],"Push"),"")</f>
        <v>0-0</v>
      </c>
      <c r="P696" s="90">
        <f>SUMIF(NCAA_Bets[Date],M696,NCAA_Bets[Winnings])-SUMIF(NCAA_Bets[Date],M696,NCAA_Bets[Risk])</f>
        <v>0</v>
      </c>
    </row>
    <row r="697" spans="2:16" x14ac:dyDescent="0.25">
      <c r="B697" s="101">
        <f t="shared" si="29"/>
        <v>33</v>
      </c>
      <c r="L697" s="71">
        <f t="shared" si="31"/>
        <v>0</v>
      </c>
      <c r="M697" s="71">
        <f t="shared" si="30"/>
        <v>0</v>
      </c>
      <c r="N697" s="71" t="str">
        <f>IFERROR(VLOOKUP(M697,NCAA_Bets[[Date]:[Version]],2,0),"")</f>
        <v/>
      </c>
      <c r="O697" s="94" t="str">
        <f>COUNTIFS(NCAA_Bets[Date],M697,NCAA_Bets[Result],"W")&amp;"-"&amp;COUNTIFS(NCAA_Bets[Date],M697,NCAA_Bets[Result],"L")&amp;IF(COUNTIFS(NCAA_Bets[Date],M697,NCAA_Bets[Result],"Push")&gt;0,"-"&amp;COUNTIFS(NCAA_Bets[Date],M697,NCAA_Bets[Result],"Push"),"")</f>
        <v>0-0</v>
      </c>
      <c r="P697" s="90">
        <f>SUMIF(NCAA_Bets[Date],M697,NCAA_Bets[Winnings])-SUMIF(NCAA_Bets[Date],M697,NCAA_Bets[Risk])</f>
        <v>0</v>
      </c>
    </row>
    <row r="698" spans="2:16" x14ac:dyDescent="0.25">
      <c r="B698" s="101">
        <f t="shared" si="29"/>
        <v>33</v>
      </c>
      <c r="L698" s="71">
        <f t="shared" si="31"/>
        <v>0</v>
      </c>
      <c r="M698" s="71">
        <f t="shared" si="30"/>
        <v>0</v>
      </c>
      <c r="N698" s="71" t="str">
        <f>IFERROR(VLOOKUP(M698,NCAA_Bets[[Date]:[Version]],2,0),"")</f>
        <v/>
      </c>
      <c r="O698" s="94" t="str">
        <f>COUNTIFS(NCAA_Bets[Date],M698,NCAA_Bets[Result],"W")&amp;"-"&amp;COUNTIFS(NCAA_Bets[Date],M698,NCAA_Bets[Result],"L")&amp;IF(COUNTIFS(NCAA_Bets[Date],M698,NCAA_Bets[Result],"Push")&gt;0,"-"&amp;COUNTIFS(NCAA_Bets[Date],M698,NCAA_Bets[Result],"Push"),"")</f>
        <v>0-0</v>
      </c>
      <c r="P698" s="90">
        <f>SUMIF(NCAA_Bets[Date],M698,NCAA_Bets[Winnings])-SUMIF(NCAA_Bets[Date],M698,NCAA_Bets[Risk])</f>
        <v>0</v>
      </c>
    </row>
    <row r="699" spans="2:16" x14ac:dyDescent="0.25">
      <c r="B699" s="101">
        <f t="shared" si="29"/>
        <v>33</v>
      </c>
      <c r="L699" s="71">
        <f t="shared" si="31"/>
        <v>0</v>
      </c>
      <c r="M699" s="71">
        <f t="shared" si="30"/>
        <v>0</v>
      </c>
      <c r="N699" s="71" t="str">
        <f>IFERROR(VLOOKUP(M699,NCAA_Bets[[Date]:[Version]],2,0),"")</f>
        <v/>
      </c>
      <c r="O699" s="94" t="str">
        <f>COUNTIFS(NCAA_Bets[Date],M699,NCAA_Bets[Result],"W")&amp;"-"&amp;COUNTIFS(NCAA_Bets[Date],M699,NCAA_Bets[Result],"L")&amp;IF(COUNTIFS(NCAA_Bets[Date],M699,NCAA_Bets[Result],"Push")&gt;0,"-"&amp;COUNTIFS(NCAA_Bets[Date],M699,NCAA_Bets[Result],"Push"),"")</f>
        <v>0-0</v>
      </c>
      <c r="P699" s="90">
        <f>SUMIF(NCAA_Bets[Date],M699,NCAA_Bets[Winnings])-SUMIF(NCAA_Bets[Date],M699,NCAA_Bets[Risk])</f>
        <v>0</v>
      </c>
    </row>
    <row r="700" spans="2:16" x14ac:dyDescent="0.25">
      <c r="B700" s="101">
        <f t="shared" si="29"/>
        <v>33</v>
      </c>
      <c r="L700" s="71">
        <f t="shared" si="31"/>
        <v>0</v>
      </c>
      <c r="M700" s="71">
        <f t="shared" si="30"/>
        <v>0</v>
      </c>
      <c r="N700" s="71" t="str">
        <f>IFERROR(VLOOKUP(M700,NCAA_Bets[[Date]:[Version]],2,0),"")</f>
        <v/>
      </c>
      <c r="O700" s="94" t="str">
        <f>COUNTIFS(NCAA_Bets[Date],M700,NCAA_Bets[Result],"W")&amp;"-"&amp;COUNTIFS(NCAA_Bets[Date],M700,NCAA_Bets[Result],"L")&amp;IF(COUNTIFS(NCAA_Bets[Date],M700,NCAA_Bets[Result],"Push")&gt;0,"-"&amp;COUNTIFS(NCAA_Bets[Date],M700,NCAA_Bets[Result],"Push"),"")</f>
        <v>0-0</v>
      </c>
      <c r="P700" s="90">
        <f>SUMIF(NCAA_Bets[Date],M700,NCAA_Bets[Winnings])-SUMIF(NCAA_Bets[Date],M700,NCAA_Bets[Risk])</f>
        <v>0</v>
      </c>
    </row>
    <row r="701" spans="2:16" x14ac:dyDescent="0.25">
      <c r="B701" s="101">
        <f t="shared" si="29"/>
        <v>33</v>
      </c>
      <c r="L701" s="71">
        <f t="shared" si="31"/>
        <v>0</v>
      </c>
      <c r="M701" s="71">
        <f t="shared" si="30"/>
        <v>0</v>
      </c>
      <c r="N701" s="71" t="str">
        <f>IFERROR(VLOOKUP(M701,NCAA_Bets[[Date]:[Version]],2,0),"")</f>
        <v/>
      </c>
      <c r="O701" s="94" t="str">
        <f>COUNTIFS(NCAA_Bets[Date],M701,NCAA_Bets[Result],"W")&amp;"-"&amp;COUNTIFS(NCAA_Bets[Date],M701,NCAA_Bets[Result],"L")&amp;IF(COUNTIFS(NCAA_Bets[Date],M701,NCAA_Bets[Result],"Push")&gt;0,"-"&amp;COUNTIFS(NCAA_Bets[Date],M701,NCAA_Bets[Result],"Push"),"")</f>
        <v>0-0</v>
      </c>
      <c r="P701" s="90">
        <f>SUMIF(NCAA_Bets[Date],M701,NCAA_Bets[Winnings])-SUMIF(NCAA_Bets[Date],M701,NCAA_Bets[Risk])</f>
        <v>0</v>
      </c>
    </row>
    <row r="702" spans="2:16" x14ac:dyDescent="0.25">
      <c r="B702" s="101">
        <f t="shared" si="29"/>
        <v>33</v>
      </c>
      <c r="L702" s="71">
        <f t="shared" si="31"/>
        <v>0</v>
      </c>
      <c r="M702" s="71">
        <f t="shared" si="30"/>
        <v>0</v>
      </c>
      <c r="N702" s="71" t="str">
        <f>IFERROR(VLOOKUP(M702,NCAA_Bets[[Date]:[Version]],2,0),"")</f>
        <v/>
      </c>
      <c r="O702" s="94" t="str">
        <f>COUNTIFS(NCAA_Bets[Date],M702,NCAA_Bets[Result],"W")&amp;"-"&amp;COUNTIFS(NCAA_Bets[Date],M702,NCAA_Bets[Result],"L")&amp;IF(COUNTIFS(NCAA_Bets[Date],M702,NCAA_Bets[Result],"Push")&gt;0,"-"&amp;COUNTIFS(NCAA_Bets[Date],M702,NCAA_Bets[Result],"Push"),"")</f>
        <v>0-0</v>
      </c>
      <c r="P702" s="90">
        <f>SUMIF(NCAA_Bets[Date],M702,NCAA_Bets[Winnings])-SUMIF(NCAA_Bets[Date],M702,NCAA_Bets[Risk])</f>
        <v>0</v>
      </c>
    </row>
    <row r="703" spans="2:16" x14ac:dyDescent="0.25">
      <c r="B703" s="101">
        <f t="shared" si="29"/>
        <v>33</v>
      </c>
      <c r="L703" s="71">
        <f t="shared" si="31"/>
        <v>0</v>
      </c>
      <c r="M703" s="71">
        <f t="shared" si="30"/>
        <v>0</v>
      </c>
      <c r="N703" s="71" t="str">
        <f>IFERROR(VLOOKUP(M703,NCAA_Bets[[Date]:[Version]],2,0),"")</f>
        <v/>
      </c>
      <c r="O703" s="94" t="str">
        <f>COUNTIFS(NCAA_Bets[Date],M703,NCAA_Bets[Result],"W")&amp;"-"&amp;COUNTIFS(NCAA_Bets[Date],M703,NCAA_Bets[Result],"L")&amp;IF(COUNTIFS(NCAA_Bets[Date],M703,NCAA_Bets[Result],"Push")&gt;0,"-"&amp;COUNTIFS(NCAA_Bets[Date],M703,NCAA_Bets[Result],"Push"),"")</f>
        <v>0-0</v>
      </c>
      <c r="P703" s="90">
        <f>SUMIF(NCAA_Bets[Date],M703,NCAA_Bets[Winnings])-SUMIF(NCAA_Bets[Date],M703,NCAA_Bets[Risk])</f>
        <v>0</v>
      </c>
    </row>
    <row r="704" spans="2:16" x14ac:dyDescent="0.25">
      <c r="B704" s="101">
        <f t="shared" si="29"/>
        <v>33</v>
      </c>
      <c r="L704" s="71">
        <f t="shared" si="31"/>
        <v>0</v>
      </c>
      <c r="M704" s="71">
        <f t="shared" si="30"/>
        <v>0</v>
      </c>
      <c r="N704" s="71" t="str">
        <f>IFERROR(VLOOKUP(M704,NCAA_Bets[[Date]:[Version]],2,0),"")</f>
        <v/>
      </c>
      <c r="O704" s="94" t="str">
        <f>COUNTIFS(NCAA_Bets[Date],M704,NCAA_Bets[Result],"W")&amp;"-"&amp;COUNTIFS(NCAA_Bets[Date],M704,NCAA_Bets[Result],"L")&amp;IF(COUNTIFS(NCAA_Bets[Date],M704,NCAA_Bets[Result],"Push")&gt;0,"-"&amp;COUNTIFS(NCAA_Bets[Date],M704,NCAA_Bets[Result],"Push"),"")</f>
        <v>0-0</v>
      </c>
      <c r="P704" s="90">
        <f>SUMIF(NCAA_Bets[Date],M704,NCAA_Bets[Winnings])-SUMIF(NCAA_Bets[Date],M704,NCAA_Bets[Risk])</f>
        <v>0</v>
      </c>
    </row>
    <row r="705" spans="2:16" x14ac:dyDescent="0.25">
      <c r="B705" s="101">
        <f t="shared" si="29"/>
        <v>33</v>
      </c>
      <c r="L705" s="71">
        <f t="shared" si="31"/>
        <v>0</v>
      </c>
      <c r="M705" s="71">
        <f t="shared" si="30"/>
        <v>0</v>
      </c>
      <c r="N705" s="71" t="str">
        <f>IFERROR(VLOOKUP(M705,NCAA_Bets[[Date]:[Version]],2,0),"")</f>
        <v/>
      </c>
      <c r="O705" s="94" t="str">
        <f>COUNTIFS(NCAA_Bets[Date],M705,NCAA_Bets[Result],"W")&amp;"-"&amp;COUNTIFS(NCAA_Bets[Date],M705,NCAA_Bets[Result],"L")&amp;IF(COUNTIFS(NCAA_Bets[Date],M705,NCAA_Bets[Result],"Push")&gt;0,"-"&amp;COUNTIFS(NCAA_Bets[Date],M705,NCAA_Bets[Result],"Push"),"")</f>
        <v>0-0</v>
      </c>
      <c r="P705" s="90">
        <f>SUMIF(NCAA_Bets[Date],M705,NCAA_Bets[Winnings])-SUMIF(NCAA_Bets[Date],M705,NCAA_Bets[Risk])</f>
        <v>0</v>
      </c>
    </row>
    <row r="706" spans="2:16" x14ac:dyDescent="0.25">
      <c r="B706" s="101">
        <f t="shared" si="29"/>
        <v>33</v>
      </c>
      <c r="L706" s="71">
        <f t="shared" si="31"/>
        <v>0</v>
      </c>
      <c r="M706" s="71">
        <f t="shared" si="30"/>
        <v>0</v>
      </c>
      <c r="N706" s="71" t="str">
        <f>IFERROR(VLOOKUP(M706,NCAA_Bets[[Date]:[Version]],2,0),"")</f>
        <v/>
      </c>
      <c r="O706" s="94" t="str">
        <f>COUNTIFS(NCAA_Bets[Date],M706,NCAA_Bets[Result],"W")&amp;"-"&amp;COUNTIFS(NCAA_Bets[Date],M706,NCAA_Bets[Result],"L")&amp;IF(COUNTIFS(NCAA_Bets[Date],M706,NCAA_Bets[Result],"Push")&gt;0,"-"&amp;COUNTIFS(NCAA_Bets[Date],M706,NCAA_Bets[Result],"Push"),"")</f>
        <v>0-0</v>
      </c>
      <c r="P706" s="90">
        <f>SUMIF(NCAA_Bets[Date],M706,NCAA_Bets[Winnings])-SUMIF(NCAA_Bets[Date],M706,NCAA_Bets[Risk])</f>
        <v>0</v>
      </c>
    </row>
    <row r="707" spans="2:16" x14ac:dyDescent="0.25">
      <c r="B707" s="101">
        <f t="shared" si="29"/>
        <v>33</v>
      </c>
      <c r="L707" s="71">
        <f t="shared" si="31"/>
        <v>0</v>
      </c>
      <c r="M707" s="71">
        <f t="shared" si="30"/>
        <v>0</v>
      </c>
      <c r="N707" s="71" t="str">
        <f>IFERROR(VLOOKUP(M707,NCAA_Bets[[Date]:[Version]],2,0),"")</f>
        <v/>
      </c>
      <c r="O707" s="94" t="str">
        <f>COUNTIFS(NCAA_Bets[Date],M707,NCAA_Bets[Result],"W")&amp;"-"&amp;COUNTIFS(NCAA_Bets[Date],M707,NCAA_Bets[Result],"L")&amp;IF(COUNTIFS(NCAA_Bets[Date],M707,NCAA_Bets[Result],"Push")&gt;0,"-"&amp;COUNTIFS(NCAA_Bets[Date],M707,NCAA_Bets[Result],"Push"),"")</f>
        <v>0-0</v>
      </c>
      <c r="P707" s="90">
        <f>SUMIF(NCAA_Bets[Date],M707,NCAA_Bets[Winnings])-SUMIF(NCAA_Bets[Date],M707,NCAA_Bets[Risk])</f>
        <v>0</v>
      </c>
    </row>
    <row r="708" spans="2:16" x14ac:dyDescent="0.25">
      <c r="B708" s="101">
        <f t="shared" si="29"/>
        <v>33</v>
      </c>
      <c r="L708" s="71">
        <f t="shared" si="31"/>
        <v>0</v>
      </c>
      <c r="M708" s="71">
        <f t="shared" si="30"/>
        <v>0</v>
      </c>
      <c r="N708" s="71" t="str">
        <f>IFERROR(VLOOKUP(M708,NCAA_Bets[[Date]:[Version]],2,0),"")</f>
        <v/>
      </c>
      <c r="O708" s="94" t="str">
        <f>COUNTIFS(NCAA_Bets[Date],M708,NCAA_Bets[Result],"W")&amp;"-"&amp;COUNTIFS(NCAA_Bets[Date],M708,NCAA_Bets[Result],"L")&amp;IF(COUNTIFS(NCAA_Bets[Date],M708,NCAA_Bets[Result],"Push")&gt;0,"-"&amp;COUNTIFS(NCAA_Bets[Date],M708,NCAA_Bets[Result],"Push"),"")</f>
        <v>0-0</v>
      </c>
      <c r="P708" s="90">
        <f>SUMIF(NCAA_Bets[Date],M708,NCAA_Bets[Winnings])-SUMIF(NCAA_Bets[Date],M708,NCAA_Bets[Risk])</f>
        <v>0</v>
      </c>
    </row>
    <row r="709" spans="2:16" x14ac:dyDescent="0.25">
      <c r="B709" s="101">
        <f t="shared" si="29"/>
        <v>33</v>
      </c>
      <c r="L709" s="71">
        <f t="shared" si="31"/>
        <v>0</v>
      </c>
      <c r="M709" s="71">
        <f t="shared" si="30"/>
        <v>0</v>
      </c>
      <c r="N709" s="71" t="str">
        <f>IFERROR(VLOOKUP(M709,NCAA_Bets[[Date]:[Version]],2,0),"")</f>
        <v/>
      </c>
      <c r="O709" s="94" t="str">
        <f>COUNTIFS(NCAA_Bets[Date],M709,NCAA_Bets[Result],"W")&amp;"-"&amp;COUNTIFS(NCAA_Bets[Date],M709,NCAA_Bets[Result],"L")&amp;IF(COUNTIFS(NCAA_Bets[Date],M709,NCAA_Bets[Result],"Push")&gt;0,"-"&amp;COUNTIFS(NCAA_Bets[Date],M709,NCAA_Bets[Result],"Push"),"")</f>
        <v>0-0</v>
      </c>
      <c r="P709" s="90">
        <f>SUMIF(NCAA_Bets[Date],M709,NCAA_Bets[Winnings])-SUMIF(NCAA_Bets[Date],M709,NCAA_Bets[Risk])</f>
        <v>0</v>
      </c>
    </row>
    <row r="710" spans="2:16" x14ac:dyDescent="0.25">
      <c r="B710" s="101">
        <f t="shared" ref="B710:B773" si="32">IF(C710=C709,B709,B709+1)</f>
        <v>33</v>
      </c>
      <c r="L710" s="71">
        <f t="shared" si="31"/>
        <v>0</v>
      </c>
      <c r="M710" s="71">
        <f t="shared" si="30"/>
        <v>0</v>
      </c>
      <c r="N710" s="71" t="str">
        <f>IFERROR(VLOOKUP(M710,NCAA_Bets[[Date]:[Version]],2,0),"")</f>
        <v/>
      </c>
      <c r="O710" s="94" t="str">
        <f>COUNTIFS(NCAA_Bets[Date],M710,NCAA_Bets[Result],"W")&amp;"-"&amp;COUNTIFS(NCAA_Bets[Date],M710,NCAA_Bets[Result],"L")&amp;IF(COUNTIFS(NCAA_Bets[Date],M710,NCAA_Bets[Result],"Push")&gt;0,"-"&amp;COUNTIFS(NCAA_Bets[Date],M710,NCAA_Bets[Result],"Push"),"")</f>
        <v>0-0</v>
      </c>
      <c r="P710" s="90">
        <f>SUMIF(NCAA_Bets[Date],M710,NCAA_Bets[Winnings])-SUMIF(NCAA_Bets[Date],M710,NCAA_Bets[Risk])</f>
        <v>0</v>
      </c>
    </row>
    <row r="711" spans="2:16" x14ac:dyDescent="0.25">
      <c r="B711" s="101">
        <f t="shared" si="32"/>
        <v>33</v>
      </c>
      <c r="L711" s="71">
        <f t="shared" si="31"/>
        <v>0</v>
      </c>
      <c r="M711" s="71">
        <f t="shared" si="30"/>
        <v>0</v>
      </c>
      <c r="N711" s="71" t="str">
        <f>IFERROR(VLOOKUP(M711,NCAA_Bets[[Date]:[Version]],2,0),"")</f>
        <v/>
      </c>
      <c r="O711" s="94" t="str">
        <f>COUNTIFS(NCAA_Bets[Date],M711,NCAA_Bets[Result],"W")&amp;"-"&amp;COUNTIFS(NCAA_Bets[Date],M711,NCAA_Bets[Result],"L")&amp;IF(COUNTIFS(NCAA_Bets[Date],M711,NCAA_Bets[Result],"Push")&gt;0,"-"&amp;COUNTIFS(NCAA_Bets[Date],M711,NCAA_Bets[Result],"Push"),"")</f>
        <v>0-0</v>
      </c>
      <c r="P711" s="90">
        <f>SUMIF(NCAA_Bets[Date],M711,NCAA_Bets[Winnings])-SUMIF(NCAA_Bets[Date],M711,NCAA_Bets[Risk])</f>
        <v>0</v>
      </c>
    </row>
    <row r="712" spans="2:16" x14ac:dyDescent="0.25">
      <c r="B712" s="101">
        <f t="shared" si="32"/>
        <v>33</v>
      </c>
      <c r="L712" s="71">
        <f t="shared" si="31"/>
        <v>0</v>
      </c>
      <c r="M712" s="71">
        <f t="shared" si="30"/>
        <v>0</v>
      </c>
      <c r="N712" s="71" t="str">
        <f>IFERROR(VLOOKUP(M712,NCAA_Bets[[Date]:[Version]],2,0),"")</f>
        <v/>
      </c>
      <c r="O712" s="94" t="str">
        <f>COUNTIFS(NCAA_Bets[Date],M712,NCAA_Bets[Result],"W")&amp;"-"&amp;COUNTIFS(NCAA_Bets[Date],M712,NCAA_Bets[Result],"L")&amp;IF(COUNTIFS(NCAA_Bets[Date],M712,NCAA_Bets[Result],"Push")&gt;0,"-"&amp;COUNTIFS(NCAA_Bets[Date],M712,NCAA_Bets[Result],"Push"),"")</f>
        <v>0-0</v>
      </c>
      <c r="P712" s="90">
        <f>SUMIF(NCAA_Bets[Date],M712,NCAA_Bets[Winnings])-SUMIF(NCAA_Bets[Date],M712,NCAA_Bets[Risk])</f>
        <v>0</v>
      </c>
    </row>
    <row r="713" spans="2:16" x14ac:dyDescent="0.25">
      <c r="B713" s="101">
        <f t="shared" si="32"/>
        <v>33</v>
      </c>
      <c r="L713" s="71">
        <f t="shared" si="31"/>
        <v>0</v>
      </c>
      <c r="M713" s="71">
        <f t="shared" si="30"/>
        <v>0</v>
      </c>
      <c r="N713" s="71" t="str">
        <f>IFERROR(VLOOKUP(M713,NCAA_Bets[[Date]:[Version]],2,0),"")</f>
        <v/>
      </c>
      <c r="O713" s="94" t="str">
        <f>COUNTIFS(NCAA_Bets[Date],M713,NCAA_Bets[Result],"W")&amp;"-"&amp;COUNTIFS(NCAA_Bets[Date],M713,NCAA_Bets[Result],"L")&amp;IF(COUNTIFS(NCAA_Bets[Date],M713,NCAA_Bets[Result],"Push")&gt;0,"-"&amp;COUNTIFS(NCAA_Bets[Date],M713,NCAA_Bets[Result],"Push"),"")</f>
        <v>0-0</v>
      </c>
      <c r="P713" s="90">
        <f>SUMIF(NCAA_Bets[Date],M713,NCAA_Bets[Winnings])-SUMIF(NCAA_Bets[Date],M713,NCAA_Bets[Risk])</f>
        <v>0</v>
      </c>
    </row>
    <row r="714" spans="2:16" x14ac:dyDescent="0.25">
      <c r="B714" s="101">
        <f t="shared" si="32"/>
        <v>33</v>
      </c>
      <c r="L714" s="71">
        <f t="shared" si="31"/>
        <v>0</v>
      </c>
      <c r="M714" s="71">
        <f t="shared" si="30"/>
        <v>0</v>
      </c>
      <c r="N714" s="71" t="str">
        <f>IFERROR(VLOOKUP(M714,NCAA_Bets[[Date]:[Version]],2,0),"")</f>
        <v/>
      </c>
      <c r="O714" s="94" t="str">
        <f>COUNTIFS(NCAA_Bets[Date],M714,NCAA_Bets[Result],"W")&amp;"-"&amp;COUNTIFS(NCAA_Bets[Date],M714,NCAA_Bets[Result],"L")&amp;IF(COUNTIFS(NCAA_Bets[Date],M714,NCAA_Bets[Result],"Push")&gt;0,"-"&amp;COUNTIFS(NCAA_Bets[Date],M714,NCAA_Bets[Result],"Push"),"")</f>
        <v>0-0</v>
      </c>
      <c r="P714" s="90">
        <f>SUMIF(NCAA_Bets[Date],M714,NCAA_Bets[Winnings])-SUMIF(NCAA_Bets[Date],M714,NCAA_Bets[Risk])</f>
        <v>0</v>
      </c>
    </row>
    <row r="715" spans="2:16" x14ac:dyDescent="0.25">
      <c r="B715" s="101">
        <f t="shared" si="32"/>
        <v>33</v>
      </c>
      <c r="L715" s="71">
        <f t="shared" si="31"/>
        <v>0</v>
      </c>
      <c r="M715" s="71">
        <f t="shared" si="30"/>
        <v>0</v>
      </c>
      <c r="N715" s="71" t="str">
        <f>IFERROR(VLOOKUP(M715,NCAA_Bets[[Date]:[Version]],2,0),"")</f>
        <v/>
      </c>
      <c r="O715" s="94" t="str">
        <f>COUNTIFS(NCAA_Bets[Date],M715,NCAA_Bets[Result],"W")&amp;"-"&amp;COUNTIFS(NCAA_Bets[Date],M715,NCAA_Bets[Result],"L")&amp;IF(COUNTIFS(NCAA_Bets[Date],M715,NCAA_Bets[Result],"Push")&gt;0,"-"&amp;COUNTIFS(NCAA_Bets[Date],M715,NCAA_Bets[Result],"Push"),"")</f>
        <v>0-0</v>
      </c>
      <c r="P715" s="90">
        <f>SUMIF(NCAA_Bets[Date],M715,NCAA_Bets[Winnings])-SUMIF(NCAA_Bets[Date],M715,NCAA_Bets[Risk])</f>
        <v>0</v>
      </c>
    </row>
    <row r="716" spans="2:16" x14ac:dyDescent="0.25">
      <c r="B716" s="101">
        <f t="shared" si="32"/>
        <v>33</v>
      </c>
      <c r="L716" s="71">
        <f t="shared" si="31"/>
        <v>0</v>
      </c>
      <c r="M716" s="71">
        <f t="shared" si="30"/>
        <v>0</v>
      </c>
      <c r="N716" s="71" t="str">
        <f>IFERROR(VLOOKUP(M716,NCAA_Bets[[Date]:[Version]],2,0),"")</f>
        <v/>
      </c>
      <c r="O716" s="94" t="str">
        <f>COUNTIFS(NCAA_Bets[Date],M716,NCAA_Bets[Result],"W")&amp;"-"&amp;COUNTIFS(NCAA_Bets[Date],M716,NCAA_Bets[Result],"L")&amp;IF(COUNTIFS(NCAA_Bets[Date],M716,NCAA_Bets[Result],"Push")&gt;0,"-"&amp;COUNTIFS(NCAA_Bets[Date],M716,NCAA_Bets[Result],"Push"),"")</f>
        <v>0-0</v>
      </c>
      <c r="P716" s="90">
        <f>SUMIF(NCAA_Bets[Date],M716,NCAA_Bets[Winnings])-SUMIF(NCAA_Bets[Date],M716,NCAA_Bets[Risk])</f>
        <v>0</v>
      </c>
    </row>
    <row r="717" spans="2:16" x14ac:dyDescent="0.25">
      <c r="B717" s="101">
        <f t="shared" si="32"/>
        <v>33</v>
      </c>
      <c r="L717" s="71">
        <f t="shared" si="31"/>
        <v>0</v>
      </c>
      <c r="M717" s="71">
        <f t="shared" si="30"/>
        <v>0</v>
      </c>
      <c r="N717" s="71" t="str">
        <f>IFERROR(VLOOKUP(M717,NCAA_Bets[[Date]:[Version]],2,0),"")</f>
        <v/>
      </c>
      <c r="O717" s="94" t="str">
        <f>COUNTIFS(NCAA_Bets[Date],M717,NCAA_Bets[Result],"W")&amp;"-"&amp;COUNTIFS(NCAA_Bets[Date],M717,NCAA_Bets[Result],"L")&amp;IF(COUNTIFS(NCAA_Bets[Date],M717,NCAA_Bets[Result],"Push")&gt;0,"-"&amp;COUNTIFS(NCAA_Bets[Date],M717,NCAA_Bets[Result],"Push"),"")</f>
        <v>0-0</v>
      </c>
      <c r="P717" s="90">
        <f>SUMIF(NCAA_Bets[Date],M717,NCAA_Bets[Winnings])-SUMIF(NCAA_Bets[Date],M717,NCAA_Bets[Risk])</f>
        <v>0</v>
      </c>
    </row>
    <row r="718" spans="2:16" x14ac:dyDescent="0.25">
      <c r="B718" s="101">
        <f t="shared" si="32"/>
        <v>33</v>
      </c>
      <c r="L718" s="71">
        <f t="shared" si="31"/>
        <v>0</v>
      </c>
      <c r="M718" s="71">
        <f t="shared" si="30"/>
        <v>0</v>
      </c>
      <c r="N718" s="71" t="str">
        <f>IFERROR(VLOOKUP(M718,NCAA_Bets[[Date]:[Version]],2,0),"")</f>
        <v/>
      </c>
      <c r="O718" s="94" t="str">
        <f>COUNTIFS(NCAA_Bets[Date],M718,NCAA_Bets[Result],"W")&amp;"-"&amp;COUNTIFS(NCAA_Bets[Date],M718,NCAA_Bets[Result],"L")&amp;IF(COUNTIFS(NCAA_Bets[Date],M718,NCAA_Bets[Result],"Push")&gt;0,"-"&amp;COUNTIFS(NCAA_Bets[Date],M718,NCAA_Bets[Result],"Push"),"")</f>
        <v>0-0</v>
      </c>
      <c r="P718" s="90">
        <f>SUMIF(NCAA_Bets[Date],M718,NCAA_Bets[Winnings])-SUMIF(NCAA_Bets[Date],M718,NCAA_Bets[Risk])</f>
        <v>0</v>
      </c>
    </row>
    <row r="719" spans="2:16" x14ac:dyDescent="0.25">
      <c r="B719" s="101">
        <f t="shared" si="32"/>
        <v>33</v>
      </c>
      <c r="L719" s="71">
        <f t="shared" si="31"/>
        <v>0</v>
      </c>
      <c r="M719" s="71">
        <f t="shared" si="30"/>
        <v>0</v>
      </c>
      <c r="N719" s="71" t="str">
        <f>IFERROR(VLOOKUP(M719,NCAA_Bets[[Date]:[Version]],2,0),"")</f>
        <v/>
      </c>
      <c r="O719" s="94" t="str">
        <f>COUNTIFS(NCAA_Bets[Date],M719,NCAA_Bets[Result],"W")&amp;"-"&amp;COUNTIFS(NCAA_Bets[Date],M719,NCAA_Bets[Result],"L")&amp;IF(COUNTIFS(NCAA_Bets[Date],M719,NCAA_Bets[Result],"Push")&gt;0,"-"&amp;COUNTIFS(NCAA_Bets[Date],M719,NCAA_Bets[Result],"Push"),"")</f>
        <v>0-0</v>
      </c>
      <c r="P719" s="90">
        <f>SUMIF(NCAA_Bets[Date],M719,NCAA_Bets[Winnings])-SUMIF(NCAA_Bets[Date],M719,NCAA_Bets[Risk])</f>
        <v>0</v>
      </c>
    </row>
    <row r="720" spans="2:16" x14ac:dyDescent="0.25">
      <c r="B720" s="101">
        <f t="shared" si="32"/>
        <v>33</v>
      </c>
      <c r="L720" s="71">
        <f t="shared" si="31"/>
        <v>0</v>
      </c>
      <c r="M720" s="71">
        <f t="shared" si="30"/>
        <v>0</v>
      </c>
      <c r="N720" s="71" t="str">
        <f>IFERROR(VLOOKUP(M720,NCAA_Bets[[Date]:[Version]],2,0),"")</f>
        <v/>
      </c>
      <c r="O720" s="94" t="str">
        <f>COUNTIFS(NCAA_Bets[Date],M720,NCAA_Bets[Result],"W")&amp;"-"&amp;COUNTIFS(NCAA_Bets[Date],M720,NCAA_Bets[Result],"L")&amp;IF(COUNTIFS(NCAA_Bets[Date],M720,NCAA_Bets[Result],"Push")&gt;0,"-"&amp;COUNTIFS(NCAA_Bets[Date],M720,NCAA_Bets[Result],"Push"),"")</f>
        <v>0-0</v>
      </c>
      <c r="P720" s="90">
        <f>SUMIF(NCAA_Bets[Date],M720,NCAA_Bets[Winnings])-SUMIF(NCAA_Bets[Date],M720,NCAA_Bets[Risk])</f>
        <v>0</v>
      </c>
    </row>
    <row r="721" spans="2:16" x14ac:dyDescent="0.25">
      <c r="B721" s="101">
        <f t="shared" si="32"/>
        <v>33</v>
      </c>
      <c r="L721" s="71">
        <f t="shared" si="31"/>
        <v>0</v>
      </c>
      <c r="M721" s="71">
        <f t="shared" si="30"/>
        <v>0</v>
      </c>
      <c r="N721" s="71" t="str">
        <f>IFERROR(VLOOKUP(M721,NCAA_Bets[[Date]:[Version]],2,0),"")</f>
        <v/>
      </c>
      <c r="O721" s="94" t="str">
        <f>COUNTIFS(NCAA_Bets[Date],M721,NCAA_Bets[Result],"W")&amp;"-"&amp;COUNTIFS(NCAA_Bets[Date],M721,NCAA_Bets[Result],"L")&amp;IF(COUNTIFS(NCAA_Bets[Date],M721,NCAA_Bets[Result],"Push")&gt;0,"-"&amp;COUNTIFS(NCAA_Bets[Date],M721,NCAA_Bets[Result],"Push"),"")</f>
        <v>0-0</v>
      </c>
      <c r="P721" s="90">
        <f>SUMIF(NCAA_Bets[Date],M721,NCAA_Bets[Winnings])-SUMIF(NCAA_Bets[Date],M721,NCAA_Bets[Risk])</f>
        <v>0</v>
      </c>
    </row>
    <row r="722" spans="2:16" x14ac:dyDescent="0.25">
      <c r="B722" s="101">
        <f t="shared" si="32"/>
        <v>33</v>
      </c>
      <c r="L722" s="71">
        <f t="shared" si="31"/>
        <v>0</v>
      </c>
      <c r="M722" s="71">
        <f t="shared" si="30"/>
        <v>0</v>
      </c>
      <c r="N722" s="71" t="str">
        <f>IFERROR(VLOOKUP(M722,NCAA_Bets[[Date]:[Version]],2,0),"")</f>
        <v/>
      </c>
      <c r="O722" s="94" t="str">
        <f>COUNTIFS(NCAA_Bets[Date],M722,NCAA_Bets[Result],"W")&amp;"-"&amp;COUNTIFS(NCAA_Bets[Date],M722,NCAA_Bets[Result],"L")&amp;IF(COUNTIFS(NCAA_Bets[Date],M722,NCAA_Bets[Result],"Push")&gt;0,"-"&amp;COUNTIFS(NCAA_Bets[Date],M722,NCAA_Bets[Result],"Push"),"")</f>
        <v>0-0</v>
      </c>
      <c r="P722" s="90">
        <f>SUMIF(NCAA_Bets[Date],M722,NCAA_Bets[Winnings])-SUMIF(NCAA_Bets[Date],M722,NCAA_Bets[Risk])</f>
        <v>0</v>
      </c>
    </row>
    <row r="723" spans="2:16" x14ac:dyDescent="0.25">
      <c r="B723" s="101">
        <f t="shared" si="32"/>
        <v>33</v>
      </c>
      <c r="L723" s="71">
        <f t="shared" si="31"/>
        <v>0</v>
      </c>
      <c r="M723" s="71">
        <f t="shared" si="30"/>
        <v>0</v>
      </c>
      <c r="N723" s="71" t="str">
        <f>IFERROR(VLOOKUP(M723,NCAA_Bets[[Date]:[Version]],2,0),"")</f>
        <v/>
      </c>
      <c r="O723" s="94" t="str">
        <f>COUNTIFS(NCAA_Bets[Date],M723,NCAA_Bets[Result],"W")&amp;"-"&amp;COUNTIFS(NCAA_Bets[Date],M723,NCAA_Bets[Result],"L")&amp;IF(COUNTIFS(NCAA_Bets[Date],M723,NCAA_Bets[Result],"Push")&gt;0,"-"&amp;COUNTIFS(NCAA_Bets[Date],M723,NCAA_Bets[Result],"Push"),"")</f>
        <v>0-0</v>
      </c>
      <c r="P723" s="90">
        <f>SUMIF(NCAA_Bets[Date],M723,NCAA_Bets[Winnings])-SUMIF(NCAA_Bets[Date],M723,NCAA_Bets[Risk])</f>
        <v>0</v>
      </c>
    </row>
    <row r="724" spans="2:16" x14ac:dyDescent="0.25">
      <c r="B724" s="101">
        <f t="shared" si="32"/>
        <v>33</v>
      </c>
      <c r="L724" s="71">
        <f t="shared" si="31"/>
        <v>0</v>
      </c>
      <c r="M724" s="71">
        <f t="shared" si="30"/>
        <v>0</v>
      </c>
      <c r="N724" s="71" t="str">
        <f>IFERROR(VLOOKUP(M724,NCAA_Bets[[Date]:[Version]],2,0),"")</f>
        <v/>
      </c>
      <c r="O724" s="94" t="str">
        <f>COUNTIFS(NCAA_Bets[Date],M724,NCAA_Bets[Result],"W")&amp;"-"&amp;COUNTIFS(NCAA_Bets[Date],M724,NCAA_Bets[Result],"L")&amp;IF(COUNTIFS(NCAA_Bets[Date],M724,NCAA_Bets[Result],"Push")&gt;0,"-"&amp;COUNTIFS(NCAA_Bets[Date],M724,NCAA_Bets[Result],"Push"),"")</f>
        <v>0-0</v>
      </c>
      <c r="P724" s="90">
        <f>SUMIF(NCAA_Bets[Date],M724,NCAA_Bets[Winnings])-SUMIF(NCAA_Bets[Date],M724,NCAA_Bets[Risk])</f>
        <v>0</v>
      </c>
    </row>
    <row r="725" spans="2:16" x14ac:dyDescent="0.25">
      <c r="B725" s="101">
        <f t="shared" si="32"/>
        <v>33</v>
      </c>
      <c r="L725" s="71">
        <f t="shared" si="31"/>
        <v>0</v>
      </c>
      <c r="M725" s="71">
        <f t="shared" si="30"/>
        <v>0</v>
      </c>
      <c r="N725" s="71" t="str">
        <f>IFERROR(VLOOKUP(M725,NCAA_Bets[[Date]:[Version]],2,0),"")</f>
        <v/>
      </c>
      <c r="O725" s="94" t="str">
        <f>COUNTIFS(NCAA_Bets[Date],M725,NCAA_Bets[Result],"W")&amp;"-"&amp;COUNTIFS(NCAA_Bets[Date],M725,NCAA_Bets[Result],"L")&amp;IF(COUNTIFS(NCAA_Bets[Date],M725,NCAA_Bets[Result],"Push")&gt;0,"-"&amp;COUNTIFS(NCAA_Bets[Date],M725,NCAA_Bets[Result],"Push"),"")</f>
        <v>0-0</v>
      </c>
      <c r="P725" s="90">
        <f>SUMIF(NCAA_Bets[Date],M725,NCAA_Bets[Winnings])-SUMIF(NCAA_Bets[Date],M725,NCAA_Bets[Risk])</f>
        <v>0</v>
      </c>
    </row>
    <row r="726" spans="2:16" x14ac:dyDescent="0.25">
      <c r="B726" s="101">
        <f t="shared" si="32"/>
        <v>33</v>
      </c>
      <c r="L726" s="71">
        <f t="shared" si="31"/>
        <v>0</v>
      </c>
      <c r="M726" s="71">
        <f t="shared" si="30"/>
        <v>0</v>
      </c>
      <c r="N726" s="71" t="str">
        <f>IFERROR(VLOOKUP(M726,NCAA_Bets[[Date]:[Version]],2,0),"")</f>
        <v/>
      </c>
      <c r="O726" s="94" t="str">
        <f>COUNTIFS(NCAA_Bets[Date],M726,NCAA_Bets[Result],"W")&amp;"-"&amp;COUNTIFS(NCAA_Bets[Date],M726,NCAA_Bets[Result],"L")&amp;IF(COUNTIFS(NCAA_Bets[Date],M726,NCAA_Bets[Result],"Push")&gt;0,"-"&amp;COUNTIFS(NCAA_Bets[Date],M726,NCAA_Bets[Result],"Push"),"")</f>
        <v>0-0</v>
      </c>
      <c r="P726" s="90">
        <f>SUMIF(NCAA_Bets[Date],M726,NCAA_Bets[Winnings])-SUMIF(NCAA_Bets[Date],M726,NCAA_Bets[Risk])</f>
        <v>0</v>
      </c>
    </row>
    <row r="727" spans="2:16" x14ac:dyDescent="0.25">
      <c r="B727" s="101">
        <f t="shared" si="32"/>
        <v>33</v>
      </c>
      <c r="L727" s="71">
        <f t="shared" si="31"/>
        <v>0</v>
      </c>
      <c r="M727" s="71">
        <f t="shared" si="30"/>
        <v>0</v>
      </c>
      <c r="N727" s="71" t="str">
        <f>IFERROR(VLOOKUP(M727,NCAA_Bets[[Date]:[Version]],2,0),"")</f>
        <v/>
      </c>
      <c r="O727" s="94" t="str">
        <f>COUNTIFS(NCAA_Bets[Date],M727,NCAA_Bets[Result],"W")&amp;"-"&amp;COUNTIFS(NCAA_Bets[Date],M727,NCAA_Bets[Result],"L")&amp;IF(COUNTIFS(NCAA_Bets[Date],M727,NCAA_Bets[Result],"Push")&gt;0,"-"&amp;COUNTIFS(NCAA_Bets[Date],M727,NCAA_Bets[Result],"Push"),"")</f>
        <v>0-0</v>
      </c>
      <c r="P727" s="90">
        <f>SUMIF(NCAA_Bets[Date],M727,NCAA_Bets[Winnings])-SUMIF(NCAA_Bets[Date],M727,NCAA_Bets[Risk])</f>
        <v>0</v>
      </c>
    </row>
    <row r="728" spans="2:16" x14ac:dyDescent="0.25">
      <c r="B728" s="101">
        <f t="shared" si="32"/>
        <v>33</v>
      </c>
      <c r="L728" s="71">
        <f t="shared" si="31"/>
        <v>0</v>
      </c>
      <c r="M728" s="71">
        <f t="shared" si="30"/>
        <v>0</v>
      </c>
      <c r="N728" s="71" t="str">
        <f>IFERROR(VLOOKUP(M728,NCAA_Bets[[Date]:[Version]],2,0),"")</f>
        <v/>
      </c>
      <c r="O728" s="94" t="str">
        <f>COUNTIFS(NCAA_Bets[Date],M728,NCAA_Bets[Result],"W")&amp;"-"&amp;COUNTIFS(NCAA_Bets[Date],M728,NCAA_Bets[Result],"L")&amp;IF(COUNTIFS(NCAA_Bets[Date],M728,NCAA_Bets[Result],"Push")&gt;0,"-"&amp;COUNTIFS(NCAA_Bets[Date],M728,NCAA_Bets[Result],"Push"),"")</f>
        <v>0-0</v>
      </c>
      <c r="P728" s="90">
        <f>SUMIF(NCAA_Bets[Date],M728,NCAA_Bets[Winnings])-SUMIF(NCAA_Bets[Date],M728,NCAA_Bets[Risk])</f>
        <v>0</v>
      </c>
    </row>
    <row r="729" spans="2:16" x14ac:dyDescent="0.25">
      <c r="B729" s="101">
        <f t="shared" si="32"/>
        <v>33</v>
      </c>
      <c r="L729" s="71">
        <f t="shared" si="31"/>
        <v>0</v>
      </c>
      <c r="M729" s="71">
        <f t="shared" si="30"/>
        <v>0</v>
      </c>
      <c r="N729" s="71" t="str">
        <f>IFERROR(VLOOKUP(M729,NCAA_Bets[[Date]:[Version]],2,0),"")</f>
        <v/>
      </c>
      <c r="O729" s="94" t="str">
        <f>COUNTIFS(NCAA_Bets[Date],M729,NCAA_Bets[Result],"W")&amp;"-"&amp;COUNTIFS(NCAA_Bets[Date],M729,NCAA_Bets[Result],"L")&amp;IF(COUNTIFS(NCAA_Bets[Date],M729,NCAA_Bets[Result],"Push")&gt;0,"-"&amp;COUNTIFS(NCAA_Bets[Date],M729,NCAA_Bets[Result],"Push"),"")</f>
        <v>0-0</v>
      </c>
      <c r="P729" s="90">
        <f>SUMIF(NCAA_Bets[Date],M729,NCAA_Bets[Winnings])-SUMIF(NCAA_Bets[Date],M729,NCAA_Bets[Risk])</f>
        <v>0</v>
      </c>
    </row>
    <row r="730" spans="2:16" x14ac:dyDescent="0.25">
      <c r="B730" s="101">
        <f t="shared" si="32"/>
        <v>33</v>
      </c>
      <c r="L730" s="71">
        <f t="shared" si="31"/>
        <v>0</v>
      </c>
      <c r="M730" s="71">
        <f t="shared" ref="M730:M793" si="33">IFERROR(VLOOKUP(ROW()-4,B:C,2,0),0)</f>
        <v>0</v>
      </c>
      <c r="N730" s="71" t="str">
        <f>IFERROR(VLOOKUP(M730,NCAA_Bets[[Date]:[Version]],2,0),"")</f>
        <v/>
      </c>
      <c r="O730" s="94" t="str">
        <f>COUNTIFS(NCAA_Bets[Date],M730,NCAA_Bets[Result],"W")&amp;"-"&amp;COUNTIFS(NCAA_Bets[Date],M730,NCAA_Bets[Result],"L")&amp;IF(COUNTIFS(NCAA_Bets[Date],M730,NCAA_Bets[Result],"Push")&gt;0,"-"&amp;COUNTIFS(NCAA_Bets[Date],M730,NCAA_Bets[Result],"Push"),"")</f>
        <v>0-0</v>
      </c>
      <c r="P730" s="90">
        <f>SUMIF(NCAA_Bets[Date],M730,NCAA_Bets[Winnings])-SUMIF(NCAA_Bets[Date],M730,NCAA_Bets[Risk])</f>
        <v>0</v>
      </c>
    </row>
    <row r="731" spans="2:16" x14ac:dyDescent="0.25">
      <c r="B731" s="101">
        <f t="shared" si="32"/>
        <v>33</v>
      </c>
      <c r="L731" s="71">
        <f t="shared" si="31"/>
        <v>0</v>
      </c>
      <c r="M731" s="71">
        <f t="shared" si="33"/>
        <v>0</v>
      </c>
      <c r="N731" s="71" t="str">
        <f>IFERROR(VLOOKUP(M731,NCAA_Bets[[Date]:[Version]],2,0),"")</f>
        <v/>
      </c>
      <c r="O731" s="94" t="str">
        <f>COUNTIFS(NCAA_Bets[Date],M731,NCAA_Bets[Result],"W")&amp;"-"&amp;COUNTIFS(NCAA_Bets[Date],M731,NCAA_Bets[Result],"L")&amp;IF(COUNTIFS(NCAA_Bets[Date],M731,NCAA_Bets[Result],"Push")&gt;0,"-"&amp;COUNTIFS(NCAA_Bets[Date],M731,NCAA_Bets[Result],"Push"),"")</f>
        <v>0-0</v>
      </c>
      <c r="P731" s="90">
        <f>SUMIF(NCAA_Bets[Date],M731,NCAA_Bets[Winnings])-SUMIF(NCAA_Bets[Date],M731,NCAA_Bets[Risk])</f>
        <v>0</v>
      </c>
    </row>
    <row r="732" spans="2:16" x14ac:dyDescent="0.25">
      <c r="B732" s="101">
        <f t="shared" si="32"/>
        <v>33</v>
      </c>
      <c r="L732" s="71">
        <f t="shared" si="31"/>
        <v>0</v>
      </c>
      <c r="M732" s="71">
        <f t="shared" si="33"/>
        <v>0</v>
      </c>
      <c r="N732" s="71" t="str">
        <f>IFERROR(VLOOKUP(M732,NCAA_Bets[[Date]:[Version]],2,0),"")</f>
        <v/>
      </c>
      <c r="O732" s="94" t="str">
        <f>COUNTIFS(NCAA_Bets[Date],M732,NCAA_Bets[Result],"W")&amp;"-"&amp;COUNTIFS(NCAA_Bets[Date],M732,NCAA_Bets[Result],"L")&amp;IF(COUNTIFS(NCAA_Bets[Date],M732,NCAA_Bets[Result],"Push")&gt;0,"-"&amp;COUNTIFS(NCAA_Bets[Date],M732,NCAA_Bets[Result],"Push"),"")</f>
        <v>0-0</v>
      </c>
      <c r="P732" s="90">
        <f>SUMIF(NCAA_Bets[Date],M732,NCAA_Bets[Winnings])-SUMIF(NCAA_Bets[Date],M732,NCAA_Bets[Risk])</f>
        <v>0</v>
      </c>
    </row>
    <row r="733" spans="2:16" x14ac:dyDescent="0.25">
      <c r="B733" s="101">
        <f t="shared" si="32"/>
        <v>33</v>
      </c>
      <c r="L733" s="71">
        <f t="shared" si="31"/>
        <v>0</v>
      </c>
      <c r="M733" s="71">
        <f t="shared" si="33"/>
        <v>0</v>
      </c>
      <c r="N733" s="71" t="str">
        <f>IFERROR(VLOOKUP(M733,NCAA_Bets[[Date]:[Version]],2,0),"")</f>
        <v/>
      </c>
      <c r="O733" s="94" t="str">
        <f>COUNTIFS(NCAA_Bets[Date],M733,NCAA_Bets[Result],"W")&amp;"-"&amp;COUNTIFS(NCAA_Bets[Date],M733,NCAA_Bets[Result],"L")&amp;IF(COUNTIFS(NCAA_Bets[Date],M733,NCAA_Bets[Result],"Push")&gt;0,"-"&amp;COUNTIFS(NCAA_Bets[Date],M733,NCAA_Bets[Result],"Push"),"")</f>
        <v>0-0</v>
      </c>
      <c r="P733" s="90">
        <f>SUMIF(NCAA_Bets[Date],M733,NCAA_Bets[Winnings])-SUMIF(NCAA_Bets[Date],M733,NCAA_Bets[Risk])</f>
        <v>0</v>
      </c>
    </row>
    <row r="734" spans="2:16" x14ac:dyDescent="0.25">
      <c r="B734" s="101">
        <f t="shared" si="32"/>
        <v>33</v>
      </c>
      <c r="L734" s="71">
        <f t="shared" si="31"/>
        <v>0</v>
      </c>
      <c r="M734" s="71">
        <f t="shared" si="33"/>
        <v>0</v>
      </c>
      <c r="N734" s="71" t="str">
        <f>IFERROR(VLOOKUP(M734,NCAA_Bets[[Date]:[Version]],2,0),"")</f>
        <v/>
      </c>
      <c r="O734" s="94" t="str">
        <f>COUNTIFS(NCAA_Bets[Date],M734,NCAA_Bets[Result],"W")&amp;"-"&amp;COUNTIFS(NCAA_Bets[Date],M734,NCAA_Bets[Result],"L")&amp;IF(COUNTIFS(NCAA_Bets[Date],M734,NCAA_Bets[Result],"Push")&gt;0,"-"&amp;COUNTIFS(NCAA_Bets[Date],M734,NCAA_Bets[Result],"Push"),"")</f>
        <v>0-0</v>
      </c>
      <c r="P734" s="90">
        <f>SUMIF(NCAA_Bets[Date],M734,NCAA_Bets[Winnings])-SUMIF(NCAA_Bets[Date],M734,NCAA_Bets[Risk])</f>
        <v>0</v>
      </c>
    </row>
    <row r="735" spans="2:16" x14ac:dyDescent="0.25">
      <c r="B735" s="101">
        <f t="shared" si="32"/>
        <v>33</v>
      </c>
      <c r="L735" s="71">
        <f t="shared" si="31"/>
        <v>0</v>
      </c>
      <c r="M735" s="71">
        <f t="shared" si="33"/>
        <v>0</v>
      </c>
      <c r="N735" s="71" t="str">
        <f>IFERROR(VLOOKUP(M735,NCAA_Bets[[Date]:[Version]],2,0),"")</f>
        <v/>
      </c>
      <c r="O735" s="94" t="str">
        <f>COUNTIFS(NCAA_Bets[Date],M735,NCAA_Bets[Result],"W")&amp;"-"&amp;COUNTIFS(NCAA_Bets[Date],M735,NCAA_Bets[Result],"L")&amp;IF(COUNTIFS(NCAA_Bets[Date],M735,NCAA_Bets[Result],"Push")&gt;0,"-"&amp;COUNTIFS(NCAA_Bets[Date],M735,NCAA_Bets[Result],"Push"),"")</f>
        <v>0-0</v>
      </c>
      <c r="P735" s="90">
        <f>SUMIF(NCAA_Bets[Date],M735,NCAA_Bets[Winnings])-SUMIF(NCAA_Bets[Date],M735,NCAA_Bets[Risk])</f>
        <v>0</v>
      </c>
    </row>
    <row r="736" spans="2:16" x14ac:dyDescent="0.25">
      <c r="B736" s="101">
        <f t="shared" si="32"/>
        <v>33</v>
      </c>
      <c r="L736" s="71">
        <f t="shared" si="31"/>
        <v>0</v>
      </c>
      <c r="M736" s="71">
        <f t="shared" si="33"/>
        <v>0</v>
      </c>
      <c r="N736" s="71" t="str">
        <f>IFERROR(VLOOKUP(M736,NCAA_Bets[[Date]:[Version]],2,0),"")</f>
        <v/>
      </c>
      <c r="O736" s="94" t="str">
        <f>COUNTIFS(NCAA_Bets[Date],M736,NCAA_Bets[Result],"W")&amp;"-"&amp;COUNTIFS(NCAA_Bets[Date],M736,NCAA_Bets[Result],"L")&amp;IF(COUNTIFS(NCAA_Bets[Date],M736,NCAA_Bets[Result],"Push")&gt;0,"-"&amp;COUNTIFS(NCAA_Bets[Date],M736,NCAA_Bets[Result],"Push"),"")</f>
        <v>0-0</v>
      </c>
      <c r="P736" s="90">
        <f>SUMIF(NCAA_Bets[Date],M736,NCAA_Bets[Winnings])-SUMIF(NCAA_Bets[Date],M736,NCAA_Bets[Risk])</f>
        <v>0</v>
      </c>
    </row>
    <row r="737" spans="2:16" x14ac:dyDescent="0.25">
      <c r="B737" s="101">
        <f t="shared" si="32"/>
        <v>33</v>
      </c>
      <c r="L737" s="71">
        <f t="shared" si="31"/>
        <v>0</v>
      </c>
      <c r="M737" s="71">
        <f t="shared" si="33"/>
        <v>0</v>
      </c>
      <c r="N737" s="71" t="str">
        <f>IFERROR(VLOOKUP(M737,NCAA_Bets[[Date]:[Version]],2,0),"")</f>
        <v/>
      </c>
      <c r="O737" s="94" t="str">
        <f>COUNTIFS(NCAA_Bets[Date],M737,NCAA_Bets[Result],"W")&amp;"-"&amp;COUNTIFS(NCAA_Bets[Date],M737,NCAA_Bets[Result],"L")&amp;IF(COUNTIFS(NCAA_Bets[Date],M737,NCAA_Bets[Result],"Push")&gt;0,"-"&amp;COUNTIFS(NCAA_Bets[Date],M737,NCAA_Bets[Result],"Push"),"")</f>
        <v>0-0</v>
      </c>
      <c r="P737" s="90">
        <f>SUMIF(NCAA_Bets[Date],M737,NCAA_Bets[Winnings])-SUMIF(NCAA_Bets[Date],M737,NCAA_Bets[Risk])</f>
        <v>0</v>
      </c>
    </row>
    <row r="738" spans="2:16" x14ac:dyDescent="0.25">
      <c r="B738" s="101">
        <f t="shared" si="32"/>
        <v>33</v>
      </c>
      <c r="L738" s="71">
        <f t="shared" si="31"/>
        <v>0</v>
      </c>
      <c r="M738" s="71">
        <f t="shared" si="33"/>
        <v>0</v>
      </c>
      <c r="N738" s="71" t="str">
        <f>IFERROR(VLOOKUP(M738,NCAA_Bets[[Date]:[Version]],2,0),"")</f>
        <v/>
      </c>
      <c r="O738" s="94" t="str">
        <f>COUNTIFS(NCAA_Bets[Date],M738,NCAA_Bets[Result],"W")&amp;"-"&amp;COUNTIFS(NCAA_Bets[Date],M738,NCAA_Bets[Result],"L")&amp;IF(COUNTIFS(NCAA_Bets[Date],M738,NCAA_Bets[Result],"Push")&gt;0,"-"&amp;COUNTIFS(NCAA_Bets[Date],M738,NCAA_Bets[Result],"Push"),"")</f>
        <v>0-0</v>
      </c>
      <c r="P738" s="90">
        <f>SUMIF(NCAA_Bets[Date],M738,NCAA_Bets[Winnings])-SUMIF(NCAA_Bets[Date],M738,NCAA_Bets[Risk])</f>
        <v>0</v>
      </c>
    </row>
    <row r="739" spans="2:16" x14ac:dyDescent="0.25">
      <c r="B739" s="101">
        <f t="shared" si="32"/>
        <v>33</v>
      </c>
      <c r="L739" s="71">
        <f t="shared" si="31"/>
        <v>0</v>
      </c>
      <c r="M739" s="71">
        <f t="shared" si="33"/>
        <v>0</v>
      </c>
      <c r="N739" s="71" t="str">
        <f>IFERROR(VLOOKUP(M739,NCAA_Bets[[Date]:[Version]],2,0),"")</f>
        <v/>
      </c>
      <c r="O739" s="94" t="str">
        <f>COUNTIFS(NCAA_Bets[Date],M739,NCAA_Bets[Result],"W")&amp;"-"&amp;COUNTIFS(NCAA_Bets[Date],M739,NCAA_Bets[Result],"L")&amp;IF(COUNTIFS(NCAA_Bets[Date],M739,NCAA_Bets[Result],"Push")&gt;0,"-"&amp;COUNTIFS(NCAA_Bets[Date],M739,NCAA_Bets[Result],"Push"),"")</f>
        <v>0-0</v>
      </c>
      <c r="P739" s="90">
        <f>SUMIF(NCAA_Bets[Date],M739,NCAA_Bets[Winnings])-SUMIF(NCAA_Bets[Date],M739,NCAA_Bets[Risk])</f>
        <v>0</v>
      </c>
    </row>
    <row r="740" spans="2:16" x14ac:dyDescent="0.25">
      <c r="B740" s="101">
        <f t="shared" si="32"/>
        <v>33</v>
      </c>
      <c r="L740" s="71">
        <f t="shared" ref="L740:L803" si="34">IFERROR(VLOOKUP(ROW()-4,B:C,2,0),0)</f>
        <v>0</v>
      </c>
      <c r="M740" s="71">
        <f t="shared" si="33"/>
        <v>0</v>
      </c>
      <c r="N740" s="71" t="str">
        <f>IFERROR(VLOOKUP(M740,NCAA_Bets[[Date]:[Version]],2,0),"")</f>
        <v/>
      </c>
      <c r="O740" s="94" t="str">
        <f>COUNTIFS(NCAA_Bets[Date],M740,NCAA_Bets[Result],"W")&amp;"-"&amp;COUNTIFS(NCAA_Bets[Date],M740,NCAA_Bets[Result],"L")&amp;IF(COUNTIFS(NCAA_Bets[Date],M740,NCAA_Bets[Result],"Push")&gt;0,"-"&amp;COUNTIFS(NCAA_Bets[Date],M740,NCAA_Bets[Result],"Push"),"")</f>
        <v>0-0</v>
      </c>
      <c r="P740" s="90">
        <f>SUMIF(NCAA_Bets[Date],M740,NCAA_Bets[Winnings])-SUMIF(NCAA_Bets[Date],M740,NCAA_Bets[Risk])</f>
        <v>0</v>
      </c>
    </row>
    <row r="741" spans="2:16" x14ac:dyDescent="0.25">
      <c r="B741" s="101">
        <f t="shared" si="32"/>
        <v>33</v>
      </c>
      <c r="L741" s="71">
        <f t="shared" si="34"/>
        <v>0</v>
      </c>
      <c r="M741" s="71">
        <f t="shared" si="33"/>
        <v>0</v>
      </c>
      <c r="N741" s="71" t="str">
        <f>IFERROR(VLOOKUP(M741,NCAA_Bets[[Date]:[Version]],2,0),"")</f>
        <v/>
      </c>
      <c r="O741" s="94" t="str">
        <f>COUNTIFS(NCAA_Bets[Date],M741,NCAA_Bets[Result],"W")&amp;"-"&amp;COUNTIFS(NCAA_Bets[Date],M741,NCAA_Bets[Result],"L")&amp;IF(COUNTIFS(NCAA_Bets[Date],M741,NCAA_Bets[Result],"Push")&gt;0,"-"&amp;COUNTIFS(NCAA_Bets[Date],M741,NCAA_Bets[Result],"Push"),"")</f>
        <v>0-0</v>
      </c>
      <c r="P741" s="90">
        <f>SUMIF(NCAA_Bets[Date],M741,NCAA_Bets[Winnings])-SUMIF(NCAA_Bets[Date],M741,NCAA_Bets[Risk])</f>
        <v>0</v>
      </c>
    </row>
    <row r="742" spans="2:16" x14ac:dyDescent="0.25">
      <c r="B742" s="101">
        <f t="shared" si="32"/>
        <v>33</v>
      </c>
      <c r="L742" s="71">
        <f t="shared" si="34"/>
        <v>0</v>
      </c>
      <c r="M742" s="71">
        <f t="shared" si="33"/>
        <v>0</v>
      </c>
      <c r="N742" s="71" t="str">
        <f>IFERROR(VLOOKUP(M742,NCAA_Bets[[Date]:[Version]],2,0),"")</f>
        <v/>
      </c>
      <c r="O742" s="94" t="str">
        <f>COUNTIFS(NCAA_Bets[Date],M742,NCAA_Bets[Result],"W")&amp;"-"&amp;COUNTIFS(NCAA_Bets[Date],M742,NCAA_Bets[Result],"L")&amp;IF(COUNTIFS(NCAA_Bets[Date],M742,NCAA_Bets[Result],"Push")&gt;0,"-"&amp;COUNTIFS(NCAA_Bets[Date],M742,NCAA_Bets[Result],"Push"),"")</f>
        <v>0-0</v>
      </c>
      <c r="P742" s="90">
        <f>SUMIF(NCAA_Bets[Date],M742,NCAA_Bets[Winnings])-SUMIF(NCAA_Bets[Date],M742,NCAA_Bets[Risk])</f>
        <v>0</v>
      </c>
    </row>
    <row r="743" spans="2:16" x14ac:dyDescent="0.25">
      <c r="B743" s="101">
        <f t="shared" si="32"/>
        <v>33</v>
      </c>
      <c r="L743" s="71">
        <f t="shared" si="34"/>
        <v>0</v>
      </c>
      <c r="M743" s="71">
        <f t="shared" si="33"/>
        <v>0</v>
      </c>
      <c r="N743" s="71" t="str">
        <f>IFERROR(VLOOKUP(M743,NCAA_Bets[[Date]:[Version]],2,0),"")</f>
        <v/>
      </c>
      <c r="O743" s="94" t="str">
        <f>COUNTIFS(NCAA_Bets[Date],M743,NCAA_Bets[Result],"W")&amp;"-"&amp;COUNTIFS(NCAA_Bets[Date],M743,NCAA_Bets[Result],"L")&amp;IF(COUNTIFS(NCAA_Bets[Date],M743,NCAA_Bets[Result],"Push")&gt;0,"-"&amp;COUNTIFS(NCAA_Bets[Date],M743,NCAA_Bets[Result],"Push"),"")</f>
        <v>0-0</v>
      </c>
      <c r="P743" s="90">
        <f>SUMIF(NCAA_Bets[Date],M743,NCAA_Bets[Winnings])-SUMIF(NCAA_Bets[Date],M743,NCAA_Bets[Risk])</f>
        <v>0</v>
      </c>
    </row>
    <row r="744" spans="2:16" x14ac:dyDescent="0.25">
      <c r="B744" s="101">
        <f t="shared" si="32"/>
        <v>33</v>
      </c>
      <c r="L744" s="71">
        <f t="shared" si="34"/>
        <v>0</v>
      </c>
      <c r="M744" s="71">
        <f t="shared" si="33"/>
        <v>0</v>
      </c>
      <c r="N744" s="71" t="str">
        <f>IFERROR(VLOOKUP(M744,NCAA_Bets[[Date]:[Version]],2,0),"")</f>
        <v/>
      </c>
      <c r="O744" s="94" t="str">
        <f>COUNTIFS(NCAA_Bets[Date],M744,NCAA_Bets[Result],"W")&amp;"-"&amp;COUNTIFS(NCAA_Bets[Date],M744,NCAA_Bets[Result],"L")&amp;IF(COUNTIFS(NCAA_Bets[Date],M744,NCAA_Bets[Result],"Push")&gt;0,"-"&amp;COUNTIFS(NCAA_Bets[Date],M744,NCAA_Bets[Result],"Push"),"")</f>
        <v>0-0</v>
      </c>
      <c r="P744" s="90">
        <f>SUMIF(NCAA_Bets[Date],M744,NCAA_Bets[Winnings])-SUMIF(NCAA_Bets[Date],M744,NCAA_Bets[Risk])</f>
        <v>0</v>
      </c>
    </row>
    <row r="745" spans="2:16" x14ac:dyDescent="0.25">
      <c r="B745" s="101">
        <f t="shared" si="32"/>
        <v>33</v>
      </c>
      <c r="L745" s="71">
        <f t="shared" si="34"/>
        <v>0</v>
      </c>
      <c r="M745" s="71">
        <f t="shared" si="33"/>
        <v>0</v>
      </c>
      <c r="N745" s="71" t="str">
        <f>IFERROR(VLOOKUP(M745,NCAA_Bets[[Date]:[Version]],2,0),"")</f>
        <v/>
      </c>
      <c r="O745" s="94" t="str">
        <f>COUNTIFS(NCAA_Bets[Date],M745,NCAA_Bets[Result],"W")&amp;"-"&amp;COUNTIFS(NCAA_Bets[Date],M745,NCAA_Bets[Result],"L")&amp;IF(COUNTIFS(NCAA_Bets[Date],M745,NCAA_Bets[Result],"Push")&gt;0,"-"&amp;COUNTIFS(NCAA_Bets[Date],M745,NCAA_Bets[Result],"Push"),"")</f>
        <v>0-0</v>
      </c>
      <c r="P745" s="90">
        <f>SUMIF(NCAA_Bets[Date],M745,NCAA_Bets[Winnings])-SUMIF(NCAA_Bets[Date],M745,NCAA_Bets[Risk])</f>
        <v>0</v>
      </c>
    </row>
    <row r="746" spans="2:16" x14ac:dyDescent="0.25">
      <c r="B746" s="101">
        <f t="shared" si="32"/>
        <v>33</v>
      </c>
      <c r="L746" s="71">
        <f t="shared" si="34"/>
        <v>0</v>
      </c>
      <c r="M746" s="71">
        <f t="shared" si="33"/>
        <v>0</v>
      </c>
      <c r="N746" s="71" t="str">
        <f>IFERROR(VLOOKUP(M746,NCAA_Bets[[Date]:[Version]],2,0),"")</f>
        <v/>
      </c>
      <c r="O746" s="94" t="str">
        <f>COUNTIFS(NCAA_Bets[Date],M746,NCAA_Bets[Result],"W")&amp;"-"&amp;COUNTIFS(NCAA_Bets[Date],M746,NCAA_Bets[Result],"L")&amp;IF(COUNTIFS(NCAA_Bets[Date],M746,NCAA_Bets[Result],"Push")&gt;0,"-"&amp;COUNTIFS(NCAA_Bets[Date],M746,NCAA_Bets[Result],"Push"),"")</f>
        <v>0-0</v>
      </c>
      <c r="P746" s="90">
        <f>SUMIF(NCAA_Bets[Date],M746,NCAA_Bets[Winnings])-SUMIF(NCAA_Bets[Date],M746,NCAA_Bets[Risk])</f>
        <v>0</v>
      </c>
    </row>
    <row r="747" spans="2:16" x14ac:dyDescent="0.25">
      <c r="B747" s="101">
        <f t="shared" si="32"/>
        <v>33</v>
      </c>
      <c r="L747" s="71">
        <f t="shared" si="34"/>
        <v>0</v>
      </c>
      <c r="M747" s="71">
        <f t="shared" si="33"/>
        <v>0</v>
      </c>
      <c r="N747" s="71" t="str">
        <f>IFERROR(VLOOKUP(M747,NCAA_Bets[[Date]:[Version]],2,0),"")</f>
        <v/>
      </c>
      <c r="O747" s="94" t="str">
        <f>COUNTIFS(NCAA_Bets[Date],M747,NCAA_Bets[Result],"W")&amp;"-"&amp;COUNTIFS(NCAA_Bets[Date],M747,NCAA_Bets[Result],"L")&amp;IF(COUNTIFS(NCAA_Bets[Date],M747,NCAA_Bets[Result],"Push")&gt;0,"-"&amp;COUNTIFS(NCAA_Bets[Date],M747,NCAA_Bets[Result],"Push"),"")</f>
        <v>0-0</v>
      </c>
      <c r="P747" s="90">
        <f>SUMIF(NCAA_Bets[Date],M747,NCAA_Bets[Winnings])-SUMIF(NCAA_Bets[Date],M747,NCAA_Bets[Risk])</f>
        <v>0</v>
      </c>
    </row>
    <row r="748" spans="2:16" x14ac:dyDescent="0.25">
      <c r="B748" s="101">
        <f t="shared" si="32"/>
        <v>33</v>
      </c>
      <c r="L748" s="71">
        <f t="shared" si="34"/>
        <v>0</v>
      </c>
      <c r="M748" s="71">
        <f t="shared" si="33"/>
        <v>0</v>
      </c>
      <c r="N748" s="71" t="str">
        <f>IFERROR(VLOOKUP(M748,NCAA_Bets[[Date]:[Version]],2,0),"")</f>
        <v/>
      </c>
      <c r="O748" s="94" t="str">
        <f>COUNTIFS(NCAA_Bets[Date],M748,NCAA_Bets[Result],"W")&amp;"-"&amp;COUNTIFS(NCAA_Bets[Date],M748,NCAA_Bets[Result],"L")&amp;IF(COUNTIFS(NCAA_Bets[Date],M748,NCAA_Bets[Result],"Push")&gt;0,"-"&amp;COUNTIFS(NCAA_Bets[Date],M748,NCAA_Bets[Result],"Push"),"")</f>
        <v>0-0</v>
      </c>
      <c r="P748" s="90">
        <f>SUMIF(NCAA_Bets[Date],M748,NCAA_Bets[Winnings])-SUMIF(NCAA_Bets[Date],M748,NCAA_Bets[Risk])</f>
        <v>0</v>
      </c>
    </row>
    <row r="749" spans="2:16" x14ac:dyDescent="0.25">
      <c r="B749" s="101">
        <f t="shared" si="32"/>
        <v>33</v>
      </c>
      <c r="L749" s="71">
        <f t="shared" si="34"/>
        <v>0</v>
      </c>
      <c r="M749" s="71">
        <f t="shared" si="33"/>
        <v>0</v>
      </c>
      <c r="N749" s="71" t="str">
        <f>IFERROR(VLOOKUP(M749,NCAA_Bets[[Date]:[Version]],2,0),"")</f>
        <v/>
      </c>
      <c r="O749" s="94" t="str">
        <f>COUNTIFS(NCAA_Bets[Date],M749,NCAA_Bets[Result],"W")&amp;"-"&amp;COUNTIFS(NCAA_Bets[Date],M749,NCAA_Bets[Result],"L")&amp;IF(COUNTIFS(NCAA_Bets[Date],M749,NCAA_Bets[Result],"Push")&gt;0,"-"&amp;COUNTIFS(NCAA_Bets[Date],M749,NCAA_Bets[Result],"Push"),"")</f>
        <v>0-0</v>
      </c>
      <c r="P749" s="90">
        <f>SUMIF(NCAA_Bets[Date],M749,NCAA_Bets[Winnings])-SUMIF(NCAA_Bets[Date],M749,NCAA_Bets[Risk])</f>
        <v>0</v>
      </c>
    </row>
    <row r="750" spans="2:16" x14ac:dyDescent="0.25">
      <c r="B750" s="101">
        <f t="shared" si="32"/>
        <v>33</v>
      </c>
      <c r="L750" s="71">
        <f t="shared" si="34"/>
        <v>0</v>
      </c>
      <c r="M750" s="71">
        <f t="shared" si="33"/>
        <v>0</v>
      </c>
      <c r="N750" s="71" t="str">
        <f>IFERROR(VLOOKUP(M750,NCAA_Bets[[Date]:[Version]],2,0),"")</f>
        <v/>
      </c>
      <c r="O750" s="94" t="str">
        <f>COUNTIFS(NCAA_Bets[Date],M750,NCAA_Bets[Result],"W")&amp;"-"&amp;COUNTIFS(NCAA_Bets[Date],M750,NCAA_Bets[Result],"L")&amp;IF(COUNTIFS(NCAA_Bets[Date],M750,NCAA_Bets[Result],"Push")&gt;0,"-"&amp;COUNTIFS(NCAA_Bets[Date],M750,NCAA_Bets[Result],"Push"),"")</f>
        <v>0-0</v>
      </c>
      <c r="P750" s="90">
        <f>SUMIF(NCAA_Bets[Date],M750,NCAA_Bets[Winnings])-SUMIF(NCAA_Bets[Date],M750,NCAA_Bets[Risk])</f>
        <v>0</v>
      </c>
    </row>
    <row r="751" spans="2:16" x14ac:dyDescent="0.25">
      <c r="B751" s="101">
        <f t="shared" si="32"/>
        <v>33</v>
      </c>
      <c r="L751" s="71">
        <f t="shared" si="34"/>
        <v>0</v>
      </c>
      <c r="M751" s="71">
        <f t="shared" si="33"/>
        <v>0</v>
      </c>
      <c r="N751" s="71" t="str">
        <f>IFERROR(VLOOKUP(M751,NCAA_Bets[[Date]:[Version]],2,0),"")</f>
        <v/>
      </c>
      <c r="O751" s="94" t="str">
        <f>COUNTIFS(NCAA_Bets[Date],M751,NCAA_Bets[Result],"W")&amp;"-"&amp;COUNTIFS(NCAA_Bets[Date],M751,NCAA_Bets[Result],"L")&amp;IF(COUNTIFS(NCAA_Bets[Date],M751,NCAA_Bets[Result],"Push")&gt;0,"-"&amp;COUNTIFS(NCAA_Bets[Date],M751,NCAA_Bets[Result],"Push"),"")</f>
        <v>0-0</v>
      </c>
      <c r="P751" s="90">
        <f>SUMIF(NCAA_Bets[Date],M751,NCAA_Bets[Winnings])-SUMIF(NCAA_Bets[Date],M751,NCAA_Bets[Risk])</f>
        <v>0</v>
      </c>
    </row>
    <row r="752" spans="2:16" x14ac:dyDescent="0.25">
      <c r="B752" s="101">
        <f t="shared" si="32"/>
        <v>33</v>
      </c>
      <c r="L752" s="71">
        <f t="shared" si="34"/>
        <v>0</v>
      </c>
      <c r="M752" s="71">
        <f t="shared" si="33"/>
        <v>0</v>
      </c>
      <c r="N752" s="71" t="str">
        <f>IFERROR(VLOOKUP(M752,NCAA_Bets[[Date]:[Version]],2,0),"")</f>
        <v/>
      </c>
      <c r="O752" s="94" t="str">
        <f>COUNTIFS(NCAA_Bets[Date],M752,NCAA_Bets[Result],"W")&amp;"-"&amp;COUNTIFS(NCAA_Bets[Date],M752,NCAA_Bets[Result],"L")&amp;IF(COUNTIFS(NCAA_Bets[Date],M752,NCAA_Bets[Result],"Push")&gt;0,"-"&amp;COUNTIFS(NCAA_Bets[Date],M752,NCAA_Bets[Result],"Push"),"")</f>
        <v>0-0</v>
      </c>
      <c r="P752" s="90">
        <f>SUMIF(NCAA_Bets[Date],M752,NCAA_Bets[Winnings])-SUMIF(NCAA_Bets[Date],M752,NCAA_Bets[Risk])</f>
        <v>0</v>
      </c>
    </row>
    <row r="753" spans="2:16" x14ac:dyDescent="0.25">
      <c r="B753" s="101">
        <f t="shared" si="32"/>
        <v>33</v>
      </c>
      <c r="L753" s="71">
        <f t="shared" si="34"/>
        <v>0</v>
      </c>
      <c r="M753" s="71">
        <f t="shared" si="33"/>
        <v>0</v>
      </c>
      <c r="N753" s="71" t="str">
        <f>IFERROR(VLOOKUP(M753,NCAA_Bets[[Date]:[Version]],2,0),"")</f>
        <v/>
      </c>
      <c r="O753" s="94" t="str">
        <f>COUNTIFS(NCAA_Bets[Date],M753,NCAA_Bets[Result],"W")&amp;"-"&amp;COUNTIFS(NCAA_Bets[Date],M753,NCAA_Bets[Result],"L")&amp;IF(COUNTIFS(NCAA_Bets[Date],M753,NCAA_Bets[Result],"Push")&gt;0,"-"&amp;COUNTIFS(NCAA_Bets[Date],M753,NCAA_Bets[Result],"Push"),"")</f>
        <v>0-0</v>
      </c>
      <c r="P753" s="90">
        <f>SUMIF(NCAA_Bets[Date],M753,NCAA_Bets[Winnings])-SUMIF(NCAA_Bets[Date],M753,NCAA_Bets[Risk])</f>
        <v>0</v>
      </c>
    </row>
    <row r="754" spans="2:16" x14ac:dyDescent="0.25">
      <c r="B754" s="101">
        <f t="shared" si="32"/>
        <v>33</v>
      </c>
      <c r="L754" s="71">
        <f t="shared" si="34"/>
        <v>0</v>
      </c>
      <c r="M754" s="71">
        <f t="shared" si="33"/>
        <v>0</v>
      </c>
      <c r="N754" s="71" t="str">
        <f>IFERROR(VLOOKUP(M754,NCAA_Bets[[Date]:[Version]],2,0),"")</f>
        <v/>
      </c>
      <c r="O754" s="94" t="str">
        <f>COUNTIFS(NCAA_Bets[Date],M754,NCAA_Bets[Result],"W")&amp;"-"&amp;COUNTIFS(NCAA_Bets[Date],M754,NCAA_Bets[Result],"L")&amp;IF(COUNTIFS(NCAA_Bets[Date],M754,NCAA_Bets[Result],"Push")&gt;0,"-"&amp;COUNTIFS(NCAA_Bets[Date],M754,NCAA_Bets[Result],"Push"),"")</f>
        <v>0-0</v>
      </c>
      <c r="P754" s="90">
        <f>SUMIF(NCAA_Bets[Date],M754,NCAA_Bets[Winnings])-SUMIF(NCAA_Bets[Date],M754,NCAA_Bets[Risk])</f>
        <v>0</v>
      </c>
    </row>
    <row r="755" spans="2:16" x14ac:dyDescent="0.25">
      <c r="B755" s="101">
        <f t="shared" si="32"/>
        <v>33</v>
      </c>
      <c r="L755" s="71">
        <f t="shared" si="34"/>
        <v>0</v>
      </c>
      <c r="M755" s="71">
        <f t="shared" si="33"/>
        <v>0</v>
      </c>
      <c r="N755" s="71" t="str">
        <f>IFERROR(VLOOKUP(M755,NCAA_Bets[[Date]:[Version]],2,0),"")</f>
        <v/>
      </c>
      <c r="O755" s="94" t="str">
        <f>COUNTIFS(NCAA_Bets[Date],M755,NCAA_Bets[Result],"W")&amp;"-"&amp;COUNTIFS(NCAA_Bets[Date],M755,NCAA_Bets[Result],"L")&amp;IF(COUNTIFS(NCAA_Bets[Date],M755,NCAA_Bets[Result],"Push")&gt;0,"-"&amp;COUNTIFS(NCAA_Bets[Date],M755,NCAA_Bets[Result],"Push"),"")</f>
        <v>0-0</v>
      </c>
      <c r="P755" s="90">
        <f>SUMIF(NCAA_Bets[Date],M755,NCAA_Bets[Winnings])-SUMIF(NCAA_Bets[Date],M755,NCAA_Bets[Risk])</f>
        <v>0</v>
      </c>
    </row>
    <row r="756" spans="2:16" x14ac:dyDescent="0.25">
      <c r="B756" s="101">
        <f t="shared" si="32"/>
        <v>33</v>
      </c>
      <c r="L756" s="71">
        <f t="shared" si="34"/>
        <v>0</v>
      </c>
      <c r="M756" s="71">
        <f t="shared" si="33"/>
        <v>0</v>
      </c>
      <c r="N756" s="71" t="str">
        <f>IFERROR(VLOOKUP(M756,NCAA_Bets[[Date]:[Version]],2,0),"")</f>
        <v/>
      </c>
      <c r="O756" s="94" t="str">
        <f>COUNTIFS(NCAA_Bets[Date],M756,NCAA_Bets[Result],"W")&amp;"-"&amp;COUNTIFS(NCAA_Bets[Date],M756,NCAA_Bets[Result],"L")&amp;IF(COUNTIFS(NCAA_Bets[Date],M756,NCAA_Bets[Result],"Push")&gt;0,"-"&amp;COUNTIFS(NCAA_Bets[Date],M756,NCAA_Bets[Result],"Push"),"")</f>
        <v>0-0</v>
      </c>
      <c r="P756" s="90">
        <f>SUMIF(NCAA_Bets[Date],M756,NCAA_Bets[Winnings])-SUMIF(NCAA_Bets[Date],M756,NCAA_Bets[Risk])</f>
        <v>0</v>
      </c>
    </row>
    <row r="757" spans="2:16" x14ac:dyDescent="0.25">
      <c r="B757" s="101">
        <f t="shared" si="32"/>
        <v>33</v>
      </c>
      <c r="L757" s="71">
        <f t="shared" si="34"/>
        <v>0</v>
      </c>
      <c r="M757" s="71">
        <f t="shared" si="33"/>
        <v>0</v>
      </c>
      <c r="N757" s="71" t="str">
        <f>IFERROR(VLOOKUP(M757,NCAA_Bets[[Date]:[Version]],2,0),"")</f>
        <v/>
      </c>
      <c r="O757" s="94" t="str">
        <f>COUNTIFS(NCAA_Bets[Date],M757,NCAA_Bets[Result],"W")&amp;"-"&amp;COUNTIFS(NCAA_Bets[Date],M757,NCAA_Bets[Result],"L")&amp;IF(COUNTIFS(NCAA_Bets[Date],M757,NCAA_Bets[Result],"Push")&gt;0,"-"&amp;COUNTIFS(NCAA_Bets[Date],M757,NCAA_Bets[Result],"Push"),"")</f>
        <v>0-0</v>
      </c>
      <c r="P757" s="90">
        <f>SUMIF(NCAA_Bets[Date],M757,NCAA_Bets[Winnings])-SUMIF(NCAA_Bets[Date],M757,NCAA_Bets[Risk])</f>
        <v>0</v>
      </c>
    </row>
    <row r="758" spans="2:16" x14ac:dyDescent="0.25">
      <c r="B758" s="101">
        <f t="shared" si="32"/>
        <v>33</v>
      </c>
      <c r="L758" s="71">
        <f t="shared" si="34"/>
        <v>0</v>
      </c>
      <c r="M758" s="71">
        <f t="shared" si="33"/>
        <v>0</v>
      </c>
      <c r="N758" s="71" t="str">
        <f>IFERROR(VLOOKUP(M758,NCAA_Bets[[Date]:[Version]],2,0),"")</f>
        <v/>
      </c>
      <c r="O758" s="94" t="str">
        <f>COUNTIFS(NCAA_Bets[Date],M758,NCAA_Bets[Result],"W")&amp;"-"&amp;COUNTIFS(NCAA_Bets[Date],M758,NCAA_Bets[Result],"L")&amp;IF(COUNTIFS(NCAA_Bets[Date],M758,NCAA_Bets[Result],"Push")&gt;0,"-"&amp;COUNTIFS(NCAA_Bets[Date],M758,NCAA_Bets[Result],"Push"),"")</f>
        <v>0-0</v>
      </c>
      <c r="P758" s="90">
        <f>SUMIF(NCAA_Bets[Date],M758,NCAA_Bets[Winnings])-SUMIF(NCAA_Bets[Date],M758,NCAA_Bets[Risk])</f>
        <v>0</v>
      </c>
    </row>
    <row r="759" spans="2:16" x14ac:dyDescent="0.25">
      <c r="B759" s="101">
        <f t="shared" si="32"/>
        <v>33</v>
      </c>
      <c r="L759" s="71">
        <f t="shared" si="34"/>
        <v>0</v>
      </c>
      <c r="M759" s="71">
        <f t="shared" si="33"/>
        <v>0</v>
      </c>
      <c r="N759" s="71" t="str">
        <f>IFERROR(VLOOKUP(M759,NCAA_Bets[[Date]:[Version]],2,0),"")</f>
        <v/>
      </c>
      <c r="O759" s="94" t="str">
        <f>COUNTIFS(NCAA_Bets[Date],M759,NCAA_Bets[Result],"W")&amp;"-"&amp;COUNTIFS(NCAA_Bets[Date],M759,NCAA_Bets[Result],"L")&amp;IF(COUNTIFS(NCAA_Bets[Date],M759,NCAA_Bets[Result],"Push")&gt;0,"-"&amp;COUNTIFS(NCAA_Bets[Date],M759,NCAA_Bets[Result],"Push"),"")</f>
        <v>0-0</v>
      </c>
      <c r="P759" s="90">
        <f>SUMIF(NCAA_Bets[Date],M759,NCAA_Bets[Winnings])-SUMIF(NCAA_Bets[Date],M759,NCAA_Bets[Risk])</f>
        <v>0</v>
      </c>
    </row>
    <row r="760" spans="2:16" x14ac:dyDescent="0.25">
      <c r="B760" s="101">
        <f t="shared" si="32"/>
        <v>33</v>
      </c>
      <c r="L760" s="71">
        <f t="shared" si="34"/>
        <v>0</v>
      </c>
      <c r="M760" s="71">
        <f t="shared" si="33"/>
        <v>0</v>
      </c>
      <c r="N760" s="71" t="str">
        <f>IFERROR(VLOOKUP(M760,NCAA_Bets[[Date]:[Version]],2,0),"")</f>
        <v/>
      </c>
      <c r="O760" s="94" t="str">
        <f>COUNTIFS(NCAA_Bets[Date],M760,NCAA_Bets[Result],"W")&amp;"-"&amp;COUNTIFS(NCAA_Bets[Date],M760,NCAA_Bets[Result],"L")&amp;IF(COUNTIFS(NCAA_Bets[Date],M760,NCAA_Bets[Result],"Push")&gt;0,"-"&amp;COUNTIFS(NCAA_Bets[Date],M760,NCAA_Bets[Result],"Push"),"")</f>
        <v>0-0</v>
      </c>
      <c r="P760" s="90">
        <f>SUMIF(NCAA_Bets[Date],M760,NCAA_Bets[Winnings])-SUMIF(NCAA_Bets[Date],M760,NCAA_Bets[Risk])</f>
        <v>0</v>
      </c>
    </row>
    <row r="761" spans="2:16" x14ac:dyDescent="0.25">
      <c r="B761" s="101">
        <f t="shared" si="32"/>
        <v>33</v>
      </c>
      <c r="L761" s="71">
        <f t="shared" si="34"/>
        <v>0</v>
      </c>
      <c r="M761" s="71">
        <f t="shared" si="33"/>
        <v>0</v>
      </c>
      <c r="N761" s="71" t="str">
        <f>IFERROR(VLOOKUP(M761,NCAA_Bets[[Date]:[Version]],2,0),"")</f>
        <v/>
      </c>
      <c r="O761" s="94" t="str">
        <f>COUNTIFS(NCAA_Bets[Date],M761,NCAA_Bets[Result],"W")&amp;"-"&amp;COUNTIFS(NCAA_Bets[Date],M761,NCAA_Bets[Result],"L")&amp;IF(COUNTIFS(NCAA_Bets[Date],M761,NCAA_Bets[Result],"Push")&gt;0,"-"&amp;COUNTIFS(NCAA_Bets[Date],M761,NCAA_Bets[Result],"Push"),"")</f>
        <v>0-0</v>
      </c>
      <c r="P761" s="90">
        <f>SUMIF(NCAA_Bets[Date],M761,NCAA_Bets[Winnings])-SUMIF(NCAA_Bets[Date],M761,NCAA_Bets[Risk])</f>
        <v>0</v>
      </c>
    </row>
    <row r="762" spans="2:16" x14ac:dyDescent="0.25">
      <c r="B762" s="101">
        <f t="shared" si="32"/>
        <v>33</v>
      </c>
      <c r="L762" s="71">
        <f t="shared" si="34"/>
        <v>0</v>
      </c>
      <c r="M762" s="71">
        <f t="shared" si="33"/>
        <v>0</v>
      </c>
      <c r="N762" s="71" t="str">
        <f>IFERROR(VLOOKUP(M762,NCAA_Bets[[Date]:[Version]],2,0),"")</f>
        <v/>
      </c>
      <c r="O762" s="94" t="str">
        <f>COUNTIFS(NCAA_Bets[Date],M762,NCAA_Bets[Result],"W")&amp;"-"&amp;COUNTIFS(NCAA_Bets[Date],M762,NCAA_Bets[Result],"L")&amp;IF(COUNTIFS(NCAA_Bets[Date],M762,NCAA_Bets[Result],"Push")&gt;0,"-"&amp;COUNTIFS(NCAA_Bets[Date],M762,NCAA_Bets[Result],"Push"),"")</f>
        <v>0-0</v>
      </c>
      <c r="P762" s="90">
        <f>SUMIF(NCAA_Bets[Date],M762,NCAA_Bets[Winnings])-SUMIF(NCAA_Bets[Date],M762,NCAA_Bets[Risk])</f>
        <v>0</v>
      </c>
    </row>
    <row r="763" spans="2:16" x14ac:dyDescent="0.25">
      <c r="B763" s="101">
        <f t="shared" si="32"/>
        <v>33</v>
      </c>
      <c r="L763" s="71">
        <f t="shared" si="34"/>
        <v>0</v>
      </c>
      <c r="M763" s="71">
        <f t="shared" si="33"/>
        <v>0</v>
      </c>
      <c r="N763" s="71" t="str">
        <f>IFERROR(VLOOKUP(M763,NCAA_Bets[[Date]:[Version]],2,0),"")</f>
        <v/>
      </c>
      <c r="O763" s="94" t="str">
        <f>COUNTIFS(NCAA_Bets[Date],M763,NCAA_Bets[Result],"W")&amp;"-"&amp;COUNTIFS(NCAA_Bets[Date],M763,NCAA_Bets[Result],"L")&amp;IF(COUNTIFS(NCAA_Bets[Date],M763,NCAA_Bets[Result],"Push")&gt;0,"-"&amp;COUNTIFS(NCAA_Bets[Date],M763,NCAA_Bets[Result],"Push"),"")</f>
        <v>0-0</v>
      </c>
      <c r="P763" s="90">
        <f>SUMIF(NCAA_Bets[Date],M763,NCAA_Bets[Winnings])-SUMIF(NCAA_Bets[Date],M763,NCAA_Bets[Risk])</f>
        <v>0</v>
      </c>
    </row>
    <row r="764" spans="2:16" x14ac:dyDescent="0.25">
      <c r="B764" s="101">
        <f t="shared" si="32"/>
        <v>33</v>
      </c>
      <c r="L764" s="71">
        <f t="shared" si="34"/>
        <v>0</v>
      </c>
      <c r="M764" s="71">
        <f t="shared" si="33"/>
        <v>0</v>
      </c>
      <c r="N764" s="71" t="str">
        <f>IFERROR(VLOOKUP(M764,NCAA_Bets[[Date]:[Version]],2,0),"")</f>
        <v/>
      </c>
      <c r="O764" s="94" t="str">
        <f>COUNTIFS(NCAA_Bets[Date],M764,NCAA_Bets[Result],"W")&amp;"-"&amp;COUNTIFS(NCAA_Bets[Date],M764,NCAA_Bets[Result],"L")&amp;IF(COUNTIFS(NCAA_Bets[Date],M764,NCAA_Bets[Result],"Push")&gt;0,"-"&amp;COUNTIFS(NCAA_Bets[Date],M764,NCAA_Bets[Result],"Push"),"")</f>
        <v>0-0</v>
      </c>
      <c r="P764" s="90">
        <f>SUMIF(NCAA_Bets[Date],M764,NCAA_Bets[Winnings])-SUMIF(NCAA_Bets[Date],M764,NCAA_Bets[Risk])</f>
        <v>0</v>
      </c>
    </row>
    <row r="765" spans="2:16" x14ac:dyDescent="0.25">
      <c r="B765" s="101">
        <f t="shared" si="32"/>
        <v>33</v>
      </c>
      <c r="L765" s="71">
        <f t="shared" si="34"/>
        <v>0</v>
      </c>
      <c r="M765" s="71">
        <f t="shared" si="33"/>
        <v>0</v>
      </c>
      <c r="N765" s="71" t="str">
        <f>IFERROR(VLOOKUP(M765,NCAA_Bets[[Date]:[Version]],2,0),"")</f>
        <v/>
      </c>
      <c r="O765" s="94" t="str">
        <f>COUNTIFS(NCAA_Bets[Date],M765,NCAA_Bets[Result],"W")&amp;"-"&amp;COUNTIFS(NCAA_Bets[Date],M765,NCAA_Bets[Result],"L")&amp;IF(COUNTIFS(NCAA_Bets[Date],M765,NCAA_Bets[Result],"Push")&gt;0,"-"&amp;COUNTIFS(NCAA_Bets[Date],M765,NCAA_Bets[Result],"Push"),"")</f>
        <v>0-0</v>
      </c>
      <c r="P765" s="90">
        <f>SUMIF(NCAA_Bets[Date],M765,NCAA_Bets[Winnings])-SUMIF(NCAA_Bets[Date],M765,NCAA_Bets[Risk])</f>
        <v>0</v>
      </c>
    </row>
    <row r="766" spans="2:16" x14ac:dyDescent="0.25">
      <c r="B766" s="101">
        <f t="shared" si="32"/>
        <v>33</v>
      </c>
      <c r="L766" s="71">
        <f t="shared" si="34"/>
        <v>0</v>
      </c>
      <c r="M766" s="71">
        <f t="shared" si="33"/>
        <v>0</v>
      </c>
      <c r="N766" s="71" t="str">
        <f>IFERROR(VLOOKUP(M766,NCAA_Bets[[Date]:[Version]],2,0),"")</f>
        <v/>
      </c>
      <c r="O766" s="94" t="str">
        <f>COUNTIFS(NCAA_Bets[Date],M766,NCAA_Bets[Result],"W")&amp;"-"&amp;COUNTIFS(NCAA_Bets[Date],M766,NCAA_Bets[Result],"L")&amp;IF(COUNTIFS(NCAA_Bets[Date],M766,NCAA_Bets[Result],"Push")&gt;0,"-"&amp;COUNTIFS(NCAA_Bets[Date],M766,NCAA_Bets[Result],"Push"),"")</f>
        <v>0-0</v>
      </c>
      <c r="P766" s="90">
        <f>SUMIF(NCAA_Bets[Date],M766,NCAA_Bets[Winnings])-SUMIF(NCAA_Bets[Date],M766,NCAA_Bets[Risk])</f>
        <v>0</v>
      </c>
    </row>
    <row r="767" spans="2:16" x14ac:dyDescent="0.25">
      <c r="B767" s="101">
        <f t="shared" si="32"/>
        <v>33</v>
      </c>
      <c r="L767" s="71">
        <f t="shared" si="34"/>
        <v>0</v>
      </c>
      <c r="M767" s="71">
        <f t="shared" si="33"/>
        <v>0</v>
      </c>
      <c r="N767" s="71" t="str">
        <f>IFERROR(VLOOKUP(M767,NCAA_Bets[[Date]:[Version]],2,0),"")</f>
        <v/>
      </c>
      <c r="O767" s="94" t="str">
        <f>COUNTIFS(NCAA_Bets[Date],M767,NCAA_Bets[Result],"W")&amp;"-"&amp;COUNTIFS(NCAA_Bets[Date],M767,NCAA_Bets[Result],"L")&amp;IF(COUNTIFS(NCAA_Bets[Date],M767,NCAA_Bets[Result],"Push")&gt;0,"-"&amp;COUNTIFS(NCAA_Bets[Date],M767,NCAA_Bets[Result],"Push"),"")</f>
        <v>0-0</v>
      </c>
      <c r="P767" s="90">
        <f>SUMIF(NCAA_Bets[Date],M767,NCAA_Bets[Winnings])-SUMIF(NCAA_Bets[Date],M767,NCAA_Bets[Risk])</f>
        <v>0</v>
      </c>
    </row>
    <row r="768" spans="2:16" x14ac:dyDescent="0.25">
      <c r="B768" s="101">
        <f t="shared" si="32"/>
        <v>33</v>
      </c>
      <c r="L768" s="71">
        <f t="shared" si="34"/>
        <v>0</v>
      </c>
      <c r="M768" s="71">
        <f t="shared" si="33"/>
        <v>0</v>
      </c>
      <c r="N768" s="71" t="str">
        <f>IFERROR(VLOOKUP(M768,NCAA_Bets[[Date]:[Version]],2,0),"")</f>
        <v/>
      </c>
      <c r="O768" s="94" t="str">
        <f>COUNTIFS(NCAA_Bets[Date],M768,NCAA_Bets[Result],"W")&amp;"-"&amp;COUNTIFS(NCAA_Bets[Date],M768,NCAA_Bets[Result],"L")&amp;IF(COUNTIFS(NCAA_Bets[Date],M768,NCAA_Bets[Result],"Push")&gt;0,"-"&amp;COUNTIFS(NCAA_Bets[Date],M768,NCAA_Bets[Result],"Push"),"")</f>
        <v>0-0</v>
      </c>
      <c r="P768" s="90">
        <f>SUMIF(NCAA_Bets[Date],M768,NCAA_Bets[Winnings])-SUMIF(NCAA_Bets[Date],M768,NCAA_Bets[Risk])</f>
        <v>0</v>
      </c>
    </row>
    <row r="769" spans="2:16" x14ac:dyDescent="0.25">
      <c r="B769" s="101">
        <f t="shared" si="32"/>
        <v>33</v>
      </c>
      <c r="L769" s="71">
        <f t="shared" si="34"/>
        <v>0</v>
      </c>
      <c r="M769" s="71">
        <f t="shared" si="33"/>
        <v>0</v>
      </c>
      <c r="N769" s="71" t="str">
        <f>IFERROR(VLOOKUP(M769,NCAA_Bets[[Date]:[Version]],2,0),"")</f>
        <v/>
      </c>
      <c r="O769" s="94" t="str">
        <f>COUNTIFS(NCAA_Bets[Date],M769,NCAA_Bets[Result],"W")&amp;"-"&amp;COUNTIFS(NCAA_Bets[Date],M769,NCAA_Bets[Result],"L")&amp;IF(COUNTIFS(NCAA_Bets[Date],M769,NCAA_Bets[Result],"Push")&gt;0,"-"&amp;COUNTIFS(NCAA_Bets[Date],M769,NCAA_Bets[Result],"Push"),"")</f>
        <v>0-0</v>
      </c>
      <c r="P769" s="90">
        <f>SUMIF(NCAA_Bets[Date],M769,NCAA_Bets[Winnings])-SUMIF(NCAA_Bets[Date],M769,NCAA_Bets[Risk])</f>
        <v>0</v>
      </c>
    </row>
    <row r="770" spans="2:16" x14ac:dyDescent="0.25">
      <c r="B770" s="101">
        <f t="shared" si="32"/>
        <v>33</v>
      </c>
      <c r="L770" s="71">
        <f t="shared" si="34"/>
        <v>0</v>
      </c>
      <c r="M770" s="71">
        <f t="shared" si="33"/>
        <v>0</v>
      </c>
      <c r="N770" s="71" t="str">
        <f>IFERROR(VLOOKUP(M770,NCAA_Bets[[Date]:[Version]],2,0),"")</f>
        <v/>
      </c>
      <c r="O770" s="94" t="str">
        <f>COUNTIFS(NCAA_Bets[Date],M770,NCAA_Bets[Result],"W")&amp;"-"&amp;COUNTIFS(NCAA_Bets[Date],M770,NCAA_Bets[Result],"L")&amp;IF(COUNTIFS(NCAA_Bets[Date],M770,NCAA_Bets[Result],"Push")&gt;0,"-"&amp;COUNTIFS(NCAA_Bets[Date],M770,NCAA_Bets[Result],"Push"),"")</f>
        <v>0-0</v>
      </c>
      <c r="P770" s="90">
        <f>SUMIF(NCAA_Bets[Date],M770,NCAA_Bets[Winnings])-SUMIF(NCAA_Bets[Date],M770,NCAA_Bets[Risk])</f>
        <v>0</v>
      </c>
    </row>
    <row r="771" spans="2:16" x14ac:dyDescent="0.25">
      <c r="B771" s="101">
        <f t="shared" si="32"/>
        <v>33</v>
      </c>
      <c r="L771" s="71">
        <f t="shared" si="34"/>
        <v>0</v>
      </c>
      <c r="M771" s="71">
        <f t="shared" si="33"/>
        <v>0</v>
      </c>
      <c r="N771" s="71" t="str">
        <f>IFERROR(VLOOKUP(M771,NCAA_Bets[[Date]:[Version]],2,0),"")</f>
        <v/>
      </c>
      <c r="O771" s="94" t="str">
        <f>COUNTIFS(NCAA_Bets[Date],M771,NCAA_Bets[Result],"W")&amp;"-"&amp;COUNTIFS(NCAA_Bets[Date],M771,NCAA_Bets[Result],"L")&amp;IF(COUNTIFS(NCAA_Bets[Date],M771,NCAA_Bets[Result],"Push")&gt;0,"-"&amp;COUNTIFS(NCAA_Bets[Date],M771,NCAA_Bets[Result],"Push"),"")</f>
        <v>0-0</v>
      </c>
      <c r="P771" s="90">
        <f>SUMIF(NCAA_Bets[Date],M771,NCAA_Bets[Winnings])-SUMIF(NCAA_Bets[Date],M771,NCAA_Bets[Risk])</f>
        <v>0</v>
      </c>
    </row>
    <row r="772" spans="2:16" x14ac:dyDescent="0.25">
      <c r="B772" s="101">
        <f t="shared" si="32"/>
        <v>33</v>
      </c>
      <c r="L772" s="71">
        <f t="shared" si="34"/>
        <v>0</v>
      </c>
      <c r="M772" s="71">
        <f t="shared" si="33"/>
        <v>0</v>
      </c>
      <c r="N772" s="71" t="str">
        <f>IFERROR(VLOOKUP(M772,NCAA_Bets[[Date]:[Version]],2,0),"")</f>
        <v/>
      </c>
      <c r="O772" s="94" t="str">
        <f>COUNTIFS(NCAA_Bets[Date],M772,NCAA_Bets[Result],"W")&amp;"-"&amp;COUNTIFS(NCAA_Bets[Date],M772,NCAA_Bets[Result],"L")&amp;IF(COUNTIFS(NCAA_Bets[Date],M772,NCAA_Bets[Result],"Push")&gt;0,"-"&amp;COUNTIFS(NCAA_Bets[Date],M772,NCAA_Bets[Result],"Push"),"")</f>
        <v>0-0</v>
      </c>
      <c r="P772" s="90">
        <f>SUMIF(NCAA_Bets[Date],M772,NCAA_Bets[Winnings])-SUMIF(NCAA_Bets[Date],M772,NCAA_Bets[Risk])</f>
        <v>0</v>
      </c>
    </row>
    <row r="773" spans="2:16" x14ac:dyDescent="0.25">
      <c r="B773" s="101">
        <f t="shared" si="32"/>
        <v>33</v>
      </c>
      <c r="L773" s="71">
        <f t="shared" si="34"/>
        <v>0</v>
      </c>
      <c r="M773" s="71">
        <f t="shared" si="33"/>
        <v>0</v>
      </c>
      <c r="N773" s="71" t="str">
        <f>IFERROR(VLOOKUP(M773,NCAA_Bets[[Date]:[Version]],2,0),"")</f>
        <v/>
      </c>
      <c r="O773" s="94" t="str">
        <f>COUNTIFS(NCAA_Bets[Date],M773,NCAA_Bets[Result],"W")&amp;"-"&amp;COUNTIFS(NCAA_Bets[Date],M773,NCAA_Bets[Result],"L")&amp;IF(COUNTIFS(NCAA_Bets[Date],M773,NCAA_Bets[Result],"Push")&gt;0,"-"&amp;COUNTIFS(NCAA_Bets[Date],M773,NCAA_Bets[Result],"Push"),"")</f>
        <v>0-0</v>
      </c>
      <c r="P773" s="90">
        <f>SUMIF(NCAA_Bets[Date],M773,NCAA_Bets[Winnings])-SUMIF(NCAA_Bets[Date],M773,NCAA_Bets[Risk])</f>
        <v>0</v>
      </c>
    </row>
    <row r="774" spans="2:16" x14ac:dyDescent="0.25">
      <c r="B774" s="101">
        <f t="shared" ref="B774:B837" si="35">IF(C774=C773,B773,B773+1)</f>
        <v>33</v>
      </c>
      <c r="L774" s="71">
        <f t="shared" si="34"/>
        <v>0</v>
      </c>
      <c r="M774" s="71">
        <f t="shared" si="33"/>
        <v>0</v>
      </c>
      <c r="N774" s="71" t="str">
        <f>IFERROR(VLOOKUP(M774,NCAA_Bets[[Date]:[Version]],2,0),"")</f>
        <v/>
      </c>
      <c r="O774" s="94" t="str">
        <f>COUNTIFS(NCAA_Bets[Date],M774,NCAA_Bets[Result],"W")&amp;"-"&amp;COUNTIFS(NCAA_Bets[Date],M774,NCAA_Bets[Result],"L")&amp;IF(COUNTIFS(NCAA_Bets[Date],M774,NCAA_Bets[Result],"Push")&gt;0,"-"&amp;COUNTIFS(NCAA_Bets[Date],M774,NCAA_Bets[Result],"Push"),"")</f>
        <v>0-0</v>
      </c>
      <c r="P774" s="90">
        <f>SUMIF(NCAA_Bets[Date],M774,NCAA_Bets[Winnings])-SUMIF(NCAA_Bets[Date],M774,NCAA_Bets[Risk])</f>
        <v>0</v>
      </c>
    </row>
    <row r="775" spans="2:16" x14ac:dyDescent="0.25">
      <c r="B775" s="101">
        <f t="shared" si="35"/>
        <v>33</v>
      </c>
      <c r="L775" s="71">
        <f t="shared" si="34"/>
        <v>0</v>
      </c>
      <c r="M775" s="71">
        <f t="shared" si="33"/>
        <v>0</v>
      </c>
      <c r="N775" s="71" t="str">
        <f>IFERROR(VLOOKUP(M775,NCAA_Bets[[Date]:[Version]],2,0),"")</f>
        <v/>
      </c>
      <c r="O775" s="94" t="str">
        <f>COUNTIFS(NCAA_Bets[Date],M775,NCAA_Bets[Result],"W")&amp;"-"&amp;COUNTIFS(NCAA_Bets[Date],M775,NCAA_Bets[Result],"L")&amp;IF(COUNTIFS(NCAA_Bets[Date],M775,NCAA_Bets[Result],"Push")&gt;0,"-"&amp;COUNTIFS(NCAA_Bets[Date],M775,NCAA_Bets[Result],"Push"),"")</f>
        <v>0-0</v>
      </c>
      <c r="P775" s="90">
        <f>SUMIF(NCAA_Bets[Date],M775,NCAA_Bets[Winnings])-SUMIF(NCAA_Bets[Date],M775,NCAA_Bets[Risk])</f>
        <v>0</v>
      </c>
    </row>
    <row r="776" spans="2:16" x14ac:dyDescent="0.25">
      <c r="B776" s="101">
        <f t="shared" si="35"/>
        <v>33</v>
      </c>
      <c r="L776" s="71">
        <f t="shared" si="34"/>
        <v>0</v>
      </c>
      <c r="M776" s="71">
        <f t="shared" si="33"/>
        <v>0</v>
      </c>
      <c r="N776" s="71" t="str">
        <f>IFERROR(VLOOKUP(M776,NCAA_Bets[[Date]:[Version]],2,0),"")</f>
        <v/>
      </c>
      <c r="O776" s="94" t="str">
        <f>COUNTIFS(NCAA_Bets[Date],M776,NCAA_Bets[Result],"W")&amp;"-"&amp;COUNTIFS(NCAA_Bets[Date],M776,NCAA_Bets[Result],"L")&amp;IF(COUNTIFS(NCAA_Bets[Date],M776,NCAA_Bets[Result],"Push")&gt;0,"-"&amp;COUNTIFS(NCAA_Bets[Date],M776,NCAA_Bets[Result],"Push"),"")</f>
        <v>0-0</v>
      </c>
      <c r="P776" s="90">
        <f>SUMIF(NCAA_Bets[Date],M776,NCAA_Bets[Winnings])-SUMIF(NCAA_Bets[Date],M776,NCAA_Bets[Risk])</f>
        <v>0</v>
      </c>
    </row>
    <row r="777" spans="2:16" x14ac:dyDescent="0.25">
      <c r="B777" s="101">
        <f t="shared" si="35"/>
        <v>33</v>
      </c>
      <c r="L777" s="71">
        <f t="shared" si="34"/>
        <v>0</v>
      </c>
      <c r="M777" s="71">
        <f t="shared" si="33"/>
        <v>0</v>
      </c>
      <c r="N777" s="71" t="str">
        <f>IFERROR(VLOOKUP(M777,NCAA_Bets[[Date]:[Version]],2,0),"")</f>
        <v/>
      </c>
      <c r="O777" s="94" t="str">
        <f>COUNTIFS(NCAA_Bets[Date],M777,NCAA_Bets[Result],"W")&amp;"-"&amp;COUNTIFS(NCAA_Bets[Date],M777,NCAA_Bets[Result],"L")&amp;IF(COUNTIFS(NCAA_Bets[Date],M777,NCAA_Bets[Result],"Push")&gt;0,"-"&amp;COUNTIFS(NCAA_Bets[Date],M777,NCAA_Bets[Result],"Push"),"")</f>
        <v>0-0</v>
      </c>
      <c r="P777" s="90">
        <f>SUMIF(NCAA_Bets[Date],M777,NCAA_Bets[Winnings])-SUMIF(NCAA_Bets[Date],M777,NCAA_Bets[Risk])</f>
        <v>0</v>
      </c>
    </row>
    <row r="778" spans="2:16" x14ac:dyDescent="0.25">
      <c r="B778" s="101">
        <f t="shared" si="35"/>
        <v>33</v>
      </c>
      <c r="L778" s="71">
        <f t="shared" si="34"/>
        <v>0</v>
      </c>
      <c r="M778" s="71">
        <f t="shared" si="33"/>
        <v>0</v>
      </c>
      <c r="N778" s="71" t="str">
        <f>IFERROR(VLOOKUP(M778,NCAA_Bets[[Date]:[Version]],2,0),"")</f>
        <v/>
      </c>
      <c r="O778" s="94" t="str">
        <f>COUNTIFS(NCAA_Bets[Date],M778,NCAA_Bets[Result],"W")&amp;"-"&amp;COUNTIFS(NCAA_Bets[Date],M778,NCAA_Bets[Result],"L")&amp;IF(COUNTIFS(NCAA_Bets[Date],M778,NCAA_Bets[Result],"Push")&gt;0,"-"&amp;COUNTIFS(NCAA_Bets[Date],M778,NCAA_Bets[Result],"Push"),"")</f>
        <v>0-0</v>
      </c>
      <c r="P778" s="90">
        <f>SUMIF(NCAA_Bets[Date],M778,NCAA_Bets[Winnings])-SUMIF(NCAA_Bets[Date],M778,NCAA_Bets[Risk])</f>
        <v>0</v>
      </c>
    </row>
    <row r="779" spans="2:16" x14ac:dyDescent="0.25">
      <c r="B779" s="101">
        <f t="shared" si="35"/>
        <v>33</v>
      </c>
      <c r="L779" s="71">
        <f t="shared" si="34"/>
        <v>0</v>
      </c>
      <c r="M779" s="71">
        <f t="shared" si="33"/>
        <v>0</v>
      </c>
      <c r="N779" s="71" t="str">
        <f>IFERROR(VLOOKUP(M779,NCAA_Bets[[Date]:[Version]],2,0),"")</f>
        <v/>
      </c>
      <c r="O779" s="94" t="str">
        <f>COUNTIFS(NCAA_Bets[Date],M779,NCAA_Bets[Result],"W")&amp;"-"&amp;COUNTIFS(NCAA_Bets[Date],M779,NCAA_Bets[Result],"L")&amp;IF(COUNTIFS(NCAA_Bets[Date],M779,NCAA_Bets[Result],"Push")&gt;0,"-"&amp;COUNTIFS(NCAA_Bets[Date],M779,NCAA_Bets[Result],"Push"),"")</f>
        <v>0-0</v>
      </c>
      <c r="P779" s="90">
        <f>SUMIF(NCAA_Bets[Date],M779,NCAA_Bets[Winnings])-SUMIF(NCAA_Bets[Date],M779,NCAA_Bets[Risk])</f>
        <v>0</v>
      </c>
    </row>
    <row r="780" spans="2:16" x14ac:dyDescent="0.25">
      <c r="B780" s="101">
        <f t="shared" si="35"/>
        <v>33</v>
      </c>
      <c r="L780" s="71">
        <f t="shared" si="34"/>
        <v>0</v>
      </c>
      <c r="M780" s="71">
        <f t="shared" si="33"/>
        <v>0</v>
      </c>
      <c r="N780" s="71" t="str">
        <f>IFERROR(VLOOKUP(M780,NCAA_Bets[[Date]:[Version]],2,0),"")</f>
        <v/>
      </c>
      <c r="O780" s="94" t="str">
        <f>COUNTIFS(NCAA_Bets[Date],M780,NCAA_Bets[Result],"W")&amp;"-"&amp;COUNTIFS(NCAA_Bets[Date],M780,NCAA_Bets[Result],"L")&amp;IF(COUNTIFS(NCAA_Bets[Date],M780,NCAA_Bets[Result],"Push")&gt;0,"-"&amp;COUNTIFS(NCAA_Bets[Date],M780,NCAA_Bets[Result],"Push"),"")</f>
        <v>0-0</v>
      </c>
      <c r="P780" s="90">
        <f>SUMIF(NCAA_Bets[Date],M780,NCAA_Bets[Winnings])-SUMIF(NCAA_Bets[Date],M780,NCAA_Bets[Risk])</f>
        <v>0</v>
      </c>
    </row>
    <row r="781" spans="2:16" x14ac:dyDescent="0.25">
      <c r="B781" s="101">
        <f t="shared" si="35"/>
        <v>33</v>
      </c>
      <c r="L781" s="71">
        <f t="shared" si="34"/>
        <v>0</v>
      </c>
      <c r="M781" s="71">
        <f t="shared" si="33"/>
        <v>0</v>
      </c>
      <c r="N781" s="71" t="str">
        <f>IFERROR(VLOOKUP(M781,NCAA_Bets[[Date]:[Version]],2,0),"")</f>
        <v/>
      </c>
      <c r="O781" s="94" t="str">
        <f>COUNTIFS(NCAA_Bets[Date],M781,NCAA_Bets[Result],"W")&amp;"-"&amp;COUNTIFS(NCAA_Bets[Date],M781,NCAA_Bets[Result],"L")&amp;IF(COUNTIFS(NCAA_Bets[Date],M781,NCAA_Bets[Result],"Push")&gt;0,"-"&amp;COUNTIFS(NCAA_Bets[Date],M781,NCAA_Bets[Result],"Push"),"")</f>
        <v>0-0</v>
      </c>
      <c r="P781" s="90">
        <f>SUMIF(NCAA_Bets[Date],M781,NCAA_Bets[Winnings])-SUMIF(NCAA_Bets[Date],M781,NCAA_Bets[Risk])</f>
        <v>0</v>
      </c>
    </row>
    <row r="782" spans="2:16" x14ac:dyDescent="0.25">
      <c r="B782" s="101">
        <f t="shared" si="35"/>
        <v>33</v>
      </c>
      <c r="L782" s="71">
        <f t="shared" si="34"/>
        <v>0</v>
      </c>
      <c r="M782" s="71">
        <f t="shared" si="33"/>
        <v>0</v>
      </c>
      <c r="N782" s="71" t="str">
        <f>IFERROR(VLOOKUP(M782,NCAA_Bets[[Date]:[Version]],2,0),"")</f>
        <v/>
      </c>
      <c r="O782" s="94" t="str">
        <f>COUNTIFS(NCAA_Bets[Date],M782,NCAA_Bets[Result],"W")&amp;"-"&amp;COUNTIFS(NCAA_Bets[Date],M782,NCAA_Bets[Result],"L")&amp;IF(COUNTIFS(NCAA_Bets[Date],M782,NCAA_Bets[Result],"Push")&gt;0,"-"&amp;COUNTIFS(NCAA_Bets[Date],M782,NCAA_Bets[Result],"Push"),"")</f>
        <v>0-0</v>
      </c>
      <c r="P782" s="90">
        <f>SUMIF(NCAA_Bets[Date],M782,NCAA_Bets[Winnings])-SUMIF(NCAA_Bets[Date],M782,NCAA_Bets[Risk])</f>
        <v>0</v>
      </c>
    </row>
    <row r="783" spans="2:16" x14ac:dyDescent="0.25">
      <c r="B783" s="101">
        <f t="shared" si="35"/>
        <v>33</v>
      </c>
      <c r="L783" s="71">
        <f t="shared" si="34"/>
        <v>0</v>
      </c>
      <c r="M783" s="71">
        <f t="shared" si="33"/>
        <v>0</v>
      </c>
      <c r="N783" s="71" t="str">
        <f>IFERROR(VLOOKUP(M783,NCAA_Bets[[Date]:[Version]],2,0),"")</f>
        <v/>
      </c>
      <c r="O783" s="94" t="str">
        <f>COUNTIFS(NCAA_Bets[Date],M783,NCAA_Bets[Result],"W")&amp;"-"&amp;COUNTIFS(NCAA_Bets[Date],M783,NCAA_Bets[Result],"L")&amp;IF(COUNTIFS(NCAA_Bets[Date],M783,NCAA_Bets[Result],"Push")&gt;0,"-"&amp;COUNTIFS(NCAA_Bets[Date],M783,NCAA_Bets[Result],"Push"),"")</f>
        <v>0-0</v>
      </c>
      <c r="P783" s="90">
        <f>SUMIF(NCAA_Bets[Date],M783,NCAA_Bets[Winnings])-SUMIF(NCAA_Bets[Date],M783,NCAA_Bets[Risk])</f>
        <v>0</v>
      </c>
    </row>
    <row r="784" spans="2:16" x14ac:dyDescent="0.25">
      <c r="B784" s="101">
        <f t="shared" si="35"/>
        <v>33</v>
      </c>
      <c r="L784" s="71">
        <f t="shared" si="34"/>
        <v>0</v>
      </c>
      <c r="M784" s="71">
        <f t="shared" si="33"/>
        <v>0</v>
      </c>
      <c r="N784" s="71" t="str">
        <f>IFERROR(VLOOKUP(M784,NCAA_Bets[[Date]:[Version]],2,0),"")</f>
        <v/>
      </c>
      <c r="O784" s="94" t="str">
        <f>COUNTIFS(NCAA_Bets[Date],M784,NCAA_Bets[Result],"W")&amp;"-"&amp;COUNTIFS(NCAA_Bets[Date],M784,NCAA_Bets[Result],"L")&amp;IF(COUNTIFS(NCAA_Bets[Date],M784,NCAA_Bets[Result],"Push")&gt;0,"-"&amp;COUNTIFS(NCAA_Bets[Date],M784,NCAA_Bets[Result],"Push"),"")</f>
        <v>0-0</v>
      </c>
      <c r="P784" s="90">
        <f>SUMIF(NCAA_Bets[Date],M784,NCAA_Bets[Winnings])-SUMIF(NCAA_Bets[Date],M784,NCAA_Bets[Risk])</f>
        <v>0</v>
      </c>
    </row>
    <row r="785" spans="2:16" x14ac:dyDescent="0.25">
      <c r="B785" s="101">
        <f t="shared" si="35"/>
        <v>33</v>
      </c>
      <c r="L785" s="71">
        <f t="shared" si="34"/>
        <v>0</v>
      </c>
      <c r="M785" s="71">
        <f t="shared" si="33"/>
        <v>0</v>
      </c>
      <c r="N785" s="71" t="str">
        <f>IFERROR(VLOOKUP(M785,NCAA_Bets[[Date]:[Version]],2,0),"")</f>
        <v/>
      </c>
      <c r="O785" s="94" t="str">
        <f>COUNTIFS(NCAA_Bets[Date],M785,NCAA_Bets[Result],"W")&amp;"-"&amp;COUNTIFS(NCAA_Bets[Date],M785,NCAA_Bets[Result],"L")&amp;IF(COUNTIFS(NCAA_Bets[Date],M785,NCAA_Bets[Result],"Push")&gt;0,"-"&amp;COUNTIFS(NCAA_Bets[Date],M785,NCAA_Bets[Result],"Push"),"")</f>
        <v>0-0</v>
      </c>
      <c r="P785" s="90">
        <f>SUMIF(NCAA_Bets[Date],M785,NCAA_Bets[Winnings])-SUMIF(NCAA_Bets[Date],M785,NCAA_Bets[Risk])</f>
        <v>0</v>
      </c>
    </row>
    <row r="786" spans="2:16" x14ac:dyDescent="0.25">
      <c r="B786" s="101">
        <f t="shared" si="35"/>
        <v>33</v>
      </c>
      <c r="L786" s="71">
        <f t="shared" si="34"/>
        <v>0</v>
      </c>
      <c r="M786" s="71">
        <f t="shared" si="33"/>
        <v>0</v>
      </c>
      <c r="N786" s="71" t="str">
        <f>IFERROR(VLOOKUP(M786,NCAA_Bets[[Date]:[Version]],2,0),"")</f>
        <v/>
      </c>
      <c r="O786" s="94" t="str">
        <f>COUNTIFS(NCAA_Bets[Date],M786,NCAA_Bets[Result],"W")&amp;"-"&amp;COUNTIFS(NCAA_Bets[Date],M786,NCAA_Bets[Result],"L")&amp;IF(COUNTIFS(NCAA_Bets[Date],M786,NCAA_Bets[Result],"Push")&gt;0,"-"&amp;COUNTIFS(NCAA_Bets[Date],M786,NCAA_Bets[Result],"Push"),"")</f>
        <v>0-0</v>
      </c>
      <c r="P786" s="90">
        <f>SUMIF(NCAA_Bets[Date],M786,NCAA_Bets[Winnings])-SUMIF(NCAA_Bets[Date],M786,NCAA_Bets[Risk])</f>
        <v>0</v>
      </c>
    </row>
    <row r="787" spans="2:16" x14ac:dyDescent="0.25">
      <c r="B787" s="101">
        <f t="shared" si="35"/>
        <v>33</v>
      </c>
      <c r="L787" s="71">
        <f t="shared" si="34"/>
        <v>0</v>
      </c>
      <c r="M787" s="71">
        <f t="shared" si="33"/>
        <v>0</v>
      </c>
      <c r="N787" s="71" t="str">
        <f>IFERROR(VLOOKUP(M787,NCAA_Bets[[Date]:[Version]],2,0),"")</f>
        <v/>
      </c>
      <c r="O787" s="94" t="str">
        <f>COUNTIFS(NCAA_Bets[Date],M787,NCAA_Bets[Result],"W")&amp;"-"&amp;COUNTIFS(NCAA_Bets[Date],M787,NCAA_Bets[Result],"L")&amp;IF(COUNTIFS(NCAA_Bets[Date],M787,NCAA_Bets[Result],"Push")&gt;0,"-"&amp;COUNTIFS(NCAA_Bets[Date],M787,NCAA_Bets[Result],"Push"),"")</f>
        <v>0-0</v>
      </c>
      <c r="P787" s="90">
        <f>SUMIF(NCAA_Bets[Date],M787,NCAA_Bets[Winnings])-SUMIF(NCAA_Bets[Date],M787,NCAA_Bets[Risk])</f>
        <v>0</v>
      </c>
    </row>
    <row r="788" spans="2:16" x14ac:dyDescent="0.25">
      <c r="B788" s="101">
        <f t="shared" si="35"/>
        <v>33</v>
      </c>
      <c r="L788" s="71">
        <f t="shared" si="34"/>
        <v>0</v>
      </c>
      <c r="M788" s="71">
        <f t="shared" si="33"/>
        <v>0</v>
      </c>
      <c r="N788" s="71" t="str">
        <f>IFERROR(VLOOKUP(M788,NCAA_Bets[[Date]:[Version]],2,0),"")</f>
        <v/>
      </c>
      <c r="O788" s="94" t="str">
        <f>COUNTIFS(NCAA_Bets[Date],M788,NCAA_Bets[Result],"W")&amp;"-"&amp;COUNTIFS(NCAA_Bets[Date],M788,NCAA_Bets[Result],"L")&amp;IF(COUNTIFS(NCAA_Bets[Date],M788,NCAA_Bets[Result],"Push")&gt;0,"-"&amp;COUNTIFS(NCAA_Bets[Date],M788,NCAA_Bets[Result],"Push"),"")</f>
        <v>0-0</v>
      </c>
      <c r="P788" s="90">
        <f>SUMIF(NCAA_Bets[Date],M788,NCAA_Bets[Winnings])-SUMIF(NCAA_Bets[Date],M788,NCAA_Bets[Risk])</f>
        <v>0</v>
      </c>
    </row>
    <row r="789" spans="2:16" x14ac:dyDescent="0.25">
      <c r="B789" s="101">
        <f t="shared" si="35"/>
        <v>33</v>
      </c>
      <c r="L789" s="71">
        <f t="shared" si="34"/>
        <v>0</v>
      </c>
      <c r="M789" s="71">
        <f t="shared" si="33"/>
        <v>0</v>
      </c>
      <c r="N789" s="71" t="str">
        <f>IFERROR(VLOOKUP(M789,NCAA_Bets[[Date]:[Version]],2,0),"")</f>
        <v/>
      </c>
      <c r="O789" s="94" t="str">
        <f>COUNTIFS(NCAA_Bets[Date],M789,NCAA_Bets[Result],"W")&amp;"-"&amp;COUNTIFS(NCAA_Bets[Date],M789,NCAA_Bets[Result],"L")&amp;IF(COUNTIFS(NCAA_Bets[Date],M789,NCAA_Bets[Result],"Push")&gt;0,"-"&amp;COUNTIFS(NCAA_Bets[Date],M789,NCAA_Bets[Result],"Push"),"")</f>
        <v>0-0</v>
      </c>
      <c r="P789" s="90">
        <f>SUMIF(NCAA_Bets[Date],M789,NCAA_Bets[Winnings])-SUMIF(NCAA_Bets[Date],M789,NCAA_Bets[Risk])</f>
        <v>0</v>
      </c>
    </row>
    <row r="790" spans="2:16" x14ac:dyDescent="0.25">
      <c r="B790" s="101">
        <f t="shared" si="35"/>
        <v>33</v>
      </c>
      <c r="L790" s="71">
        <f t="shared" si="34"/>
        <v>0</v>
      </c>
      <c r="M790" s="71">
        <f t="shared" si="33"/>
        <v>0</v>
      </c>
      <c r="N790" s="71" t="str">
        <f>IFERROR(VLOOKUP(M790,NCAA_Bets[[Date]:[Version]],2,0),"")</f>
        <v/>
      </c>
      <c r="O790" s="94" t="str">
        <f>COUNTIFS(NCAA_Bets[Date],M790,NCAA_Bets[Result],"W")&amp;"-"&amp;COUNTIFS(NCAA_Bets[Date],M790,NCAA_Bets[Result],"L")&amp;IF(COUNTIFS(NCAA_Bets[Date],M790,NCAA_Bets[Result],"Push")&gt;0,"-"&amp;COUNTIFS(NCAA_Bets[Date],M790,NCAA_Bets[Result],"Push"),"")</f>
        <v>0-0</v>
      </c>
      <c r="P790" s="90">
        <f>SUMIF(NCAA_Bets[Date],M790,NCAA_Bets[Winnings])-SUMIF(NCAA_Bets[Date],M790,NCAA_Bets[Risk])</f>
        <v>0</v>
      </c>
    </row>
    <row r="791" spans="2:16" x14ac:dyDescent="0.25">
      <c r="B791" s="101">
        <f t="shared" si="35"/>
        <v>33</v>
      </c>
      <c r="L791" s="71">
        <f t="shared" si="34"/>
        <v>0</v>
      </c>
      <c r="M791" s="71">
        <f t="shared" si="33"/>
        <v>0</v>
      </c>
      <c r="N791" s="71" t="str">
        <f>IFERROR(VLOOKUP(M791,NCAA_Bets[[Date]:[Version]],2,0),"")</f>
        <v/>
      </c>
      <c r="O791" s="94" t="str">
        <f>COUNTIFS(NCAA_Bets[Date],M791,NCAA_Bets[Result],"W")&amp;"-"&amp;COUNTIFS(NCAA_Bets[Date],M791,NCAA_Bets[Result],"L")&amp;IF(COUNTIFS(NCAA_Bets[Date],M791,NCAA_Bets[Result],"Push")&gt;0,"-"&amp;COUNTIFS(NCAA_Bets[Date],M791,NCAA_Bets[Result],"Push"),"")</f>
        <v>0-0</v>
      </c>
      <c r="P791" s="90">
        <f>SUMIF(NCAA_Bets[Date],M791,NCAA_Bets[Winnings])-SUMIF(NCAA_Bets[Date],M791,NCAA_Bets[Risk])</f>
        <v>0</v>
      </c>
    </row>
    <row r="792" spans="2:16" x14ac:dyDescent="0.25">
      <c r="B792" s="101">
        <f t="shared" si="35"/>
        <v>33</v>
      </c>
      <c r="L792" s="71">
        <f t="shared" si="34"/>
        <v>0</v>
      </c>
      <c r="M792" s="71">
        <f t="shared" si="33"/>
        <v>0</v>
      </c>
      <c r="N792" s="71" t="str">
        <f>IFERROR(VLOOKUP(M792,NCAA_Bets[[Date]:[Version]],2,0),"")</f>
        <v/>
      </c>
      <c r="O792" s="94" t="str">
        <f>COUNTIFS(NCAA_Bets[Date],M792,NCAA_Bets[Result],"W")&amp;"-"&amp;COUNTIFS(NCAA_Bets[Date],M792,NCAA_Bets[Result],"L")&amp;IF(COUNTIFS(NCAA_Bets[Date],M792,NCAA_Bets[Result],"Push")&gt;0,"-"&amp;COUNTIFS(NCAA_Bets[Date],M792,NCAA_Bets[Result],"Push"),"")</f>
        <v>0-0</v>
      </c>
      <c r="P792" s="90">
        <f>SUMIF(NCAA_Bets[Date],M792,NCAA_Bets[Winnings])-SUMIF(NCAA_Bets[Date],M792,NCAA_Bets[Risk])</f>
        <v>0</v>
      </c>
    </row>
    <row r="793" spans="2:16" x14ac:dyDescent="0.25">
      <c r="B793" s="101">
        <f t="shared" si="35"/>
        <v>33</v>
      </c>
      <c r="L793" s="71">
        <f t="shared" si="34"/>
        <v>0</v>
      </c>
      <c r="M793" s="71">
        <f t="shared" si="33"/>
        <v>0</v>
      </c>
      <c r="N793" s="71" t="str">
        <f>IFERROR(VLOOKUP(M793,NCAA_Bets[[Date]:[Version]],2,0),"")</f>
        <v/>
      </c>
      <c r="O793" s="94" t="str">
        <f>COUNTIFS(NCAA_Bets[Date],M793,NCAA_Bets[Result],"W")&amp;"-"&amp;COUNTIFS(NCAA_Bets[Date],M793,NCAA_Bets[Result],"L")&amp;IF(COUNTIFS(NCAA_Bets[Date],M793,NCAA_Bets[Result],"Push")&gt;0,"-"&amp;COUNTIFS(NCAA_Bets[Date],M793,NCAA_Bets[Result],"Push"),"")</f>
        <v>0-0</v>
      </c>
      <c r="P793" s="90">
        <f>SUMIF(NCAA_Bets[Date],M793,NCAA_Bets[Winnings])-SUMIF(NCAA_Bets[Date],M793,NCAA_Bets[Risk])</f>
        <v>0</v>
      </c>
    </row>
    <row r="794" spans="2:16" x14ac:dyDescent="0.25">
      <c r="B794" s="101">
        <f t="shared" si="35"/>
        <v>33</v>
      </c>
      <c r="L794" s="71">
        <f t="shared" si="34"/>
        <v>0</v>
      </c>
      <c r="M794" s="71">
        <f t="shared" ref="M794:M857" si="36">IFERROR(VLOOKUP(ROW()-4,B:C,2,0),0)</f>
        <v>0</v>
      </c>
      <c r="N794" s="71" t="str">
        <f>IFERROR(VLOOKUP(M794,NCAA_Bets[[Date]:[Version]],2,0),"")</f>
        <v/>
      </c>
      <c r="O794" s="94" t="str">
        <f>COUNTIFS(NCAA_Bets[Date],M794,NCAA_Bets[Result],"W")&amp;"-"&amp;COUNTIFS(NCAA_Bets[Date],M794,NCAA_Bets[Result],"L")&amp;IF(COUNTIFS(NCAA_Bets[Date],M794,NCAA_Bets[Result],"Push")&gt;0,"-"&amp;COUNTIFS(NCAA_Bets[Date],M794,NCAA_Bets[Result],"Push"),"")</f>
        <v>0-0</v>
      </c>
      <c r="P794" s="90">
        <f>SUMIF(NCAA_Bets[Date],M794,NCAA_Bets[Winnings])-SUMIF(NCAA_Bets[Date],M794,NCAA_Bets[Risk])</f>
        <v>0</v>
      </c>
    </row>
    <row r="795" spans="2:16" x14ac:dyDescent="0.25">
      <c r="B795" s="101">
        <f t="shared" si="35"/>
        <v>33</v>
      </c>
      <c r="L795" s="71">
        <f t="shared" si="34"/>
        <v>0</v>
      </c>
      <c r="M795" s="71">
        <f t="shared" si="36"/>
        <v>0</v>
      </c>
      <c r="N795" s="71" t="str">
        <f>IFERROR(VLOOKUP(M795,NCAA_Bets[[Date]:[Version]],2,0),"")</f>
        <v/>
      </c>
      <c r="O795" s="94" t="str">
        <f>COUNTIFS(NCAA_Bets[Date],M795,NCAA_Bets[Result],"W")&amp;"-"&amp;COUNTIFS(NCAA_Bets[Date],M795,NCAA_Bets[Result],"L")&amp;IF(COUNTIFS(NCAA_Bets[Date],M795,NCAA_Bets[Result],"Push")&gt;0,"-"&amp;COUNTIFS(NCAA_Bets[Date],M795,NCAA_Bets[Result],"Push"),"")</f>
        <v>0-0</v>
      </c>
      <c r="P795" s="90">
        <f>SUMIF(NCAA_Bets[Date],M795,NCAA_Bets[Winnings])-SUMIF(NCAA_Bets[Date],M795,NCAA_Bets[Risk])</f>
        <v>0</v>
      </c>
    </row>
    <row r="796" spans="2:16" x14ac:dyDescent="0.25">
      <c r="B796" s="101">
        <f t="shared" si="35"/>
        <v>33</v>
      </c>
      <c r="L796" s="71">
        <f t="shared" si="34"/>
        <v>0</v>
      </c>
      <c r="M796" s="71">
        <f t="shared" si="36"/>
        <v>0</v>
      </c>
      <c r="N796" s="71" t="str">
        <f>IFERROR(VLOOKUP(M796,NCAA_Bets[[Date]:[Version]],2,0),"")</f>
        <v/>
      </c>
      <c r="O796" s="94" t="str">
        <f>COUNTIFS(NCAA_Bets[Date],M796,NCAA_Bets[Result],"W")&amp;"-"&amp;COUNTIFS(NCAA_Bets[Date],M796,NCAA_Bets[Result],"L")&amp;IF(COUNTIFS(NCAA_Bets[Date],M796,NCAA_Bets[Result],"Push")&gt;0,"-"&amp;COUNTIFS(NCAA_Bets[Date],M796,NCAA_Bets[Result],"Push"),"")</f>
        <v>0-0</v>
      </c>
      <c r="P796" s="90">
        <f>SUMIF(NCAA_Bets[Date],M796,NCAA_Bets[Winnings])-SUMIF(NCAA_Bets[Date],M796,NCAA_Bets[Risk])</f>
        <v>0</v>
      </c>
    </row>
    <row r="797" spans="2:16" x14ac:dyDescent="0.25">
      <c r="B797" s="101">
        <f t="shared" si="35"/>
        <v>33</v>
      </c>
      <c r="L797" s="71">
        <f t="shared" si="34"/>
        <v>0</v>
      </c>
      <c r="M797" s="71">
        <f t="shared" si="36"/>
        <v>0</v>
      </c>
      <c r="N797" s="71" t="str">
        <f>IFERROR(VLOOKUP(M797,NCAA_Bets[[Date]:[Version]],2,0),"")</f>
        <v/>
      </c>
      <c r="O797" s="94" t="str">
        <f>COUNTIFS(NCAA_Bets[Date],M797,NCAA_Bets[Result],"W")&amp;"-"&amp;COUNTIFS(NCAA_Bets[Date],M797,NCAA_Bets[Result],"L")&amp;IF(COUNTIFS(NCAA_Bets[Date],M797,NCAA_Bets[Result],"Push")&gt;0,"-"&amp;COUNTIFS(NCAA_Bets[Date],M797,NCAA_Bets[Result],"Push"),"")</f>
        <v>0-0</v>
      </c>
      <c r="P797" s="90">
        <f>SUMIF(NCAA_Bets[Date],M797,NCAA_Bets[Winnings])-SUMIF(NCAA_Bets[Date],M797,NCAA_Bets[Risk])</f>
        <v>0</v>
      </c>
    </row>
    <row r="798" spans="2:16" x14ac:dyDescent="0.25">
      <c r="B798" s="101">
        <f t="shared" si="35"/>
        <v>33</v>
      </c>
      <c r="L798" s="71">
        <f t="shared" si="34"/>
        <v>0</v>
      </c>
      <c r="M798" s="71">
        <f t="shared" si="36"/>
        <v>0</v>
      </c>
      <c r="N798" s="71" t="str">
        <f>IFERROR(VLOOKUP(M798,NCAA_Bets[[Date]:[Version]],2,0),"")</f>
        <v/>
      </c>
      <c r="O798" s="94" t="str">
        <f>COUNTIFS(NCAA_Bets[Date],M798,NCAA_Bets[Result],"W")&amp;"-"&amp;COUNTIFS(NCAA_Bets[Date],M798,NCAA_Bets[Result],"L")&amp;IF(COUNTIFS(NCAA_Bets[Date],M798,NCAA_Bets[Result],"Push")&gt;0,"-"&amp;COUNTIFS(NCAA_Bets[Date],M798,NCAA_Bets[Result],"Push"),"")</f>
        <v>0-0</v>
      </c>
      <c r="P798" s="90">
        <f>SUMIF(NCAA_Bets[Date],M798,NCAA_Bets[Winnings])-SUMIF(NCAA_Bets[Date],M798,NCAA_Bets[Risk])</f>
        <v>0</v>
      </c>
    </row>
    <row r="799" spans="2:16" x14ac:dyDescent="0.25">
      <c r="B799" s="101">
        <f t="shared" si="35"/>
        <v>33</v>
      </c>
      <c r="L799" s="71">
        <f t="shared" si="34"/>
        <v>0</v>
      </c>
      <c r="M799" s="71">
        <f t="shared" si="36"/>
        <v>0</v>
      </c>
      <c r="N799" s="71" t="str">
        <f>IFERROR(VLOOKUP(M799,NCAA_Bets[[Date]:[Version]],2,0),"")</f>
        <v/>
      </c>
      <c r="O799" s="94" t="str">
        <f>COUNTIFS(NCAA_Bets[Date],M799,NCAA_Bets[Result],"W")&amp;"-"&amp;COUNTIFS(NCAA_Bets[Date],M799,NCAA_Bets[Result],"L")&amp;IF(COUNTIFS(NCAA_Bets[Date],M799,NCAA_Bets[Result],"Push")&gt;0,"-"&amp;COUNTIFS(NCAA_Bets[Date],M799,NCAA_Bets[Result],"Push"),"")</f>
        <v>0-0</v>
      </c>
      <c r="P799" s="90">
        <f>SUMIF(NCAA_Bets[Date],M799,NCAA_Bets[Winnings])-SUMIF(NCAA_Bets[Date],M799,NCAA_Bets[Risk])</f>
        <v>0</v>
      </c>
    </row>
    <row r="800" spans="2:16" x14ac:dyDescent="0.25">
      <c r="B800" s="101">
        <f t="shared" si="35"/>
        <v>33</v>
      </c>
      <c r="L800" s="71">
        <f t="shared" si="34"/>
        <v>0</v>
      </c>
      <c r="M800" s="71">
        <f t="shared" si="36"/>
        <v>0</v>
      </c>
      <c r="N800" s="71" t="str">
        <f>IFERROR(VLOOKUP(M800,NCAA_Bets[[Date]:[Version]],2,0),"")</f>
        <v/>
      </c>
      <c r="O800" s="94" t="str">
        <f>COUNTIFS(NCAA_Bets[Date],M800,NCAA_Bets[Result],"W")&amp;"-"&amp;COUNTIFS(NCAA_Bets[Date],M800,NCAA_Bets[Result],"L")&amp;IF(COUNTIFS(NCAA_Bets[Date],M800,NCAA_Bets[Result],"Push")&gt;0,"-"&amp;COUNTIFS(NCAA_Bets[Date],M800,NCAA_Bets[Result],"Push"),"")</f>
        <v>0-0</v>
      </c>
      <c r="P800" s="90">
        <f>SUMIF(NCAA_Bets[Date],M800,NCAA_Bets[Winnings])-SUMIF(NCAA_Bets[Date],M800,NCAA_Bets[Risk])</f>
        <v>0</v>
      </c>
    </row>
    <row r="801" spans="2:16" x14ac:dyDescent="0.25">
      <c r="B801" s="101">
        <f t="shared" si="35"/>
        <v>33</v>
      </c>
      <c r="L801" s="71">
        <f t="shared" si="34"/>
        <v>0</v>
      </c>
      <c r="M801" s="71">
        <f t="shared" si="36"/>
        <v>0</v>
      </c>
      <c r="N801" s="71" t="str">
        <f>IFERROR(VLOOKUP(M801,NCAA_Bets[[Date]:[Version]],2,0),"")</f>
        <v/>
      </c>
      <c r="O801" s="94" t="str">
        <f>COUNTIFS(NCAA_Bets[Date],M801,NCAA_Bets[Result],"W")&amp;"-"&amp;COUNTIFS(NCAA_Bets[Date],M801,NCAA_Bets[Result],"L")&amp;IF(COUNTIFS(NCAA_Bets[Date],M801,NCAA_Bets[Result],"Push")&gt;0,"-"&amp;COUNTIFS(NCAA_Bets[Date],M801,NCAA_Bets[Result],"Push"),"")</f>
        <v>0-0</v>
      </c>
      <c r="P801" s="90">
        <f>SUMIF(NCAA_Bets[Date],M801,NCAA_Bets[Winnings])-SUMIF(NCAA_Bets[Date],M801,NCAA_Bets[Risk])</f>
        <v>0</v>
      </c>
    </row>
    <row r="802" spans="2:16" x14ac:dyDescent="0.25">
      <c r="B802" s="101">
        <f t="shared" si="35"/>
        <v>33</v>
      </c>
      <c r="L802" s="71">
        <f t="shared" si="34"/>
        <v>0</v>
      </c>
      <c r="M802" s="71">
        <f t="shared" si="36"/>
        <v>0</v>
      </c>
      <c r="N802" s="71" t="str">
        <f>IFERROR(VLOOKUP(M802,NCAA_Bets[[Date]:[Version]],2,0),"")</f>
        <v/>
      </c>
      <c r="O802" s="94" t="str">
        <f>COUNTIFS(NCAA_Bets[Date],M802,NCAA_Bets[Result],"W")&amp;"-"&amp;COUNTIFS(NCAA_Bets[Date],M802,NCAA_Bets[Result],"L")&amp;IF(COUNTIFS(NCAA_Bets[Date],M802,NCAA_Bets[Result],"Push")&gt;0,"-"&amp;COUNTIFS(NCAA_Bets[Date],M802,NCAA_Bets[Result],"Push"),"")</f>
        <v>0-0</v>
      </c>
      <c r="P802" s="90">
        <f>SUMIF(NCAA_Bets[Date],M802,NCAA_Bets[Winnings])-SUMIF(NCAA_Bets[Date],M802,NCAA_Bets[Risk])</f>
        <v>0</v>
      </c>
    </row>
    <row r="803" spans="2:16" x14ac:dyDescent="0.25">
      <c r="B803" s="101">
        <f t="shared" si="35"/>
        <v>33</v>
      </c>
      <c r="L803" s="71">
        <f t="shared" si="34"/>
        <v>0</v>
      </c>
      <c r="M803" s="71">
        <f t="shared" si="36"/>
        <v>0</v>
      </c>
      <c r="N803" s="71" t="str">
        <f>IFERROR(VLOOKUP(M803,NCAA_Bets[[Date]:[Version]],2,0),"")</f>
        <v/>
      </c>
      <c r="O803" s="94" t="str">
        <f>COUNTIFS(NCAA_Bets[Date],M803,NCAA_Bets[Result],"W")&amp;"-"&amp;COUNTIFS(NCAA_Bets[Date],M803,NCAA_Bets[Result],"L")&amp;IF(COUNTIFS(NCAA_Bets[Date],M803,NCAA_Bets[Result],"Push")&gt;0,"-"&amp;COUNTIFS(NCAA_Bets[Date],M803,NCAA_Bets[Result],"Push"),"")</f>
        <v>0-0</v>
      </c>
      <c r="P803" s="90">
        <f>SUMIF(NCAA_Bets[Date],M803,NCAA_Bets[Winnings])-SUMIF(NCAA_Bets[Date],M803,NCAA_Bets[Risk])</f>
        <v>0</v>
      </c>
    </row>
    <row r="804" spans="2:16" x14ac:dyDescent="0.25">
      <c r="B804" s="101">
        <f t="shared" si="35"/>
        <v>33</v>
      </c>
      <c r="L804" s="71">
        <f t="shared" ref="L804:L867" si="37">IFERROR(VLOOKUP(ROW()-4,B:C,2,0),0)</f>
        <v>0</v>
      </c>
      <c r="M804" s="71">
        <f t="shared" si="36"/>
        <v>0</v>
      </c>
      <c r="N804" s="71" t="str">
        <f>IFERROR(VLOOKUP(M804,NCAA_Bets[[Date]:[Version]],2,0),"")</f>
        <v/>
      </c>
      <c r="O804" s="94" t="str">
        <f>COUNTIFS(NCAA_Bets[Date],M804,NCAA_Bets[Result],"W")&amp;"-"&amp;COUNTIFS(NCAA_Bets[Date],M804,NCAA_Bets[Result],"L")&amp;IF(COUNTIFS(NCAA_Bets[Date],M804,NCAA_Bets[Result],"Push")&gt;0,"-"&amp;COUNTIFS(NCAA_Bets[Date],M804,NCAA_Bets[Result],"Push"),"")</f>
        <v>0-0</v>
      </c>
      <c r="P804" s="90">
        <f>SUMIF(NCAA_Bets[Date],M804,NCAA_Bets[Winnings])-SUMIF(NCAA_Bets[Date],M804,NCAA_Bets[Risk])</f>
        <v>0</v>
      </c>
    </row>
    <row r="805" spans="2:16" x14ac:dyDescent="0.25">
      <c r="B805" s="101">
        <f t="shared" si="35"/>
        <v>33</v>
      </c>
      <c r="L805" s="71">
        <f t="shared" si="37"/>
        <v>0</v>
      </c>
      <c r="M805" s="71">
        <f t="shared" si="36"/>
        <v>0</v>
      </c>
      <c r="N805" s="71" t="str">
        <f>IFERROR(VLOOKUP(M805,NCAA_Bets[[Date]:[Version]],2,0),"")</f>
        <v/>
      </c>
      <c r="O805" s="94" t="str">
        <f>COUNTIFS(NCAA_Bets[Date],M805,NCAA_Bets[Result],"W")&amp;"-"&amp;COUNTIFS(NCAA_Bets[Date],M805,NCAA_Bets[Result],"L")&amp;IF(COUNTIFS(NCAA_Bets[Date],M805,NCAA_Bets[Result],"Push")&gt;0,"-"&amp;COUNTIFS(NCAA_Bets[Date],M805,NCAA_Bets[Result],"Push"),"")</f>
        <v>0-0</v>
      </c>
      <c r="P805" s="90">
        <f>SUMIF(NCAA_Bets[Date],M805,NCAA_Bets[Winnings])-SUMIF(NCAA_Bets[Date],M805,NCAA_Bets[Risk])</f>
        <v>0</v>
      </c>
    </row>
    <row r="806" spans="2:16" x14ac:dyDescent="0.25">
      <c r="B806" s="101">
        <f t="shared" si="35"/>
        <v>33</v>
      </c>
      <c r="L806" s="71">
        <f t="shared" si="37"/>
        <v>0</v>
      </c>
      <c r="M806" s="71">
        <f t="shared" si="36"/>
        <v>0</v>
      </c>
      <c r="N806" s="71" t="str">
        <f>IFERROR(VLOOKUP(M806,NCAA_Bets[[Date]:[Version]],2,0),"")</f>
        <v/>
      </c>
      <c r="O806" s="94" t="str">
        <f>COUNTIFS(NCAA_Bets[Date],M806,NCAA_Bets[Result],"W")&amp;"-"&amp;COUNTIFS(NCAA_Bets[Date],M806,NCAA_Bets[Result],"L")&amp;IF(COUNTIFS(NCAA_Bets[Date],M806,NCAA_Bets[Result],"Push")&gt;0,"-"&amp;COUNTIFS(NCAA_Bets[Date],M806,NCAA_Bets[Result],"Push"),"")</f>
        <v>0-0</v>
      </c>
      <c r="P806" s="90">
        <f>SUMIF(NCAA_Bets[Date],M806,NCAA_Bets[Winnings])-SUMIF(NCAA_Bets[Date],M806,NCAA_Bets[Risk])</f>
        <v>0</v>
      </c>
    </row>
    <row r="807" spans="2:16" x14ac:dyDescent="0.25">
      <c r="B807" s="101">
        <f t="shared" si="35"/>
        <v>33</v>
      </c>
      <c r="L807" s="71">
        <f t="shared" si="37"/>
        <v>0</v>
      </c>
      <c r="M807" s="71">
        <f t="shared" si="36"/>
        <v>0</v>
      </c>
      <c r="N807" s="71" t="str">
        <f>IFERROR(VLOOKUP(M807,NCAA_Bets[[Date]:[Version]],2,0),"")</f>
        <v/>
      </c>
      <c r="O807" s="94" t="str">
        <f>COUNTIFS(NCAA_Bets[Date],M807,NCAA_Bets[Result],"W")&amp;"-"&amp;COUNTIFS(NCAA_Bets[Date],M807,NCAA_Bets[Result],"L")&amp;IF(COUNTIFS(NCAA_Bets[Date],M807,NCAA_Bets[Result],"Push")&gt;0,"-"&amp;COUNTIFS(NCAA_Bets[Date],M807,NCAA_Bets[Result],"Push"),"")</f>
        <v>0-0</v>
      </c>
      <c r="P807" s="90">
        <f>SUMIF(NCAA_Bets[Date],M807,NCAA_Bets[Winnings])-SUMIF(NCAA_Bets[Date],M807,NCAA_Bets[Risk])</f>
        <v>0</v>
      </c>
    </row>
    <row r="808" spans="2:16" x14ac:dyDescent="0.25">
      <c r="B808" s="101">
        <f t="shared" si="35"/>
        <v>33</v>
      </c>
      <c r="L808" s="71">
        <f t="shared" si="37"/>
        <v>0</v>
      </c>
      <c r="M808" s="71">
        <f t="shared" si="36"/>
        <v>0</v>
      </c>
      <c r="N808" s="71" t="str">
        <f>IFERROR(VLOOKUP(M808,NCAA_Bets[[Date]:[Version]],2,0),"")</f>
        <v/>
      </c>
      <c r="O808" s="94" t="str">
        <f>COUNTIFS(NCAA_Bets[Date],M808,NCAA_Bets[Result],"W")&amp;"-"&amp;COUNTIFS(NCAA_Bets[Date],M808,NCAA_Bets[Result],"L")&amp;IF(COUNTIFS(NCAA_Bets[Date],M808,NCAA_Bets[Result],"Push")&gt;0,"-"&amp;COUNTIFS(NCAA_Bets[Date],M808,NCAA_Bets[Result],"Push"),"")</f>
        <v>0-0</v>
      </c>
      <c r="P808" s="90">
        <f>SUMIF(NCAA_Bets[Date],M808,NCAA_Bets[Winnings])-SUMIF(NCAA_Bets[Date],M808,NCAA_Bets[Risk])</f>
        <v>0</v>
      </c>
    </row>
    <row r="809" spans="2:16" x14ac:dyDescent="0.25">
      <c r="B809" s="101">
        <f t="shared" si="35"/>
        <v>33</v>
      </c>
      <c r="L809" s="71">
        <f t="shared" si="37"/>
        <v>0</v>
      </c>
      <c r="M809" s="71">
        <f t="shared" si="36"/>
        <v>0</v>
      </c>
      <c r="N809" s="71" t="str">
        <f>IFERROR(VLOOKUP(M809,NCAA_Bets[[Date]:[Version]],2,0),"")</f>
        <v/>
      </c>
      <c r="O809" s="94" t="str">
        <f>COUNTIFS(NCAA_Bets[Date],M809,NCAA_Bets[Result],"W")&amp;"-"&amp;COUNTIFS(NCAA_Bets[Date],M809,NCAA_Bets[Result],"L")&amp;IF(COUNTIFS(NCAA_Bets[Date],M809,NCAA_Bets[Result],"Push")&gt;0,"-"&amp;COUNTIFS(NCAA_Bets[Date],M809,NCAA_Bets[Result],"Push"),"")</f>
        <v>0-0</v>
      </c>
      <c r="P809" s="90">
        <f>SUMIF(NCAA_Bets[Date],M809,NCAA_Bets[Winnings])-SUMIF(NCAA_Bets[Date],M809,NCAA_Bets[Risk])</f>
        <v>0</v>
      </c>
    </row>
    <row r="810" spans="2:16" x14ac:dyDescent="0.25">
      <c r="B810" s="101">
        <f t="shared" si="35"/>
        <v>33</v>
      </c>
      <c r="L810" s="71">
        <f t="shared" si="37"/>
        <v>0</v>
      </c>
      <c r="M810" s="71">
        <f t="shared" si="36"/>
        <v>0</v>
      </c>
      <c r="N810" s="71" t="str">
        <f>IFERROR(VLOOKUP(M810,NCAA_Bets[[Date]:[Version]],2,0),"")</f>
        <v/>
      </c>
      <c r="O810" s="94" t="str">
        <f>COUNTIFS(NCAA_Bets[Date],M810,NCAA_Bets[Result],"W")&amp;"-"&amp;COUNTIFS(NCAA_Bets[Date],M810,NCAA_Bets[Result],"L")&amp;IF(COUNTIFS(NCAA_Bets[Date],M810,NCAA_Bets[Result],"Push")&gt;0,"-"&amp;COUNTIFS(NCAA_Bets[Date],M810,NCAA_Bets[Result],"Push"),"")</f>
        <v>0-0</v>
      </c>
      <c r="P810" s="90">
        <f>SUMIF(NCAA_Bets[Date],M810,NCAA_Bets[Winnings])-SUMIF(NCAA_Bets[Date],M810,NCAA_Bets[Risk])</f>
        <v>0</v>
      </c>
    </row>
    <row r="811" spans="2:16" x14ac:dyDescent="0.25">
      <c r="B811" s="101">
        <f t="shared" si="35"/>
        <v>33</v>
      </c>
      <c r="L811" s="71">
        <f t="shared" si="37"/>
        <v>0</v>
      </c>
      <c r="M811" s="71">
        <f t="shared" si="36"/>
        <v>0</v>
      </c>
      <c r="N811" s="71" t="str">
        <f>IFERROR(VLOOKUP(M811,NCAA_Bets[[Date]:[Version]],2,0),"")</f>
        <v/>
      </c>
      <c r="O811" s="94" t="str">
        <f>COUNTIFS(NCAA_Bets[Date],M811,NCAA_Bets[Result],"W")&amp;"-"&amp;COUNTIFS(NCAA_Bets[Date],M811,NCAA_Bets[Result],"L")&amp;IF(COUNTIFS(NCAA_Bets[Date],M811,NCAA_Bets[Result],"Push")&gt;0,"-"&amp;COUNTIFS(NCAA_Bets[Date],M811,NCAA_Bets[Result],"Push"),"")</f>
        <v>0-0</v>
      </c>
      <c r="P811" s="90">
        <f>SUMIF(NCAA_Bets[Date],M811,NCAA_Bets[Winnings])-SUMIF(NCAA_Bets[Date],M811,NCAA_Bets[Risk])</f>
        <v>0</v>
      </c>
    </row>
    <row r="812" spans="2:16" x14ac:dyDescent="0.25">
      <c r="B812" s="101">
        <f t="shared" si="35"/>
        <v>33</v>
      </c>
      <c r="L812" s="71">
        <f t="shared" si="37"/>
        <v>0</v>
      </c>
      <c r="M812" s="71">
        <f t="shared" si="36"/>
        <v>0</v>
      </c>
      <c r="N812" s="71" t="str">
        <f>IFERROR(VLOOKUP(M812,NCAA_Bets[[Date]:[Version]],2,0),"")</f>
        <v/>
      </c>
      <c r="O812" s="94" t="str">
        <f>COUNTIFS(NCAA_Bets[Date],M812,NCAA_Bets[Result],"W")&amp;"-"&amp;COUNTIFS(NCAA_Bets[Date],M812,NCAA_Bets[Result],"L")&amp;IF(COUNTIFS(NCAA_Bets[Date],M812,NCAA_Bets[Result],"Push")&gt;0,"-"&amp;COUNTIFS(NCAA_Bets[Date],M812,NCAA_Bets[Result],"Push"),"")</f>
        <v>0-0</v>
      </c>
      <c r="P812" s="90">
        <f>SUMIF(NCAA_Bets[Date],M812,NCAA_Bets[Winnings])-SUMIF(NCAA_Bets[Date],M812,NCAA_Bets[Risk])</f>
        <v>0</v>
      </c>
    </row>
    <row r="813" spans="2:16" x14ac:dyDescent="0.25">
      <c r="B813" s="101">
        <f t="shared" si="35"/>
        <v>33</v>
      </c>
      <c r="L813" s="71">
        <f t="shared" si="37"/>
        <v>0</v>
      </c>
      <c r="M813" s="71">
        <f t="shared" si="36"/>
        <v>0</v>
      </c>
      <c r="N813" s="71" t="str">
        <f>IFERROR(VLOOKUP(M813,NCAA_Bets[[Date]:[Version]],2,0),"")</f>
        <v/>
      </c>
      <c r="O813" s="94" t="str">
        <f>COUNTIFS(NCAA_Bets[Date],M813,NCAA_Bets[Result],"W")&amp;"-"&amp;COUNTIFS(NCAA_Bets[Date],M813,NCAA_Bets[Result],"L")&amp;IF(COUNTIFS(NCAA_Bets[Date],M813,NCAA_Bets[Result],"Push")&gt;0,"-"&amp;COUNTIFS(NCAA_Bets[Date],M813,NCAA_Bets[Result],"Push"),"")</f>
        <v>0-0</v>
      </c>
      <c r="P813" s="90">
        <f>SUMIF(NCAA_Bets[Date],M813,NCAA_Bets[Winnings])-SUMIF(NCAA_Bets[Date],M813,NCAA_Bets[Risk])</f>
        <v>0</v>
      </c>
    </row>
    <row r="814" spans="2:16" x14ac:dyDescent="0.25">
      <c r="B814" s="101">
        <f t="shared" si="35"/>
        <v>33</v>
      </c>
      <c r="L814" s="71">
        <f t="shared" si="37"/>
        <v>0</v>
      </c>
      <c r="M814" s="71">
        <f t="shared" si="36"/>
        <v>0</v>
      </c>
      <c r="N814" s="71" t="str">
        <f>IFERROR(VLOOKUP(M814,NCAA_Bets[[Date]:[Version]],2,0),"")</f>
        <v/>
      </c>
      <c r="O814" s="94" t="str">
        <f>COUNTIFS(NCAA_Bets[Date],M814,NCAA_Bets[Result],"W")&amp;"-"&amp;COUNTIFS(NCAA_Bets[Date],M814,NCAA_Bets[Result],"L")&amp;IF(COUNTIFS(NCAA_Bets[Date],M814,NCAA_Bets[Result],"Push")&gt;0,"-"&amp;COUNTIFS(NCAA_Bets[Date],M814,NCAA_Bets[Result],"Push"),"")</f>
        <v>0-0</v>
      </c>
      <c r="P814" s="90">
        <f>SUMIF(NCAA_Bets[Date],M814,NCAA_Bets[Winnings])-SUMIF(NCAA_Bets[Date],M814,NCAA_Bets[Risk])</f>
        <v>0</v>
      </c>
    </row>
    <row r="815" spans="2:16" x14ac:dyDescent="0.25">
      <c r="B815" s="101">
        <f t="shared" si="35"/>
        <v>33</v>
      </c>
      <c r="L815" s="71">
        <f t="shared" si="37"/>
        <v>0</v>
      </c>
      <c r="M815" s="71">
        <f t="shared" si="36"/>
        <v>0</v>
      </c>
      <c r="N815" s="71" t="str">
        <f>IFERROR(VLOOKUP(M815,NCAA_Bets[[Date]:[Version]],2,0),"")</f>
        <v/>
      </c>
      <c r="O815" s="94" t="str">
        <f>COUNTIFS(NCAA_Bets[Date],M815,NCAA_Bets[Result],"W")&amp;"-"&amp;COUNTIFS(NCAA_Bets[Date],M815,NCAA_Bets[Result],"L")&amp;IF(COUNTIFS(NCAA_Bets[Date],M815,NCAA_Bets[Result],"Push")&gt;0,"-"&amp;COUNTIFS(NCAA_Bets[Date],M815,NCAA_Bets[Result],"Push"),"")</f>
        <v>0-0</v>
      </c>
      <c r="P815" s="90">
        <f>SUMIF(NCAA_Bets[Date],M815,NCAA_Bets[Winnings])-SUMIF(NCAA_Bets[Date],M815,NCAA_Bets[Risk])</f>
        <v>0</v>
      </c>
    </row>
    <row r="816" spans="2:16" x14ac:dyDescent="0.25">
      <c r="B816" s="101">
        <f t="shared" si="35"/>
        <v>33</v>
      </c>
      <c r="L816" s="71">
        <f t="shared" si="37"/>
        <v>0</v>
      </c>
      <c r="M816" s="71">
        <f t="shared" si="36"/>
        <v>0</v>
      </c>
      <c r="N816" s="71" t="str">
        <f>IFERROR(VLOOKUP(M816,NCAA_Bets[[Date]:[Version]],2,0),"")</f>
        <v/>
      </c>
      <c r="O816" s="94" t="str">
        <f>COUNTIFS(NCAA_Bets[Date],M816,NCAA_Bets[Result],"W")&amp;"-"&amp;COUNTIFS(NCAA_Bets[Date],M816,NCAA_Bets[Result],"L")&amp;IF(COUNTIFS(NCAA_Bets[Date],M816,NCAA_Bets[Result],"Push")&gt;0,"-"&amp;COUNTIFS(NCAA_Bets[Date],M816,NCAA_Bets[Result],"Push"),"")</f>
        <v>0-0</v>
      </c>
      <c r="P816" s="90">
        <f>SUMIF(NCAA_Bets[Date],M816,NCAA_Bets[Winnings])-SUMIF(NCAA_Bets[Date],M816,NCAA_Bets[Risk])</f>
        <v>0</v>
      </c>
    </row>
    <row r="817" spans="2:16" x14ac:dyDescent="0.25">
      <c r="B817" s="101">
        <f t="shared" si="35"/>
        <v>33</v>
      </c>
      <c r="L817" s="71">
        <f t="shared" si="37"/>
        <v>0</v>
      </c>
      <c r="M817" s="71">
        <f t="shared" si="36"/>
        <v>0</v>
      </c>
      <c r="N817" s="71" t="str">
        <f>IFERROR(VLOOKUP(M817,NCAA_Bets[[Date]:[Version]],2,0),"")</f>
        <v/>
      </c>
      <c r="O817" s="94" t="str">
        <f>COUNTIFS(NCAA_Bets[Date],M817,NCAA_Bets[Result],"W")&amp;"-"&amp;COUNTIFS(NCAA_Bets[Date],M817,NCAA_Bets[Result],"L")&amp;IF(COUNTIFS(NCAA_Bets[Date],M817,NCAA_Bets[Result],"Push")&gt;0,"-"&amp;COUNTIFS(NCAA_Bets[Date],M817,NCAA_Bets[Result],"Push"),"")</f>
        <v>0-0</v>
      </c>
      <c r="P817" s="90">
        <f>SUMIF(NCAA_Bets[Date],M817,NCAA_Bets[Winnings])-SUMIF(NCAA_Bets[Date],M817,NCAA_Bets[Risk])</f>
        <v>0</v>
      </c>
    </row>
    <row r="818" spans="2:16" x14ac:dyDescent="0.25">
      <c r="B818" s="101">
        <f t="shared" si="35"/>
        <v>33</v>
      </c>
      <c r="L818" s="71">
        <f t="shared" si="37"/>
        <v>0</v>
      </c>
      <c r="M818" s="71">
        <f t="shared" si="36"/>
        <v>0</v>
      </c>
      <c r="N818" s="71" t="str">
        <f>IFERROR(VLOOKUP(M818,NCAA_Bets[[Date]:[Version]],2,0),"")</f>
        <v/>
      </c>
      <c r="O818" s="94" t="str">
        <f>COUNTIFS(NCAA_Bets[Date],M818,NCAA_Bets[Result],"W")&amp;"-"&amp;COUNTIFS(NCAA_Bets[Date],M818,NCAA_Bets[Result],"L")&amp;IF(COUNTIFS(NCAA_Bets[Date],M818,NCAA_Bets[Result],"Push")&gt;0,"-"&amp;COUNTIFS(NCAA_Bets[Date],M818,NCAA_Bets[Result],"Push"),"")</f>
        <v>0-0</v>
      </c>
      <c r="P818" s="90">
        <f>SUMIF(NCAA_Bets[Date],M818,NCAA_Bets[Winnings])-SUMIF(NCAA_Bets[Date],M818,NCAA_Bets[Risk])</f>
        <v>0</v>
      </c>
    </row>
    <row r="819" spans="2:16" x14ac:dyDescent="0.25">
      <c r="B819" s="101">
        <f t="shared" si="35"/>
        <v>33</v>
      </c>
      <c r="L819" s="71">
        <f t="shared" si="37"/>
        <v>0</v>
      </c>
      <c r="M819" s="71">
        <f t="shared" si="36"/>
        <v>0</v>
      </c>
      <c r="N819" s="71" t="str">
        <f>IFERROR(VLOOKUP(M819,NCAA_Bets[[Date]:[Version]],2,0),"")</f>
        <v/>
      </c>
      <c r="O819" s="94" t="str">
        <f>COUNTIFS(NCAA_Bets[Date],M819,NCAA_Bets[Result],"W")&amp;"-"&amp;COUNTIFS(NCAA_Bets[Date],M819,NCAA_Bets[Result],"L")&amp;IF(COUNTIFS(NCAA_Bets[Date],M819,NCAA_Bets[Result],"Push")&gt;0,"-"&amp;COUNTIFS(NCAA_Bets[Date],M819,NCAA_Bets[Result],"Push"),"")</f>
        <v>0-0</v>
      </c>
      <c r="P819" s="90">
        <f>SUMIF(NCAA_Bets[Date],M819,NCAA_Bets[Winnings])-SUMIF(NCAA_Bets[Date],M819,NCAA_Bets[Risk])</f>
        <v>0</v>
      </c>
    </row>
    <row r="820" spans="2:16" x14ac:dyDescent="0.25">
      <c r="B820" s="101">
        <f t="shared" si="35"/>
        <v>33</v>
      </c>
      <c r="L820" s="71">
        <f t="shared" si="37"/>
        <v>0</v>
      </c>
      <c r="M820" s="71">
        <f t="shared" si="36"/>
        <v>0</v>
      </c>
      <c r="N820" s="71" t="str">
        <f>IFERROR(VLOOKUP(M820,NCAA_Bets[[Date]:[Version]],2,0),"")</f>
        <v/>
      </c>
      <c r="O820" s="94" t="str">
        <f>COUNTIFS(NCAA_Bets[Date],M820,NCAA_Bets[Result],"W")&amp;"-"&amp;COUNTIFS(NCAA_Bets[Date],M820,NCAA_Bets[Result],"L")&amp;IF(COUNTIFS(NCAA_Bets[Date],M820,NCAA_Bets[Result],"Push")&gt;0,"-"&amp;COUNTIFS(NCAA_Bets[Date],M820,NCAA_Bets[Result],"Push"),"")</f>
        <v>0-0</v>
      </c>
      <c r="P820" s="90">
        <f>SUMIF(NCAA_Bets[Date],M820,NCAA_Bets[Winnings])-SUMIF(NCAA_Bets[Date],M820,NCAA_Bets[Risk])</f>
        <v>0</v>
      </c>
    </row>
    <row r="821" spans="2:16" x14ac:dyDescent="0.25">
      <c r="B821" s="101">
        <f t="shared" si="35"/>
        <v>33</v>
      </c>
      <c r="L821" s="71">
        <f t="shared" si="37"/>
        <v>0</v>
      </c>
      <c r="M821" s="71">
        <f t="shared" si="36"/>
        <v>0</v>
      </c>
      <c r="N821" s="71" t="str">
        <f>IFERROR(VLOOKUP(M821,NCAA_Bets[[Date]:[Version]],2,0),"")</f>
        <v/>
      </c>
      <c r="O821" s="94" t="str">
        <f>COUNTIFS(NCAA_Bets[Date],M821,NCAA_Bets[Result],"W")&amp;"-"&amp;COUNTIFS(NCAA_Bets[Date],M821,NCAA_Bets[Result],"L")&amp;IF(COUNTIFS(NCAA_Bets[Date],M821,NCAA_Bets[Result],"Push")&gt;0,"-"&amp;COUNTIFS(NCAA_Bets[Date],M821,NCAA_Bets[Result],"Push"),"")</f>
        <v>0-0</v>
      </c>
      <c r="P821" s="90">
        <f>SUMIF(NCAA_Bets[Date],M821,NCAA_Bets[Winnings])-SUMIF(NCAA_Bets[Date],M821,NCAA_Bets[Risk])</f>
        <v>0</v>
      </c>
    </row>
    <row r="822" spans="2:16" x14ac:dyDescent="0.25">
      <c r="B822" s="101">
        <f t="shared" si="35"/>
        <v>33</v>
      </c>
      <c r="L822" s="71">
        <f t="shared" si="37"/>
        <v>0</v>
      </c>
      <c r="M822" s="71">
        <f t="shared" si="36"/>
        <v>0</v>
      </c>
      <c r="N822" s="71" t="str">
        <f>IFERROR(VLOOKUP(M822,NCAA_Bets[[Date]:[Version]],2,0),"")</f>
        <v/>
      </c>
      <c r="O822" s="94" t="str">
        <f>COUNTIFS(NCAA_Bets[Date],M822,NCAA_Bets[Result],"W")&amp;"-"&amp;COUNTIFS(NCAA_Bets[Date],M822,NCAA_Bets[Result],"L")&amp;IF(COUNTIFS(NCAA_Bets[Date],M822,NCAA_Bets[Result],"Push")&gt;0,"-"&amp;COUNTIFS(NCAA_Bets[Date],M822,NCAA_Bets[Result],"Push"),"")</f>
        <v>0-0</v>
      </c>
      <c r="P822" s="90">
        <f>SUMIF(NCAA_Bets[Date],M822,NCAA_Bets[Winnings])-SUMIF(NCAA_Bets[Date],M822,NCAA_Bets[Risk])</f>
        <v>0</v>
      </c>
    </row>
    <row r="823" spans="2:16" x14ac:dyDescent="0.25">
      <c r="B823" s="101">
        <f t="shared" si="35"/>
        <v>33</v>
      </c>
      <c r="L823" s="71">
        <f t="shared" si="37"/>
        <v>0</v>
      </c>
      <c r="M823" s="71">
        <f t="shared" si="36"/>
        <v>0</v>
      </c>
      <c r="N823" s="71" t="str">
        <f>IFERROR(VLOOKUP(M823,NCAA_Bets[[Date]:[Version]],2,0),"")</f>
        <v/>
      </c>
      <c r="O823" s="94" t="str">
        <f>COUNTIFS(NCAA_Bets[Date],M823,NCAA_Bets[Result],"W")&amp;"-"&amp;COUNTIFS(NCAA_Bets[Date],M823,NCAA_Bets[Result],"L")&amp;IF(COUNTIFS(NCAA_Bets[Date],M823,NCAA_Bets[Result],"Push")&gt;0,"-"&amp;COUNTIFS(NCAA_Bets[Date],M823,NCAA_Bets[Result],"Push"),"")</f>
        <v>0-0</v>
      </c>
      <c r="P823" s="90">
        <f>SUMIF(NCAA_Bets[Date],M823,NCAA_Bets[Winnings])-SUMIF(NCAA_Bets[Date],M823,NCAA_Bets[Risk])</f>
        <v>0</v>
      </c>
    </row>
    <row r="824" spans="2:16" x14ac:dyDescent="0.25">
      <c r="B824" s="101">
        <f t="shared" si="35"/>
        <v>33</v>
      </c>
      <c r="L824" s="71">
        <f t="shared" si="37"/>
        <v>0</v>
      </c>
      <c r="M824" s="71">
        <f t="shared" si="36"/>
        <v>0</v>
      </c>
      <c r="N824" s="71" t="str">
        <f>IFERROR(VLOOKUP(M824,NCAA_Bets[[Date]:[Version]],2,0),"")</f>
        <v/>
      </c>
      <c r="O824" s="94" t="str">
        <f>COUNTIFS(NCAA_Bets[Date],M824,NCAA_Bets[Result],"W")&amp;"-"&amp;COUNTIFS(NCAA_Bets[Date],M824,NCAA_Bets[Result],"L")&amp;IF(COUNTIFS(NCAA_Bets[Date],M824,NCAA_Bets[Result],"Push")&gt;0,"-"&amp;COUNTIFS(NCAA_Bets[Date],M824,NCAA_Bets[Result],"Push"),"")</f>
        <v>0-0</v>
      </c>
      <c r="P824" s="90">
        <f>SUMIF(NCAA_Bets[Date],M824,NCAA_Bets[Winnings])-SUMIF(NCAA_Bets[Date],M824,NCAA_Bets[Risk])</f>
        <v>0</v>
      </c>
    </row>
    <row r="825" spans="2:16" x14ac:dyDescent="0.25">
      <c r="B825" s="101">
        <f t="shared" si="35"/>
        <v>33</v>
      </c>
      <c r="L825" s="71">
        <f t="shared" si="37"/>
        <v>0</v>
      </c>
      <c r="M825" s="71">
        <f t="shared" si="36"/>
        <v>0</v>
      </c>
      <c r="N825" s="71" t="str">
        <f>IFERROR(VLOOKUP(M825,NCAA_Bets[[Date]:[Version]],2,0),"")</f>
        <v/>
      </c>
      <c r="O825" s="94" t="str">
        <f>COUNTIFS(NCAA_Bets[Date],M825,NCAA_Bets[Result],"W")&amp;"-"&amp;COUNTIFS(NCAA_Bets[Date],M825,NCAA_Bets[Result],"L")&amp;IF(COUNTIFS(NCAA_Bets[Date],M825,NCAA_Bets[Result],"Push")&gt;0,"-"&amp;COUNTIFS(NCAA_Bets[Date],M825,NCAA_Bets[Result],"Push"),"")</f>
        <v>0-0</v>
      </c>
      <c r="P825" s="90">
        <f>SUMIF(NCAA_Bets[Date],M825,NCAA_Bets[Winnings])-SUMIF(NCAA_Bets[Date],M825,NCAA_Bets[Risk])</f>
        <v>0</v>
      </c>
    </row>
    <row r="826" spans="2:16" x14ac:dyDescent="0.25">
      <c r="B826" s="101">
        <f t="shared" si="35"/>
        <v>33</v>
      </c>
      <c r="L826" s="71">
        <f t="shared" si="37"/>
        <v>0</v>
      </c>
      <c r="M826" s="71">
        <f t="shared" si="36"/>
        <v>0</v>
      </c>
      <c r="N826" s="71" t="str">
        <f>IFERROR(VLOOKUP(M826,NCAA_Bets[[Date]:[Version]],2,0),"")</f>
        <v/>
      </c>
      <c r="O826" s="94" t="str">
        <f>COUNTIFS(NCAA_Bets[Date],M826,NCAA_Bets[Result],"W")&amp;"-"&amp;COUNTIFS(NCAA_Bets[Date],M826,NCAA_Bets[Result],"L")&amp;IF(COUNTIFS(NCAA_Bets[Date],M826,NCAA_Bets[Result],"Push")&gt;0,"-"&amp;COUNTIFS(NCAA_Bets[Date],M826,NCAA_Bets[Result],"Push"),"")</f>
        <v>0-0</v>
      </c>
      <c r="P826" s="90">
        <f>SUMIF(NCAA_Bets[Date],M826,NCAA_Bets[Winnings])-SUMIF(NCAA_Bets[Date],M826,NCAA_Bets[Risk])</f>
        <v>0</v>
      </c>
    </row>
    <row r="827" spans="2:16" x14ac:dyDescent="0.25">
      <c r="B827" s="101">
        <f t="shared" si="35"/>
        <v>33</v>
      </c>
      <c r="L827" s="71">
        <f t="shared" si="37"/>
        <v>0</v>
      </c>
      <c r="M827" s="71">
        <f t="shared" si="36"/>
        <v>0</v>
      </c>
      <c r="N827" s="71" t="str">
        <f>IFERROR(VLOOKUP(M827,NCAA_Bets[[Date]:[Version]],2,0),"")</f>
        <v/>
      </c>
      <c r="O827" s="94" t="str">
        <f>COUNTIFS(NCAA_Bets[Date],M827,NCAA_Bets[Result],"W")&amp;"-"&amp;COUNTIFS(NCAA_Bets[Date],M827,NCAA_Bets[Result],"L")&amp;IF(COUNTIFS(NCAA_Bets[Date],M827,NCAA_Bets[Result],"Push")&gt;0,"-"&amp;COUNTIFS(NCAA_Bets[Date],M827,NCAA_Bets[Result],"Push"),"")</f>
        <v>0-0</v>
      </c>
      <c r="P827" s="90">
        <f>SUMIF(NCAA_Bets[Date],M827,NCAA_Bets[Winnings])-SUMIF(NCAA_Bets[Date],M827,NCAA_Bets[Risk])</f>
        <v>0</v>
      </c>
    </row>
    <row r="828" spans="2:16" x14ac:dyDescent="0.25">
      <c r="B828" s="101">
        <f t="shared" si="35"/>
        <v>33</v>
      </c>
      <c r="L828" s="71">
        <f t="shared" si="37"/>
        <v>0</v>
      </c>
      <c r="M828" s="71">
        <f t="shared" si="36"/>
        <v>0</v>
      </c>
      <c r="N828" s="71" t="str">
        <f>IFERROR(VLOOKUP(M828,NCAA_Bets[[Date]:[Version]],2,0),"")</f>
        <v/>
      </c>
      <c r="O828" s="94" t="str">
        <f>COUNTIFS(NCAA_Bets[Date],M828,NCAA_Bets[Result],"W")&amp;"-"&amp;COUNTIFS(NCAA_Bets[Date],M828,NCAA_Bets[Result],"L")&amp;IF(COUNTIFS(NCAA_Bets[Date],M828,NCAA_Bets[Result],"Push")&gt;0,"-"&amp;COUNTIFS(NCAA_Bets[Date],M828,NCAA_Bets[Result],"Push"),"")</f>
        <v>0-0</v>
      </c>
      <c r="P828" s="90">
        <f>SUMIF(NCAA_Bets[Date],M828,NCAA_Bets[Winnings])-SUMIF(NCAA_Bets[Date],M828,NCAA_Bets[Risk])</f>
        <v>0</v>
      </c>
    </row>
    <row r="829" spans="2:16" x14ac:dyDescent="0.25">
      <c r="B829" s="101">
        <f t="shared" si="35"/>
        <v>33</v>
      </c>
      <c r="L829" s="71">
        <f t="shared" si="37"/>
        <v>0</v>
      </c>
      <c r="M829" s="71">
        <f t="shared" si="36"/>
        <v>0</v>
      </c>
      <c r="N829" s="71" t="str">
        <f>IFERROR(VLOOKUP(M829,NCAA_Bets[[Date]:[Version]],2,0),"")</f>
        <v/>
      </c>
      <c r="O829" s="94" t="str">
        <f>COUNTIFS(NCAA_Bets[Date],M829,NCAA_Bets[Result],"W")&amp;"-"&amp;COUNTIFS(NCAA_Bets[Date],M829,NCAA_Bets[Result],"L")&amp;IF(COUNTIFS(NCAA_Bets[Date],M829,NCAA_Bets[Result],"Push")&gt;0,"-"&amp;COUNTIFS(NCAA_Bets[Date],M829,NCAA_Bets[Result],"Push"),"")</f>
        <v>0-0</v>
      </c>
      <c r="P829" s="90">
        <f>SUMIF(NCAA_Bets[Date],M829,NCAA_Bets[Winnings])-SUMIF(NCAA_Bets[Date],M829,NCAA_Bets[Risk])</f>
        <v>0</v>
      </c>
    </row>
    <row r="830" spans="2:16" x14ac:dyDescent="0.25">
      <c r="B830" s="101">
        <f t="shared" si="35"/>
        <v>33</v>
      </c>
      <c r="L830" s="71">
        <f t="shared" si="37"/>
        <v>0</v>
      </c>
      <c r="M830" s="71">
        <f t="shared" si="36"/>
        <v>0</v>
      </c>
      <c r="N830" s="71" t="str">
        <f>IFERROR(VLOOKUP(M830,NCAA_Bets[[Date]:[Version]],2,0),"")</f>
        <v/>
      </c>
      <c r="O830" s="94" t="str">
        <f>COUNTIFS(NCAA_Bets[Date],M830,NCAA_Bets[Result],"W")&amp;"-"&amp;COUNTIFS(NCAA_Bets[Date],M830,NCAA_Bets[Result],"L")&amp;IF(COUNTIFS(NCAA_Bets[Date],M830,NCAA_Bets[Result],"Push")&gt;0,"-"&amp;COUNTIFS(NCAA_Bets[Date],M830,NCAA_Bets[Result],"Push"),"")</f>
        <v>0-0</v>
      </c>
      <c r="P830" s="90">
        <f>SUMIF(NCAA_Bets[Date],M830,NCAA_Bets[Winnings])-SUMIF(NCAA_Bets[Date],M830,NCAA_Bets[Risk])</f>
        <v>0</v>
      </c>
    </row>
    <row r="831" spans="2:16" x14ac:dyDescent="0.25">
      <c r="B831" s="101">
        <f t="shared" si="35"/>
        <v>33</v>
      </c>
      <c r="L831" s="71">
        <f t="shared" si="37"/>
        <v>0</v>
      </c>
      <c r="M831" s="71">
        <f t="shared" si="36"/>
        <v>0</v>
      </c>
      <c r="N831" s="71" t="str">
        <f>IFERROR(VLOOKUP(M831,NCAA_Bets[[Date]:[Version]],2,0),"")</f>
        <v/>
      </c>
      <c r="O831" s="94" t="str">
        <f>COUNTIFS(NCAA_Bets[Date],M831,NCAA_Bets[Result],"W")&amp;"-"&amp;COUNTIFS(NCAA_Bets[Date],M831,NCAA_Bets[Result],"L")&amp;IF(COUNTIFS(NCAA_Bets[Date],M831,NCAA_Bets[Result],"Push")&gt;0,"-"&amp;COUNTIFS(NCAA_Bets[Date],M831,NCAA_Bets[Result],"Push"),"")</f>
        <v>0-0</v>
      </c>
      <c r="P831" s="90">
        <f>SUMIF(NCAA_Bets[Date],M831,NCAA_Bets[Winnings])-SUMIF(NCAA_Bets[Date],M831,NCAA_Bets[Risk])</f>
        <v>0</v>
      </c>
    </row>
    <row r="832" spans="2:16" x14ac:dyDescent="0.25">
      <c r="B832" s="101">
        <f t="shared" si="35"/>
        <v>33</v>
      </c>
      <c r="L832" s="71">
        <f t="shared" si="37"/>
        <v>0</v>
      </c>
      <c r="M832" s="71">
        <f t="shared" si="36"/>
        <v>0</v>
      </c>
      <c r="N832" s="71" t="str">
        <f>IFERROR(VLOOKUP(M832,NCAA_Bets[[Date]:[Version]],2,0),"")</f>
        <v/>
      </c>
      <c r="O832" s="94" t="str">
        <f>COUNTIFS(NCAA_Bets[Date],M832,NCAA_Bets[Result],"W")&amp;"-"&amp;COUNTIFS(NCAA_Bets[Date],M832,NCAA_Bets[Result],"L")&amp;IF(COUNTIFS(NCAA_Bets[Date],M832,NCAA_Bets[Result],"Push")&gt;0,"-"&amp;COUNTIFS(NCAA_Bets[Date],M832,NCAA_Bets[Result],"Push"),"")</f>
        <v>0-0</v>
      </c>
      <c r="P832" s="90">
        <f>SUMIF(NCAA_Bets[Date],M832,NCAA_Bets[Winnings])-SUMIF(NCAA_Bets[Date],M832,NCAA_Bets[Risk])</f>
        <v>0</v>
      </c>
    </row>
    <row r="833" spans="2:16" x14ac:dyDescent="0.25">
      <c r="B833" s="101">
        <f t="shared" si="35"/>
        <v>33</v>
      </c>
      <c r="L833" s="71">
        <f t="shared" si="37"/>
        <v>0</v>
      </c>
      <c r="M833" s="71">
        <f t="shared" si="36"/>
        <v>0</v>
      </c>
      <c r="N833" s="71" t="str">
        <f>IFERROR(VLOOKUP(M833,NCAA_Bets[[Date]:[Version]],2,0),"")</f>
        <v/>
      </c>
      <c r="O833" s="94" t="str">
        <f>COUNTIFS(NCAA_Bets[Date],M833,NCAA_Bets[Result],"W")&amp;"-"&amp;COUNTIFS(NCAA_Bets[Date],M833,NCAA_Bets[Result],"L")&amp;IF(COUNTIFS(NCAA_Bets[Date],M833,NCAA_Bets[Result],"Push")&gt;0,"-"&amp;COUNTIFS(NCAA_Bets[Date],M833,NCAA_Bets[Result],"Push"),"")</f>
        <v>0-0</v>
      </c>
      <c r="P833" s="90">
        <f>SUMIF(NCAA_Bets[Date],M833,NCAA_Bets[Winnings])-SUMIF(NCAA_Bets[Date],M833,NCAA_Bets[Risk])</f>
        <v>0</v>
      </c>
    </row>
    <row r="834" spans="2:16" x14ac:dyDescent="0.25">
      <c r="B834" s="101">
        <f t="shared" si="35"/>
        <v>33</v>
      </c>
      <c r="L834" s="71">
        <f t="shared" si="37"/>
        <v>0</v>
      </c>
      <c r="M834" s="71">
        <f t="shared" si="36"/>
        <v>0</v>
      </c>
      <c r="N834" s="71" t="str">
        <f>IFERROR(VLOOKUP(M834,NCAA_Bets[[Date]:[Version]],2,0),"")</f>
        <v/>
      </c>
      <c r="O834" s="94" t="str">
        <f>COUNTIFS(NCAA_Bets[Date],M834,NCAA_Bets[Result],"W")&amp;"-"&amp;COUNTIFS(NCAA_Bets[Date],M834,NCAA_Bets[Result],"L")&amp;IF(COUNTIFS(NCAA_Bets[Date],M834,NCAA_Bets[Result],"Push")&gt;0,"-"&amp;COUNTIFS(NCAA_Bets[Date],M834,NCAA_Bets[Result],"Push"),"")</f>
        <v>0-0</v>
      </c>
      <c r="P834" s="90">
        <f>SUMIF(NCAA_Bets[Date],M834,NCAA_Bets[Winnings])-SUMIF(NCAA_Bets[Date],M834,NCAA_Bets[Risk])</f>
        <v>0</v>
      </c>
    </row>
    <row r="835" spans="2:16" x14ac:dyDescent="0.25">
      <c r="B835" s="101">
        <f t="shared" si="35"/>
        <v>33</v>
      </c>
      <c r="L835" s="71">
        <f t="shared" si="37"/>
        <v>0</v>
      </c>
      <c r="M835" s="71">
        <f t="shared" si="36"/>
        <v>0</v>
      </c>
      <c r="N835" s="71" t="str">
        <f>IFERROR(VLOOKUP(M835,NCAA_Bets[[Date]:[Version]],2,0),"")</f>
        <v/>
      </c>
      <c r="O835" s="94" t="str">
        <f>COUNTIFS(NCAA_Bets[Date],M835,NCAA_Bets[Result],"W")&amp;"-"&amp;COUNTIFS(NCAA_Bets[Date],M835,NCAA_Bets[Result],"L")&amp;IF(COUNTIFS(NCAA_Bets[Date],M835,NCAA_Bets[Result],"Push")&gt;0,"-"&amp;COUNTIFS(NCAA_Bets[Date],M835,NCAA_Bets[Result],"Push"),"")</f>
        <v>0-0</v>
      </c>
      <c r="P835" s="90">
        <f>SUMIF(NCAA_Bets[Date],M835,NCAA_Bets[Winnings])-SUMIF(NCAA_Bets[Date],M835,NCAA_Bets[Risk])</f>
        <v>0</v>
      </c>
    </row>
    <row r="836" spans="2:16" x14ac:dyDescent="0.25">
      <c r="B836" s="101">
        <f t="shared" si="35"/>
        <v>33</v>
      </c>
      <c r="L836" s="71">
        <f t="shared" si="37"/>
        <v>0</v>
      </c>
      <c r="M836" s="71">
        <f t="shared" si="36"/>
        <v>0</v>
      </c>
      <c r="N836" s="71" t="str">
        <f>IFERROR(VLOOKUP(M836,NCAA_Bets[[Date]:[Version]],2,0),"")</f>
        <v/>
      </c>
      <c r="O836" s="94" t="str">
        <f>COUNTIFS(NCAA_Bets[Date],M836,NCAA_Bets[Result],"W")&amp;"-"&amp;COUNTIFS(NCAA_Bets[Date],M836,NCAA_Bets[Result],"L")&amp;IF(COUNTIFS(NCAA_Bets[Date],M836,NCAA_Bets[Result],"Push")&gt;0,"-"&amp;COUNTIFS(NCAA_Bets[Date],M836,NCAA_Bets[Result],"Push"),"")</f>
        <v>0-0</v>
      </c>
      <c r="P836" s="90">
        <f>SUMIF(NCAA_Bets[Date],M836,NCAA_Bets[Winnings])-SUMIF(NCAA_Bets[Date],M836,NCAA_Bets[Risk])</f>
        <v>0</v>
      </c>
    </row>
    <row r="837" spans="2:16" x14ac:dyDescent="0.25">
      <c r="B837" s="101">
        <f t="shared" si="35"/>
        <v>33</v>
      </c>
      <c r="L837" s="71">
        <f t="shared" si="37"/>
        <v>0</v>
      </c>
      <c r="M837" s="71">
        <f t="shared" si="36"/>
        <v>0</v>
      </c>
      <c r="N837" s="71" t="str">
        <f>IFERROR(VLOOKUP(M837,NCAA_Bets[[Date]:[Version]],2,0),"")</f>
        <v/>
      </c>
      <c r="O837" s="94" t="str">
        <f>COUNTIFS(NCAA_Bets[Date],M837,NCAA_Bets[Result],"W")&amp;"-"&amp;COUNTIFS(NCAA_Bets[Date],M837,NCAA_Bets[Result],"L")&amp;IF(COUNTIFS(NCAA_Bets[Date],M837,NCAA_Bets[Result],"Push")&gt;0,"-"&amp;COUNTIFS(NCAA_Bets[Date],M837,NCAA_Bets[Result],"Push"),"")</f>
        <v>0-0</v>
      </c>
      <c r="P837" s="90">
        <f>SUMIF(NCAA_Bets[Date],M837,NCAA_Bets[Winnings])-SUMIF(NCAA_Bets[Date],M837,NCAA_Bets[Risk])</f>
        <v>0</v>
      </c>
    </row>
    <row r="838" spans="2:16" x14ac:dyDescent="0.25">
      <c r="B838" s="101">
        <f t="shared" ref="B838:B901" si="38">IF(C838=C837,B837,B837+1)</f>
        <v>33</v>
      </c>
      <c r="L838" s="71">
        <f t="shared" si="37"/>
        <v>0</v>
      </c>
      <c r="M838" s="71">
        <f t="shared" si="36"/>
        <v>0</v>
      </c>
      <c r="N838" s="71" t="str">
        <f>IFERROR(VLOOKUP(M838,NCAA_Bets[[Date]:[Version]],2,0),"")</f>
        <v/>
      </c>
      <c r="O838" s="94" t="str">
        <f>COUNTIFS(NCAA_Bets[Date],M838,NCAA_Bets[Result],"W")&amp;"-"&amp;COUNTIFS(NCAA_Bets[Date],M838,NCAA_Bets[Result],"L")&amp;IF(COUNTIFS(NCAA_Bets[Date],M838,NCAA_Bets[Result],"Push")&gt;0,"-"&amp;COUNTIFS(NCAA_Bets[Date],M838,NCAA_Bets[Result],"Push"),"")</f>
        <v>0-0</v>
      </c>
      <c r="P838" s="90">
        <f>SUMIF(NCAA_Bets[Date],M838,NCAA_Bets[Winnings])-SUMIF(NCAA_Bets[Date],M838,NCAA_Bets[Risk])</f>
        <v>0</v>
      </c>
    </row>
    <row r="839" spans="2:16" x14ac:dyDescent="0.25">
      <c r="B839" s="101">
        <f t="shared" si="38"/>
        <v>33</v>
      </c>
      <c r="L839" s="71">
        <f t="shared" si="37"/>
        <v>0</v>
      </c>
      <c r="M839" s="71">
        <f t="shared" si="36"/>
        <v>0</v>
      </c>
      <c r="N839" s="71" t="str">
        <f>IFERROR(VLOOKUP(M839,NCAA_Bets[[Date]:[Version]],2,0),"")</f>
        <v/>
      </c>
      <c r="O839" s="94" t="str">
        <f>COUNTIFS(NCAA_Bets[Date],M839,NCAA_Bets[Result],"W")&amp;"-"&amp;COUNTIFS(NCAA_Bets[Date],M839,NCAA_Bets[Result],"L")&amp;IF(COUNTIFS(NCAA_Bets[Date],M839,NCAA_Bets[Result],"Push")&gt;0,"-"&amp;COUNTIFS(NCAA_Bets[Date],M839,NCAA_Bets[Result],"Push"),"")</f>
        <v>0-0</v>
      </c>
      <c r="P839" s="90">
        <f>SUMIF(NCAA_Bets[Date],M839,NCAA_Bets[Winnings])-SUMIF(NCAA_Bets[Date],M839,NCAA_Bets[Risk])</f>
        <v>0</v>
      </c>
    </row>
    <row r="840" spans="2:16" x14ac:dyDescent="0.25">
      <c r="B840" s="101">
        <f t="shared" si="38"/>
        <v>33</v>
      </c>
      <c r="L840" s="71">
        <f t="shared" si="37"/>
        <v>0</v>
      </c>
      <c r="M840" s="71">
        <f t="shared" si="36"/>
        <v>0</v>
      </c>
      <c r="N840" s="71" t="str">
        <f>IFERROR(VLOOKUP(M840,NCAA_Bets[[Date]:[Version]],2,0),"")</f>
        <v/>
      </c>
      <c r="O840" s="94" t="str">
        <f>COUNTIFS(NCAA_Bets[Date],M840,NCAA_Bets[Result],"W")&amp;"-"&amp;COUNTIFS(NCAA_Bets[Date],M840,NCAA_Bets[Result],"L")&amp;IF(COUNTIFS(NCAA_Bets[Date],M840,NCAA_Bets[Result],"Push")&gt;0,"-"&amp;COUNTIFS(NCAA_Bets[Date],M840,NCAA_Bets[Result],"Push"),"")</f>
        <v>0-0</v>
      </c>
      <c r="P840" s="90">
        <f>SUMIF(NCAA_Bets[Date],M840,NCAA_Bets[Winnings])-SUMIF(NCAA_Bets[Date],M840,NCAA_Bets[Risk])</f>
        <v>0</v>
      </c>
    </row>
    <row r="841" spans="2:16" x14ac:dyDescent="0.25">
      <c r="B841" s="101">
        <f t="shared" si="38"/>
        <v>33</v>
      </c>
      <c r="L841" s="71">
        <f t="shared" si="37"/>
        <v>0</v>
      </c>
      <c r="M841" s="71">
        <f t="shared" si="36"/>
        <v>0</v>
      </c>
      <c r="N841" s="71" t="str">
        <f>IFERROR(VLOOKUP(M841,NCAA_Bets[[Date]:[Version]],2,0),"")</f>
        <v/>
      </c>
      <c r="O841" s="94" t="str">
        <f>COUNTIFS(NCAA_Bets[Date],M841,NCAA_Bets[Result],"W")&amp;"-"&amp;COUNTIFS(NCAA_Bets[Date],M841,NCAA_Bets[Result],"L")&amp;IF(COUNTIFS(NCAA_Bets[Date],M841,NCAA_Bets[Result],"Push")&gt;0,"-"&amp;COUNTIFS(NCAA_Bets[Date],M841,NCAA_Bets[Result],"Push"),"")</f>
        <v>0-0</v>
      </c>
      <c r="P841" s="90">
        <f>SUMIF(NCAA_Bets[Date],M841,NCAA_Bets[Winnings])-SUMIF(NCAA_Bets[Date],M841,NCAA_Bets[Risk])</f>
        <v>0</v>
      </c>
    </row>
    <row r="842" spans="2:16" x14ac:dyDescent="0.25">
      <c r="B842" s="101">
        <f t="shared" si="38"/>
        <v>33</v>
      </c>
      <c r="L842" s="71">
        <f t="shared" si="37"/>
        <v>0</v>
      </c>
      <c r="M842" s="71">
        <f t="shared" si="36"/>
        <v>0</v>
      </c>
      <c r="N842" s="71" t="str">
        <f>IFERROR(VLOOKUP(M842,NCAA_Bets[[Date]:[Version]],2,0),"")</f>
        <v/>
      </c>
      <c r="O842" s="94" t="str">
        <f>COUNTIFS(NCAA_Bets[Date],M842,NCAA_Bets[Result],"W")&amp;"-"&amp;COUNTIFS(NCAA_Bets[Date],M842,NCAA_Bets[Result],"L")&amp;IF(COUNTIFS(NCAA_Bets[Date],M842,NCAA_Bets[Result],"Push")&gt;0,"-"&amp;COUNTIFS(NCAA_Bets[Date],M842,NCAA_Bets[Result],"Push"),"")</f>
        <v>0-0</v>
      </c>
      <c r="P842" s="90">
        <f>SUMIF(NCAA_Bets[Date],M842,NCAA_Bets[Winnings])-SUMIF(NCAA_Bets[Date],M842,NCAA_Bets[Risk])</f>
        <v>0</v>
      </c>
    </row>
    <row r="843" spans="2:16" x14ac:dyDescent="0.25">
      <c r="B843" s="101">
        <f t="shared" si="38"/>
        <v>33</v>
      </c>
      <c r="L843" s="71">
        <f t="shared" si="37"/>
        <v>0</v>
      </c>
      <c r="M843" s="71">
        <f t="shared" si="36"/>
        <v>0</v>
      </c>
      <c r="N843" s="71" t="str">
        <f>IFERROR(VLOOKUP(M843,NCAA_Bets[[Date]:[Version]],2,0),"")</f>
        <v/>
      </c>
      <c r="O843" s="94" t="str">
        <f>COUNTIFS(NCAA_Bets[Date],M843,NCAA_Bets[Result],"W")&amp;"-"&amp;COUNTIFS(NCAA_Bets[Date],M843,NCAA_Bets[Result],"L")&amp;IF(COUNTIFS(NCAA_Bets[Date],M843,NCAA_Bets[Result],"Push")&gt;0,"-"&amp;COUNTIFS(NCAA_Bets[Date],M843,NCAA_Bets[Result],"Push"),"")</f>
        <v>0-0</v>
      </c>
      <c r="P843" s="90">
        <f>SUMIF(NCAA_Bets[Date],M843,NCAA_Bets[Winnings])-SUMIF(NCAA_Bets[Date],M843,NCAA_Bets[Risk])</f>
        <v>0</v>
      </c>
    </row>
    <row r="844" spans="2:16" x14ac:dyDescent="0.25">
      <c r="B844" s="101">
        <f t="shared" si="38"/>
        <v>33</v>
      </c>
      <c r="L844" s="71">
        <f t="shared" si="37"/>
        <v>0</v>
      </c>
      <c r="M844" s="71">
        <f t="shared" si="36"/>
        <v>0</v>
      </c>
      <c r="N844" s="71" t="str">
        <f>IFERROR(VLOOKUP(M844,NCAA_Bets[[Date]:[Version]],2,0),"")</f>
        <v/>
      </c>
      <c r="O844" s="94" t="str">
        <f>COUNTIFS(NCAA_Bets[Date],M844,NCAA_Bets[Result],"W")&amp;"-"&amp;COUNTIFS(NCAA_Bets[Date],M844,NCAA_Bets[Result],"L")&amp;IF(COUNTIFS(NCAA_Bets[Date],M844,NCAA_Bets[Result],"Push")&gt;0,"-"&amp;COUNTIFS(NCAA_Bets[Date],M844,NCAA_Bets[Result],"Push"),"")</f>
        <v>0-0</v>
      </c>
      <c r="P844" s="90">
        <f>SUMIF(NCAA_Bets[Date],M844,NCAA_Bets[Winnings])-SUMIF(NCAA_Bets[Date],M844,NCAA_Bets[Risk])</f>
        <v>0</v>
      </c>
    </row>
    <row r="845" spans="2:16" x14ac:dyDescent="0.25">
      <c r="B845" s="101">
        <f t="shared" si="38"/>
        <v>33</v>
      </c>
      <c r="L845" s="71">
        <f t="shared" si="37"/>
        <v>0</v>
      </c>
      <c r="M845" s="71">
        <f t="shared" si="36"/>
        <v>0</v>
      </c>
      <c r="N845" s="71" t="str">
        <f>IFERROR(VLOOKUP(M845,NCAA_Bets[[Date]:[Version]],2,0),"")</f>
        <v/>
      </c>
      <c r="O845" s="94" t="str">
        <f>COUNTIFS(NCAA_Bets[Date],M845,NCAA_Bets[Result],"W")&amp;"-"&amp;COUNTIFS(NCAA_Bets[Date],M845,NCAA_Bets[Result],"L")&amp;IF(COUNTIFS(NCAA_Bets[Date],M845,NCAA_Bets[Result],"Push")&gt;0,"-"&amp;COUNTIFS(NCAA_Bets[Date],M845,NCAA_Bets[Result],"Push"),"")</f>
        <v>0-0</v>
      </c>
      <c r="P845" s="90">
        <f>SUMIF(NCAA_Bets[Date],M845,NCAA_Bets[Winnings])-SUMIF(NCAA_Bets[Date],M845,NCAA_Bets[Risk])</f>
        <v>0</v>
      </c>
    </row>
    <row r="846" spans="2:16" x14ac:dyDescent="0.25">
      <c r="B846" s="101">
        <f t="shared" si="38"/>
        <v>33</v>
      </c>
      <c r="L846" s="71">
        <f t="shared" si="37"/>
        <v>0</v>
      </c>
      <c r="M846" s="71">
        <f t="shared" si="36"/>
        <v>0</v>
      </c>
      <c r="N846" s="71" t="str">
        <f>IFERROR(VLOOKUP(M846,NCAA_Bets[[Date]:[Version]],2,0),"")</f>
        <v/>
      </c>
      <c r="O846" s="94" t="str">
        <f>COUNTIFS(NCAA_Bets[Date],M846,NCAA_Bets[Result],"W")&amp;"-"&amp;COUNTIFS(NCAA_Bets[Date],M846,NCAA_Bets[Result],"L")&amp;IF(COUNTIFS(NCAA_Bets[Date],M846,NCAA_Bets[Result],"Push")&gt;0,"-"&amp;COUNTIFS(NCAA_Bets[Date],M846,NCAA_Bets[Result],"Push"),"")</f>
        <v>0-0</v>
      </c>
      <c r="P846" s="90">
        <f>SUMIF(NCAA_Bets[Date],M846,NCAA_Bets[Winnings])-SUMIF(NCAA_Bets[Date],M846,NCAA_Bets[Risk])</f>
        <v>0</v>
      </c>
    </row>
    <row r="847" spans="2:16" x14ac:dyDescent="0.25">
      <c r="B847" s="101">
        <f t="shared" si="38"/>
        <v>33</v>
      </c>
      <c r="L847" s="71">
        <f t="shared" si="37"/>
        <v>0</v>
      </c>
      <c r="M847" s="71">
        <f t="shared" si="36"/>
        <v>0</v>
      </c>
      <c r="N847" s="71" t="str">
        <f>IFERROR(VLOOKUP(M847,NCAA_Bets[[Date]:[Version]],2,0),"")</f>
        <v/>
      </c>
      <c r="O847" s="94" t="str">
        <f>COUNTIFS(NCAA_Bets[Date],M847,NCAA_Bets[Result],"W")&amp;"-"&amp;COUNTIFS(NCAA_Bets[Date],M847,NCAA_Bets[Result],"L")&amp;IF(COUNTIFS(NCAA_Bets[Date],M847,NCAA_Bets[Result],"Push")&gt;0,"-"&amp;COUNTIFS(NCAA_Bets[Date],M847,NCAA_Bets[Result],"Push"),"")</f>
        <v>0-0</v>
      </c>
      <c r="P847" s="90">
        <f>SUMIF(NCAA_Bets[Date],M847,NCAA_Bets[Winnings])-SUMIF(NCAA_Bets[Date],M847,NCAA_Bets[Risk])</f>
        <v>0</v>
      </c>
    </row>
    <row r="848" spans="2:16" x14ac:dyDescent="0.25">
      <c r="B848" s="101">
        <f t="shared" si="38"/>
        <v>33</v>
      </c>
      <c r="L848" s="71">
        <f t="shared" si="37"/>
        <v>0</v>
      </c>
      <c r="M848" s="71">
        <f t="shared" si="36"/>
        <v>0</v>
      </c>
      <c r="N848" s="71" t="str">
        <f>IFERROR(VLOOKUP(M848,NCAA_Bets[[Date]:[Version]],2,0),"")</f>
        <v/>
      </c>
      <c r="O848" s="94" t="str">
        <f>COUNTIFS(NCAA_Bets[Date],M848,NCAA_Bets[Result],"W")&amp;"-"&amp;COUNTIFS(NCAA_Bets[Date],M848,NCAA_Bets[Result],"L")&amp;IF(COUNTIFS(NCAA_Bets[Date],M848,NCAA_Bets[Result],"Push")&gt;0,"-"&amp;COUNTIFS(NCAA_Bets[Date],M848,NCAA_Bets[Result],"Push"),"")</f>
        <v>0-0</v>
      </c>
      <c r="P848" s="90">
        <f>SUMIF(NCAA_Bets[Date],M848,NCAA_Bets[Winnings])-SUMIF(NCAA_Bets[Date],M848,NCAA_Bets[Risk])</f>
        <v>0</v>
      </c>
    </row>
    <row r="849" spans="2:16" x14ac:dyDescent="0.25">
      <c r="B849" s="101">
        <f t="shared" si="38"/>
        <v>33</v>
      </c>
      <c r="L849" s="71">
        <f t="shared" si="37"/>
        <v>0</v>
      </c>
      <c r="M849" s="71">
        <f t="shared" si="36"/>
        <v>0</v>
      </c>
      <c r="N849" s="71" t="str">
        <f>IFERROR(VLOOKUP(M849,NCAA_Bets[[Date]:[Version]],2,0),"")</f>
        <v/>
      </c>
      <c r="O849" s="94" t="str">
        <f>COUNTIFS(NCAA_Bets[Date],M849,NCAA_Bets[Result],"W")&amp;"-"&amp;COUNTIFS(NCAA_Bets[Date],M849,NCAA_Bets[Result],"L")&amp;IF(COUNTIFS(NCAA_Bets[Date],M849,NCAA_Bets[Result],"Push")&gt;0,"-"&amp;COUNTIFS(NCAA_Bets[Date],M849,NCAA_Bets[Result],"Push"),"")</f>
        <v>0-0</v>
      </c>
      <c r="P849" s="90">
        <f>SUMIF(NCAA_Bets[Date],M849,NCAA_Bets[Winnings])-SUMIF(NCAA_Bets[Date],M849,NCAA_Bets[Risk])</f>
        <v>0</v>
      </c>
    </row>
    <row r="850" spans="2:16" x14ac:dyDescent="0.25">
      <c r="B850" s="101">
        <f t="shared" si="38"/>
        <v>33</v>
      </c>
      <c r="L850" s="71">
        <f t="shared" si="37"/>
        <v>0</v>
      </c>
      <c r="M850" s="71">
        <f t="shared" si="36"/>
        <v>0</v>
      </c>
      <c r="N850" s="71" t="str">
        <f>IFERROR(VLOOKUP(M850,NCAA_Bets[[Date]:[Version]],2,0),"")</f>
        <v/>
      </c>
      <c r="O850" s="94" t="str">
        <f>COUNTIFS(NCAA_Bets[Date],M850,NCAA_Bets[Result],"W")&amp;"-"&amp;COUNTIFS(NCAA_Bets[Date],M850,NCAA_Bets[Result],"L")&amp;IF(COUNTIFS(NCAA_Bets[Date],M850,NCAA_Bets[Result],"Push")&gt;0,"-"&amp;COUNTIFS(NCAA_Bets[Date],M850,NCAA_Bets[Result],"Push"),"")</f>
        <v>0-0</v>
      </c>
      <c r="P850" s="90">
        <f>SUMIF(NCAA_Bets[Date],M850,NCAA_Bets[Winnings])-SUMIF(NCAA_Bets[Date],M850,NCAA_Bets[Risk])</f>
        <v>0</v>
      </c>
    </row>
    <row r="851" spans="2:16" x14ac:dyDescent="0.25">
      <c r="B851" s="101">
        <f t="shared" si="38"/>
        <v>33</v>
      </c>
      <c r="L851" s="71">
        <f t="shared" si="37"/>
        <v>0</v>
      </c>
      <c r="M851" s="71">
        <f t="shared" si="36"/>
        <v>0</v>
      </c>
      <c r="N851" s="71" t="str">
        <f>IFERROR(VLOOKUP(M851,NCAA_Bets[[Date]:[Version]],2,0),"")</f>
        <v/>
      </c>
      <c r="O851" s="94" t="str">
        <f>COUNTIFS(NCAA_Bets[Date],M851,NCAA_Bets[Result],"W")&amp;"-"&amp;COUNTIFS(NCAA_Bets[Date],M851,NCAA_Bets[Result],"L")&amp;IF(COUNTIFS(NCAA_Bets[Date],M851,NCAA_Bets[Result],"Push")&gt;0,"-"&amp;COUNTIFS(NCAA_Bets[Date],M851,NCAA_Bets[Result],"Push"),"")</f>
        <v>0-0</v>
      </c>
      <c r="P851" s="90">
        <f>SUMIF(NCAA_Bets[Date],M851,NCAA_Bets[Winnings])-SUMIF(NCAA_Bets[Date],M851,NCAA_Bets[Risk])</f>
        <v>0</v>
      </c>
    </row>
    <row r="852" spans="2:16" x14ac:dyDescent="0.25">
      <c r="B852" s="101">
        <f t="shared" si="38"/>
        <v>33</v>
      </c>
      <c r="L852" s="71">
        <f t="shared" si="37"/>
        <v>0</v>
      </c>
      <c r="M852" s="71">
        <f t="shared" si="36"/>
        <v>0</v>
      </c>
      <c r="N852" s="71" t="str">
        <f>IFERROR(VLOOKUP(M852,NCAA_Bets[[Date]:[Version]],2,0),"")</f>
        <v/>
      </c>
      <c r="O852" s="94" t="str">
        <f>COUNTIFS(NCAA_Bets[Date],M852,NCAA_Bets[Result],"W")&amp;"-"&amp;COUNTIFS(NCAA_Bets[Date],M852,NCAA_Bets[Result],"L")&amp;IF(COUNTIFS(NCAA_Bets[Date],M852,NCAA_Bets[Result],"Push")&gt;0,"-"&amp;COUNTIFS(NCAA_Bets[Date],M852,NCAA_Bets[Result],"Push"),"")</f>
        <v>0-0</v>
      </c>
      <c r="P852" s="90">
        <f>SUMIF(NCAA_Bets[Date],M852,NCAA_Bets[Winnings])-SUMIF(NCAA_Bets[Date],M852,NCAA_Bets[Risk])</f>
        <v>0</v>
      </c>
    </row>
    <row r="853" spans="2:16" x14ac:dyDescent="0.25">
      <c r="B853" s="101">
        <f t="shared" si="38"/>
        <v>33</v>
      </c>
      <c r="L853" s="71">
        <f t="shared" si="37"/>
        <v>0</v>
      </c>
      <c r="M853" s="71">
        <f t="shared" si="36"/>
        <v>0</v>
      </c>
      <c r="N853" s="71" t="str">
        <f>IFERROR(VLOOKUP(M853,NCAA_Bets[[Date]:[Version]],2,0),"")</f>
        <v/>
      </c>
      <c r="O853" s="94" t="str">
        <f>COUNTIFS(NCAA_Bets[Date],M853,NCAA_Bets[Result],"W")&amp;"-"&amp;COUNTIFS(NCAA_Bets[Date],M853,NCAA_Bets[Result],"L")&amp;IF(COUNTIFS(NCAA_Bets[Date],M853,NCAA_Bets[Result],"Push")&gt;0,"-"&amp;COUNTIFS(NCAA_Bets[Date],M853,NCAA_Bets[Result],"Push"),"")</f>
        <v>0-0</v>
      </c>
      <c r="P853" s="90">
        <f>SUMIF(NCAA_Bets[Date],M853,NCAA_Bets[Winnings])-SUMIF(NCAA_Bets[Date],M853,NCAA_Bets[Risk])</f>
        <v>0</v>
      </c>
    </row>
    <row r="854" spans="2:16" x14ac:dyDescent="0.25">
      <c r="B854" s="101">
        <f t="shared" si="38"/>
        <v>33</v>
      </c>
      <c r="L854" s="71">
        <f t="shared" si="37"/>
        <v>0</v>
      </c>
      <c r="M854" s="71">
        <f t="shared" si="36"/>
        <v>0</v>
      </c>
      <c r="N854" s="71" t="str">
        <f>IFERROR(VLOOKUP(M854,NCAA_Bets[[Date]:[Version]],2,0),"")</f>
        <v/>
      </c>
      <c r="O854" s="94" t="str">
        <f>COUNTIFS(NCAA_Bets[Date],M854,NCAA_Bets[Result],"W")&amp;"-"&amp;COUNTIFS(NCAA_Bets[Date],M854,NCAA_Bets[Result],"L")&amp;IF(COUNTIFS(NCAA_Bets[Date],M854,NCAA_Bets[Result],"Push")&gt;0,"-"&amp;COUNTIFS(NCAA_Bets[Date],M854,NCAA_Bets[Result],"Push"),"")</f>
        <v>0-0</v>
      </c>
      <c r="P854" s="90">
        <f>SUMIF(NCAA_Bets[Date],M854,NCAA_Bets[Winnings])-SUMIF(NCAA_Bets[Date],M854,NCAA_Bets[Risk])</f>
        <v>0</v>
      </c>
    </row>
    <row r="855" spans="2:16" x14ac:dyDescent="0.25">
      <c r="B855" s="101">
        <f t="shared" si="38"/>
        <v>33</v>
      </c>
      <c r="L855" s="71">
        <f t="shared" si="37"/>
        <v>0</v>
      </c>
      <c r="M855" s="71">
        <f t="shared" si="36"/>
        <v>0</v>
      </c>
      <c r="N855" s="71" t="str">
        <f>IFERROR(VLOOKUP(M855,NCAA_Bets[[Date]:[Version]],2,0),"")</f>
        <v/>
      </c>
      <c r="O855" s="94" t="str">
        <f>COUNTIFS(NCAA_Bets[Date],M855,NCAA_Bets[Result],"W")&amp;"-"&amp;COUNTIFS(NCAA_Bets[Date],M855,NCAA_Bets[Result],"L")&amp;IF(COUNTIFS(NCAA_Bets[Date],M855,NCAA_Bets[Result],"Push")&gt;0,"-"&amp;COUNTIFS(NCAA_Bets[Date],M855,NCAA_Bets[Result],"Push"),"")</f>
        <v>0-0</v>
      </c>
      <c r="P855" s="90">
        <f>SUMIF(NCAA_Bets[Date],M855,NCAA_Bets[Winnings])-SUMIF(NCAA_Bets[Date],M855,NCAA_Bets[Risk])</f>
        <v>0</v>
      </c>
    </row>
    <row r="856" spans="2:16" x14ac:dyDescent="0.25">
      <c r="B856" s="101">
        <f t="shared" si="38"/>
        <v>33</v>
      </c>
      <c r="L856" s="71">
        <f t="shared" si="37"/>
        <v>0</v>
      </c>
      <c r="M856" s="71">
        <f t="shared" si="36"/>
        <v>0</v>
      </c>
      <c r="N856" s="71" t="str">
        <f>IFERROR(VLOOKUP(M856,NCAA_Bets[[Date]:[Version]],2,0),"")</f>
        <v/>
      </c>
      <c r="O856" s="94" t="str">
        <f>COUNTIFS(NCAA_Bets[Date],M856,NCAA_Bets[Result],"W")&amp;"-"&amp;COUNTIFS(NCAA_Bets[Date],M856,NCAA_Bets[Result],"L")&amp;IF(COUNTIFS(NCAA_Bets[Date],M856,NCAA_Bets[Result],"Push")&gt;0,"-"&amp;COUNTIFS(NCAA_Bets[Date],M856,NCAA_Bets[Result],"Push"),"")</f>
        <v>0-0</v>
      </c>
      <c r="P856" s="90">
        <f>SUMIF(NCAA_Bets[Date],M856,NCAA_Bets[Winnings])-SUMIF(NCAA_Bets[Date],M856,NCAA_Bets[Risk])</f>
        <v>0</v>
      </c>
    </row>
    <row r="857" spans="2:16" x14ac:dyDescent="0.25">
      <c r="B857" s="101">
        <f t="shared" si="38"/>
        <v>33</v>
      </c>
      <c r="L857" s="71">
        <f t="shared" si="37"/>
        <v>0</v>
      </c>
      <c r="M857" s="71">
        <f t="shared" si="36"/>
        <v>0</v>
      </c>
      <c r="N857" s="71" t="str">
        <f>IFERROR(VLOOKUP(M857,NCAA_Bets[[Date]:[Version]],2,0),"")</f>
        <v/>
      </c>
      <c r="O857" s="94" t="str">
        <f>COUNTIFS(NCAA_Bets[Date],M857,NCAA_Bets[Result],"W")&amp;"-"&amp;COUNTIFS(NCAA_Bets[Date],M857,NCAA_Bets[Result],"L")&amp;IF(COUNTIFS(NCAA_Bets[Date],M857,NCAA_Bets[Result],"Push")&gt;0,"-"&amp;COUNTIFS(NCAA_Bets[Date],M857,NCAA_Bets[Result],"Push"),"")</f>
        <v>0-0</v>
      </c>
      <c r="P857" s="90">
        <f>SUMIF(NCAA_Bets[Date],M857,NCAA_Bets[Winnings])-SUMIF(NCAA_Bets[Date],M857,NCAA_Bets[Risk])</f>
        <v>0</v>
      </c>
    </row>
    <row r="858" spans="2:16" x14ac:dyDescent="0.25">
      <c r="B858" s="101">
        <f t="shared" si="38"/>
        <v>33</v>
      </c>
      <c r="L858" s="71">
        <f t="shared" si="37"/>
        <v>0</v>
      </c>
      <c r="M858" s="71">
        <f t="shared" ref="M858:M921" si="39">IFERROR(VLOOKUP(ROW()-4,B:C,2,0),0)</f>
        <v>0</v>
      </c>
      <c r="N858" s="71" t="str">
        <f>IFERROR(VLOOKUP(M858,NCAA_Bets[[Date]:[Version]],2,0),"")</f>
        <v/>
      </c>
      <c r="O858" s="94" t="str">
        <f>COUNTIFS(NCAA_Bets[Date],M858,NCAA_Bets[Result],"W")&amp;"-"&amp;COUNTIFS(NCAA_Bets[Date],M858,NCAA_Bets[Result],"L")&amp;IF(COUNTIFS(NCAA_Bets[Date],M858,NCAA_Bets[Result],"Push")&gt;0,"-"&amp;COUNTIFS(NCAA_Bets[Date],M858,NCAA_Bets[Result],"Push"),"")</f>
        <v>0-0</v>
      </c>
      <c r="P858" s="90">
        <f>SUMIF(NCAA_Bets[Date],M858,NCAA_Bets[Winnings])-SUMIF(NCAA_Bets[Date],M858,NCAA_Bets[Risk])</f>
        <v>0</v>
      </c>
    </row>
    <row r="859" spans="2:16" x14ac:dyDescent="0.25">
      <c r="B859" s="101">
        <f t="shared" si="38"/>
        <v>33</v>
      </c>
      <c r="L859" s="71">
        <f t="shared" si="37"/>
        <v>0</v>
      </c>
      <c r="M859" s="71">
        <f t="shared" si="39"/>
        <v>0</v>
      </c>
      <c r="N859" s="71" t="str">
        <f>IFERROR(VLOOKUP(M859,NCAA_Bets[[Date]:[Version]],2,0),"")</f>
        <v/>
      </c>
      <c r="O859" s="94" t="str">
        <f>COUNTIFS(NCAA_Bets[Date],M859,NCAA_Bets[Result],"W")&amp;"-"&amp;COUNTIFS(NCAA_Bets[Date],M859,NCAA_Bets[Result],"L")&amp;IF(COUNTIFS(NCAA_Bets[Date],M859,NCAA_Bets[Result],"Push")&gt;0,"-"&amp;COUNTIFS(NCAA_Bets[Date],M859,NCAA_Bets[Result],"Push"),"")</f>
        <v>0-0</v>
      </c>
      <c r="P859" s="90">
        <f>SUMIF(NCAA_Bets[Date],M859,NCAA_Bets[Winnings])-SUMIF(NCAA_Bets[Date],M859,NCAA_Bets[Risk])</f>
        <v>0</v>
      </c>
    </row>
    <row r="860" spans="2:16" x14ac:dyDescent="0.25">
      <c r="B860" s="101">
        <f t="shared" si="38"/>
        <v>33</v>
      </c>
      <c r="L860" s="71">
        <f t="shared" si="37"/>
        <v>0</v>
      </c>
      <c r="M860" s="71">
        <f t="shared" si="39"/>
        <v>0</v>
      </c>
      <c r="N860" s="71" t="str">
        <f>IFERROR(VLOOKUP(M860,NCAA_Bets[[Date]:[Version]],2,0),"")</f>
        <v/>
      </c>
      <c r="O860" s="94" t="str">
        <f>COUNTIFS(NCAA_Bets[Date],M860,NCAA_Bets[Result],"W")&amp;"-"&amp;COUNTIFS(NCAA_Bets[Date],M860,NCAA_Bets[Result],"L")&amp;IF(COUNTIFS(NCAA_Bets[Date],M860,NCAA_Bets[Result],"Push")&gt;0,"-"&amp;COUNTIFS(NCAA_Bets[Date],M860,NCAA_Bets[Result],"Push"),"")</f>
        <v>0-0</v>
      </c>
      <c r="P860" s="90">
        <f>SUMIF(NCAA_Bets[Date],M860,NCAA_Bets[Winnings])-SUMIF(NCAA_Bets[Date],M860,NCAA_Bets[Risk])</f>
        <v>0</v>
      </c>
    </row>
    <row r="861" spans="2:16" x14ac:dyDescent="0.25">
      <c r="B861" s="101">
        <f t="shared" si="38"/>
        <v>33</v>
      </c>
      <c r="L861" s="71">
        <f t="shared" si="37"/>
        <v>0</v>
      </c>
      <c r="M861" s="71">
        <f t="shared" si="39"/>
        <v>0</v>
      </c>
      <c r="N861" s="71" t="str">
        <f>IFERROR(VLOOKUP(M861,NCAA_Bets[[Date]:[Version]],2,0),"")</f>
        <v/>
      </c>
      <c r="O861" s="94" t="str">
        <f>COUNTIFS(NCAA_Bets[Date],M861,NCAA_Bets[Result],"W")&amp;"-"&amp;COUNTIFS(NCAA_Bets[Date],M861,NCAA_Bets[Result],"L")&amp;IF(COUNTIFS(NCAA_Bets[Date],M861,NCAA_Bets[Result],"Push")&gt;0,"-"&amp;COUNTIFS(NCAA_Bets[Date],M861,NCAA_Bets[Result],"Push"),"")</f>
        <v>0-0</v>
      </c>
      <c r="P861" s="90">
        <f>SUMIF(NCAA_Bets[Date],M861,NCAA_Bets[Winnings])-SUMIF(NCAA_Bets[Date],M861,NCAA_Bets[Risk])</f>
        <v>0</v>
      </c>
    </row>
    <row r="862" spans="2:16" x14ac:dyDescent="0.25">
      <c r="B862" s="101">
        <f t="shared" si="38"/>
        <v>33</v>
      </c>
      <c r="L862" s="71">
        <f t="shared" si="37"/>
        <v>0</v>
      </c>
      <c r="M862" s="71">
        <f t="shared" si="39"/>
        <v>0</v>
      </c>
      <c r="N862" s="71" t="str">
        <f>IFERROR(VLOOKUP(M862,NCAA_Bets[[Date]:[Version]],2,0),"")</f>
        <v/>
      </c>
      <c r="O862" s="94" t="str">
        <f>COUNTIFS(NCAA_Bets[Date],M862,NCAA_Bets[Result],"W")&amp;"-"&amp;COUNTIFS(NCAA_Bets[Date],M862,NCAA_Bets[Result],"L")&amp;IF(COUNTIFS(NCAA_Bets[Date],M862,NCAA_Bets[Result],"Push")&gt;0,"-"&amp;COUNTIFS(NCAA_Bets[Date],M862,NCAA_Bets[Result],"Push"),"")</f>
        <v>0-0</v>
      </c>
      <c r="P862" s="90">
        <f>SUMIF(NCAA_Bets[Date],M862,NCAA_Bets[Winnings])-SUMIF(NCAA_Bets[Date],M862,NCAA_Bets[Risk])</f>
        <v>0</v>
      </c>
    </row>
    <row r="863" spans="2:16" x14ac:dyDescent="0.25">
      <c r="B863" s="101">
        <f t="shared" si="38"/>
        <v>33</v>
      </c>
      <c r="L863" s="71">
        <f t="shared" si="37"/>
        <v>0</v>
      </c>
      <c r="M863" s="71">
        <f t="shared" si="39"/>
        <v>0</v>
      </c>
      <c r="N863" s="71" t="str">
        <f>IFERROR(VLOOKUP(M863,NCAA_Bets[[Date]:[Version]],2,0),"")</f>
        <v/>
      </c>
      <c r="O863" s="94" t="str">
        <f>COUNTIFS(NCAA_Bets[Date],M863,NCAA_Bets[Result],"W")&amp;"-"&amp;COUNTIFS(NCAA_Bets[Date],M863,NCAA_Bets[Result],"L")&amp;IF(COUNTIFS(NCAA_Bets[Date],M863,NCAA_Bets[Result],"Push")&gt;0,"-"&amp;COUNTIFS(NCAA_Bets[Date],M863,NCAA_Bets[Result],"Push"),"")</f>
        <v>0-0</v>
      </c>
      <c r="P863" s="90">
        <f>SUMIF(NCAA_Bets[Date],M863,NCAA_Bets[Winnings])-SUMIF(NCAA_Bets[Date],M863,NCAA_Bets[Risk])</f>
        <v>0</v>
      </c>
    </row>
    <row r="864" spans="2:16" x14ac:dyDescent="0.25">
      <c r="B864" s="101">
        <f t="shared" si="38"/>
        <v>33</v>
      </c>
      <c r="L864" s="71">
        <f t="shared" si="37"/>
        <v>0</v>
      </c>
      <c r="M864" s="71">
        <f t="shared" si="39"/>
        <v>0</v>
      </c>
      <c r="N864" s="71" t="str">
        <f>IFERROR(VLOOKUP(M864,NCAA_Bets[[Date]:[Version]],2,0),"")</f>
        <v/>
      </c>
      <c r="O864" s="94" t="str">
        <f>COUNTIFS(NCAA_Bets[Date],M864,NCAA_Bets[Result],"W")&amp;"-"&amp;COUNTIFS(NCAA_Bets[Date],M864,NCAA_Bets[Result],"L")&amp;IF(COUNTIFS(NCAA_Bets[Date],M864,NCAA_Bets[Result],"Push")&gt;0,"-"&amp;COUNTIFS(NCAA_Bets[Date],M864,NCAA_Bets[Result],"Push"),"")</f>
        <v>0-0</v>
      </c>
      <c r="P864" s="90">
        <f>SUMIF(NCAA_Bets[Date],M864,NCAA_Bets[Winnings])-SUMIF(NCAA_Bets[Date],M864,NCAA_Bets[Risk])</f>
        <v>0</v>
      </c>
    </row>
    <row r="865" spans="2:16" x14ac:dyDescent="0.25">
      <c r="B865" s="101">
        <f t="shared" si="38"/>
        <v>33</v>
      </c>
      <c r="L865" s="71">
        <f t="shared" si="37"/>
        <v>0</v>
      </c>
      <c r="M865" s="71">
        <f t="shared" si="39"/>
        <v>0</v>
      </c>
      <c r="N865" s="71" t="str">
        <f>IFERROR(VLOOKUP(M865,NCAA_Bets[[Date]:[Version]],2,0),"")</f>
        <v/>
      </c>
      <c r="O865" s="94" t="str">
        <f>COUNTIFS(NCAA_Bets[Date],M865,NCAA_Bets[Result],"W")&amp;"-"&amp;COUNTIFS(NCAA_Bets[Date],M865,NCAA_Bets[Result],"L")&amp;IF(COUNTIFS(NCAA_Bets[Date],M865,NCAA_Bets[Result],"Push")&gt;0,"-"&amp;COUNTIFS(NCAA_Bets[Date],M865,NCAA_Bets[Result],"Push"),"")</f>
        <v>0-0</v>
      </c>
      <c r="P865" s="90">
        <f>SUMIF(NCAA_Bets[Date],M865,NCAA_Bets[Winnings])-SUMIF(NCAA_Bets[Date],M865,NCAA_Bets[Risk])</f>
        <v>0</v>
      </c>
    </row>
    <row r="866" spans="2:16" x14ac:dyDescent="0.25">
      <c r="B866" s="101">
        <f t="shared" si="38"/>
        <v>33</v>
      </c>
      <c r="L866" s="71">
        <f t="shared" si="37"/>
        <v>0</v>
      </c>
      <c r="M866" s="71">
        <f t="shared" si="39"/>
        <v>0</v>
      </c>
      <c r="N866" s="71" t="str">
        <f>IFERROR(VLOOKUP(M866,NCAA_Bets[[Date]:[Version]],2,0),"")</f>
        <v/>
      </c>
      <c r="O866" s="94" t="str">
        <f>COUNTIFS(NCAA_Bets[Date],M866,NCAA_Bets[Result],"W")&amp;"-"&amp;COUNTIFS(NCAA_Bets[Date],M866,NCAA_Bets[Result],"L")&amp;IF(COUNTIFS(NCAA_Bets[Date],M866,NCAA_Bets[Result],"Push")&gt;0,"-"&amp;COUNTIFS(NCAA_Bets[Date],M866,NCAA_Bets[Result],"Push"),"")</f>
        <v>0-0</v>
      </c>
      <c r="P866" s="90">
        <f>SUMIF(NCAA_Bets[Date],M866,NCAA_Bets[Winnings])-SUMIF(NCAA_Bets[Date],M866,NCAA_Bets[Risk])</f>
        <v>0</v>
      </c>
    </row>
    <row r="867" spans="2:16" x14ac:dyDescent="0.25">
      <c r="B867" s="101">
        <f t="shared" si="38"/>
        <v>33</v>
      </c>
      <c r="L867" s="71">
        <f t="shared" si="37"/>
        <v>0</v>
      </c>
      <c r="M867" s="71">
        <f t="shared" si="39"/>
        <v>0</v>
      </c>
      <c r="N867" s="71" t="str">
        <f>IFERROR(VLOOKUP(M867,NCAA_Bets[[Date]:[Version]],2,0),"")</f>
        <v/>
      </c>
      <c r="O867" s="94" t="str">
        <f>COUNTIFS(NCAA_Bets[Date],M867,NCAA_Bets[Result],"W")&amp;"-"&amp;COUNTIFS(NCAA_Bets[Date],M867,NCAA_Bets[Result],"L")&amp;IF(COUNTIFS(NCAA_Bets[Date],M867,NCAA_Bets[Result],"Push")&gt;0,"-"&amp;COUNTIFS(NCAA_Bets[Date],M867,NCAA_Bets[Result],"Push"),"")</f>
        <v>0-0</v>
      </c>
      <c r="P867" s="90">
        <f>SUMIF(NCAA_Bets[Date],M867,NCAA_Bets[Winnings])-SUMIF(NCAA_Bets[Date],M867,NCAA_Bets[Risk])</f>
        <v>0</v>
      </c>
    </row>
    <row r="868" spans="2:16" x14ac:dyDescent="0.25">
      <c r="B868" s="101">
        <f t="shared" si="38"/>
        <v>33</v>
      </c>
      <c r="L868" s="71">
        <f t="shared" ref="L868:L931" si="40">IFERROR(VLOOKUP(ROW()-4,B:C,2,0),0)</f>
        <v>0</v>
      </c>
      <c r="M868" s="71">
        <f t="shared" si="39"/>
        <v>0</v>
      </c>
      <c r="N868" s="71" t="str">
        <f>IFERROR(VLOOKUP(M868,NCAA_Bets[[Date]:[Version]],2,0),"")</f>
        <v/>
      </c>
      <c r="O868" s="94" t="str">
        <f>COUNTIFS(NCAA_Bets[Date],M868,NCAA_Bets[Result],"W")&amp;"-"&amp;COUNTIFS(NCAA_Bets[Date],M868,NCAA_Bets[Result],"L")&amp;IF(COUNTIFS(NCAA_Bets[Date],M868,NCAA_Bets[Result],"Push")&gt;0,"-"&amp;COUNTIFS(NCAA_Bets[Date],M868,NCAA_Bets[Result],"Push"),"")</f>
        <v>0-0</v>
      </c>
      <c r="P868" s="90">
        <f>SUMIF(NCAA_Bets[Date],M868,NCAA_Bets[Winnings])-SUMIF(NCAA_Bets[Date],M868,NCAA_Bets[Risk])</f>
        <v>0</v>
      </c>
    </row>
    <row r="869" spans="2:16" x14ac:dyDescent="0.25">
      <c r="B869" s="101">
        <f t="shared" si="38"/>
        <v>33</v>
      </c>
      <c r="L869" s="71">
        <f t="shared" si="40"/>
        <v>0</v>
      </c>
      <c r="M869" s="71">
        <f t="shared" si="39"/>
        <v>0</v>
      </c>
      <c r="N869" s="71" t="str">
        <f>IFERROR(VLOOKUP(M869,NCAA_Bets[[Date]:[Version]],2,0),"")</f>
        <v/>
      </c>
      <c r="O869" s="94" t="str">
        <f>COUNTIFS(NCAA_Bets[Date],M869,NCAA_Bets[Result],"W")&amp;"-"&amp;COUNTIFS(NCAA_Bets[Date],M869,NCAA_Bets[Result],"L")&amp;IF(COUNTIFS(NCAA_Bets[Date],M869,NCAA_Bets[Result],"Push")&gt;0,"-"&amp;COUNTIFS(NCAA_Bets[Date],M869,NCAA_Bets[Result],"Push"),"")</f>
        <v>0-0</v>
      </c>
      <c r="P869" s="90">
        <f>SUMIF(NCAA_Bets[Date],M869,NCAA_Bets[Winnings])-SUMIF(NCAA_Bets[Date],M869,NCAA_Bets[Risk])</f>
        <v>0</v>
      </c>
    </row>
    <row r="870" spans="2:16" x14ac:dyDescent="0.25">
      <c r="B870" s="101">
        <f t="shared" si="38"/>
        <v>33</v>
      </c>
      <c r="L870" s="71">
        <f t="shared" si="40"/>
        <v>0</v>
      </c>
      <c r="M870" s="71">
        <f t="shared" si="39"/>
        <v>0</v>
      </c>
      <c r="N870" s="71" t="str">
        <f>IFERROR(VLOOKUP(M870,NCAA_Bets[[Date]:[Version]],2,0),"")</f>
        <v/>
      </c>
      <c r="O870" s="94" t="str">
        <f>COUNTIFS(NCAA_Bets[Date],M870,NCAA_Bets[Result],"W")&amp;"-"&amp;COUNTIFS(NCAA_Bets[Date],M870,NCAA_Bets[Result],"L")&amp;IF(COUNTIFS(NCAA_Bets[Date],M870,NCAA_Bets[Result],"Push")&gt;0,"-"&amp;COUNTIFS(NCAA_Bets[Date],M870,NCAA_Bets[Result],"Push"),"")</f>
        <v>0-0</v>
      </c>
      <c r="P870" s="90">
        <f>SUMIF(NCAA_Bets[Date],M870,NCAA_Bets[Winnings])-SUMIF(NCAA_Bets[Date],M870,NCAA_Bets[Risk])</f>
        <v>0</v>
      </c>
    </row>
    <row r="871" spans="2:16" x14ac:dyDescent="0.25">
      <c r="B871" s="101">
        <f t="shared" si="38"/>
        <v>33</v>
      </c>
      <c r="L871" s="71">
        <f t="shared" si="40"/>
        <v>0</v>
      </c>
      <c r="M871" s="71">
        <f t="shared" si="39"/>
        <v>0</v>
      </c>
      <c r="N871" s="71" t="str">
        <f>IFERROR(VLOOKUP(M871,NCAA_Bets[[Date]:[Version]],2,0),"")</f>
        <v/>
      </c>
      <c r="O871" s="94" t="str">
        <f>COUNTIFS(NCAA_Bets[Date],M871,NCAA_Bets[Result],"W")&amp;"-"&amp;COUNTIFS(NCAA_Bets[Date],M871,NCAA_Bets[Result],"L")&amp;IF(COUNTIFS(NCAA_Bets[Date],M871,NCAA_Bets[Result],"Push")&gt;0,"-"&amp;COUNTIFS(NCAA_Bets[Date],M871,NCAA_Bets[Result],"Push"),"")</f>
        <v>0-0</v>
      </c>
      <c r="P871" s="90">
        <f>SUMIF(NCAA_Bets[Date],M871,NCAA_Bets[Winnings])-SUMIF(NCAA_Bets[Date],M871,NCAA_Bets[Risk])</f>
        <v>0</v>
      </c>
    </row>
    <row r="872" spans="2:16" x14ac:dyDescent="0.25">
      <c r="B872" s="101">
        <f t="shared" si="38"/>
        <v>33</v>
      </c>
      <c r="L872" s="71">
        <f t="shared" si="40"/>
        <v>0</v>
      </c>
      <c r="M872" s="71">
        <f t="shared" si="39"/>
        <v>0</v>
      </c>
      <c r="N872" s="71" t="str">
        <f>IFERROR(VLOOKUP(M872,NCAA_Bets[[Date]:[Version]],2,0),"")</f>
        <v/>
      </c>
      <c r="O872" s="94" t="str">
        <f>COUNTIFS(NCAA_Bets[Date],M872,NCAA_Bets[Result],"W")&amp;"-"&amp;COUNTIFS(NCAA_Bets[Date],M872,NCAA_Bets[Result],"L")&amp;IF(COUNTIFS(NCAA_Bets[Date],M872,NCAA_Bets[Result],"Push")&gt;0,"-"&amp;COUNTIFS(NCAA_Bets[Date],M872,NCAA_Bets[Result],"Push"),"")</f>
        <v>0-0</v>
      </c>
      <c r="P872" s="90">
        <f>SUMIF(NCAA_Bets[Date],M872,NCAA_Bets[Winnings])-SUMIF(NCAA_Bets[Date],M872,NCAA_Bets[Risk])</f>
        <v>0</v>
      </c>
    </row>
    <row r="873" spans="2:16" x14ac:dyDescent="0.25">
      <c r="B873" s="101">
        <f t="shared" si="38"/>
        <v>33</v>
      </c>
      <c r="L873" s="71">
        <f t="shared" si="40"/>
        <v>0</v>
      </c>
      <c r="M873" s="71">
        <f t="shared" si="39"/>
        <v>0</v>
      </c>
      <c r="N873" s="71" t="str">
        <f>IFERROR(VLOOKUP(M873,NCAA_Bets[[Date]:[Version]],2,0),"")</f>
        <v/>
      </c>
      <c r="O873" s="94" t="str">
        <f>COUNTIFS(NCAA_Bets[Date],M873,NCAA_Bets[Result],"W")&amp;"-"&amp;COUNTIFS(NCAA_Bets[Date],M873,NCAA_Bets[Result],"L")&amp;IF(COUNTIFS(NCAA_Bets[Date],M873,NCAA_Bets[Result],"Push")&gt;0,"-"&amp;COUNTIFS(NCAA_Bets[Date],M873,NCAA_Bets[Result],"Push"),"")</f>
        <v>0-0</v>
      </c>
      <c r="P873" s="90">
        <f>SUMIF(NCAA_Bets[Date],M873,NCAA_Bets[Winnings])-SUMIF(NCAA_Bets[Date],M873,NCAA_Bets[Risk])</f>
        <v>0</v>
      </c>
    </row>
    <row r="874" spans="2:16" x14ac:dyDescent="0.25">
      <c r="B874" s="101">
        <f t="shared" si="38"/>
        <v>33</v>
      </c>
      <c r="L874" s="71">
        <f t="shared" si="40"/>
        <v>0</v>
      </c>
      <c r="M874" s="71">
        <f t="shared" si="39"/>
        <v>0</v>
      </c>
      <c r="N874" s="71" t="str">
        <f>IFERROR(VLOOKUP(M874,NCAA_Bets[[Date]:[Version]],2,0),"")</f>
        <v/>
      </c>
      <c r="O874" s="94" t="str">
        <f>COUNTIFS(NCAA_Bets[Date],M874,NCAA_Bets[Result],"W")&amp;"-"&amp;COUNTIFS(NCAA_Bets[Date],M874,NCAA_Bets[Result],"L")&amp;IF(COUNTIFS(NCAA_Bets[Date],M874,NCAA_Bets[Result],"Push")&gt;0,"-"&amp;COUNTIFS(NCAA_Bets[Date],M874,NCAA_Bets[Result],"Push"),"")</f>
        <v>0-0</v>
      </c>
      <c r="P874" s="90">
        <f>SUMIF(NCAA_Bets[Date],M874,NCAA_Bets[Winnings])-SUMIF(NCAA_Bets[Date],M874,NCAA_Bets[Risk])</f>
        <v>0</v>
      </c>
    </row>
    <row r="875" spans="2:16" x14ac:dyDescent="0.25">
      <c r="B875" s="101">
        <f t="shared" si="38"/>
        <v>33</v>
      </c>
      <c r="L875" s="71">
        <f t="shared" si="40"/>
        <v>0</v>
      </c>
      <c r="M875" s="71">
        <f t="shared" si="39"/>
        <v>0</v>
      </c>
      <c r="N875" s="71" t="str">
        <f>IFERROR(VLOOKUP(M875,NCAA_Bets[[Date]:[Version]],2,0),"")</f>
        <v/>
      </c>
      <c r="O875" s="94" t="str">
        <f>COUNTIFS(NCAA_Bets[Date],M875,NCAA_Bets[Result],"W")&amp;"-"&amp;COUNTIFS(NCAA_Bets[Date],M875,NCAA_Bets[Result],"L")&amp;IF(COUNTIFS(NCAA_Bets[Date],M875,NCAA_Bets[Result],"Push")&gt;0,"-"&amp;COUNTIFS(NCAA_Bets[Date],M875,NCAA_Bets[Result],"Push"),"")</f>
        <v>0-0</v>
      </c>
      <c r="P875" s="90">
        <f>SUMIF(NCAA_Bets[Date],M875,NCAA_Bets[Winnings])-SUMIF(NCAA_Bets[Date],M875,NCAA_Bets[Risk])</f>
        <v>0</v>
      </c>
    </row>
    <row r="876" spans="2:16" x14ac:dyDescent="0.25">
      <c r="B876" s="101">
        <f t="shared" si="38"/>
        <v>33</v>
      </c>
      <c r="L876" s="71">
        <f t="shared" si="40"/>
        <v>0</v>
      </c>
      <c r="M876" s="71">
        <f t="shared" si="39"/>
        <v>0</v>
      </c>
      <c r="N876" s="71" t="str">
        <f>IFERROR(VLOOKUP(M876,NCAA_Bets[[Date]:[Version]],2,0),"")</f>
        <v/>
      </c>
      <c r="O876" s="94" t="str">
        <f>COUNTIFS(NCAA_Bets[Date],M876,NCAA_Bets[Result],"W")&amp;"-"&amp;COUNTIFS(NCAA_Bets[Date],M876,NCAA_Bets[Result],"L")&amp;IF(COUNTIFS(NCAA_Bets[Date],M876,NCAA_Bets[Result],"Push")&gt;0,"-"&amp;COUNTIFS(NCAA_Bets[Date],M876,NCAA_Bets[Result],"Push"),"")</f>
        <v>0-0</v>
      </c>
      <c r="P876" s="90">
        <f>SUMIF(NCAA_Bets[Date],M876,NCAA_Bets[Winnings])-SUMIF(NCAA_Bets[Date],M876,NCAA_Bets[Risk])</f>
        <v>0</v>
      </c>
    </row>
    <row r="877" spans="2:16" x14ac:dyDescent="0.25">
      <c r="B877" s="101">
        <f t="shared" si="38"/>
        <v>33</v>
      </c>
      <c r="L877" s="71">
        <f t="shared" si="40"/>
        <v>0</v>
      </c>
      <c r="M877" s="71">
        <f t="shared" si="39"/>
        <v>0</v>
      </c>
      <c r="N877" s="71" t="str">
        <f>IFERROR(VLOOKUP(M877,NCAA_Bets[[Date]:[Version]],2,0),"")</f>
        <v/>
      </c>
      <c r="O877" s="94" t="str">
        <f>COUNTIFS(NCAA_Bets[Date],M877,NCAA_Bets[Result],"W")&amp;"-"&amp;COUNTIFS(NCAA_Bets[Date],M877,NCAA_Bets[Result],"L")&amp;IF(COUNTIFS(NCAA_Bets[Date],M877,NCAA_Bets[Result],"Push")&gt;0,"-"&amp;COUNTIFS(NCAA_Bets[Date],M877,NCAA_Bets[Result],"Push"),"")</f>
        <v>0-0</v>
      </c>
      <c r="P877" s="90">
        <f>SUMIF(NCAA_Bets[Date],M877,NCAA_Bets[Winnings])-SUMIF(NCAA_Bets[Date],M877,NCAA_Bets[Risk])</f>
        <v>0</v>
      </c>
    </row>
    <row r="878" spans="2:16" x14ac:dyDescent="0.25">
      <c r="B878" s="101">
        <f t="shared" si="38"/>
        <v>33</v>
      </c>
      <c r="L878" s="71">
        <f t="shared" si="40"/>
        <v>0</v>
      </c>
      <c r="M878" s="71">
        <f t="shared" si="39"/>
        <v>0</v>
      </c>
      <c r="N878" s="71" t="str">
        <f>IFERROR(VLOOKUP(M878,NCAA_Bets[[Date]:[Version]],2,0),"")</f>
        <v/>
      </c>
      <c r="O878" s="94" t="str">
        <f>COUNTIFS(NCAA_Bets[Date],M878,NCAA_Bets[Result],"W")&amp;"-"&amp;COUNTIFS(NCAA_Bets[Date],M878,NCAA_Bets[Result],"L")&amp;IF(COUNTIFS(NCAA_Bets[Date],M878,NCAA_Bets[Result],"Push")&gt;0,"-"&amp;COUNTIFS(NCAA_Bets[Date],M878,NCAA_Bets[Result],"Push"),"")</f>
        <v>0-0</v>
      </c>
      <c r="P878" s="90">
        <f>SUMIF(NCAA_Bets[Date],M878,NCAA_Bets[Winnings])-SUMIF(NCAA_Bets[Date],M878,NCAA_Bets[Risk])</f>
        <v>0</v>
      </c>
    </row>
    <row r="879" spans="2:16" x14ac:dyDescent="0.25">
      <c r="B879" s="101">
        <f t="shared" si="38"/>
        <v>33</v>
      </c>
      <c r="L879" s="71">
        <f t="shared" si="40"/>
        <v>0</v>
      </c>
      <c r="M879" s="71">
        <f t="shared" si="39"/>
        <v>0</v>
      </c>
      <c r="N879" s="71" t="str">
        <f>IFERROR(VLOOKUP(M879,NCAA_Bets[[Date]:[Version]],2,0),"")</f>
        <v/>
      </c>
      <c r="O879" s="94" t="str">
        <f>COUNTIFS(NCAA_Bets[Date],M879,NCAA_Bets[Result],"W")&amp;"-"&amp;COUNTIFS(NCAA_Bets[Date],M879,NCAA_Bets[Result],"L")&amp;IF(COUNTIFS(NCAA_Bets[Date],M879,NCAA_Bets[Result],"Push")&gt;0,"-"&amp;COUNTIFS(NCAA_Bets[Date],M879,NCAA_Bets[Result],"Push"),"")</f>
        <v>0-0</v>
      </c>
      <c r="P879" s="90">
        <f>SUMIF(NCAA_Bets[Date],M879,NCAA_Bets[Winnings])-SUMIF(NCAA_Bets[Date],M879,NCAA_Bets[Risk])</f>
        <v>0</v>
      </c>
    </row>
    <row r="880" spans="2:16" x14ac:dyDescent="0.25">
      <c r="B880" s="101">
        <f t="shared" si="38"/>
        <v>33</v>
      </c>
      <c r="L880" s="71">
        <f t="shared" si="40"/>
        <v>0</v>
      </c>
      <c r="M880" s="71">
        <f t="shared" si="39"/>
        <v>0</v>
      </c>
      <c r="N880" s="71" t="str">
        <f>IFERROR(VLOOKUP(M880,NCAA_Bets[[Date]:[Version]],2,0),"")</f>
        <v/>
      </c>
      <c r="O880" s="94" t="str">
        <f>COUNTIFS(NCAA_Bets[Date],M880,NCAA_Bets[Result],"W")&amp;"-"&amp;COUNTIFS(NCAA_Bets[Date],M880,NCAA_Bets[Result],"L")&amp;IF(COUNTIFS(NCAA_Bets[Date],M880,NCAA_Bets[Result],"Push")&gt;0,"-"&amp;COUNTIFS(NCAA_Bets[Date],M880,NCAA_Bets[Result],"Push"),"")</f>
        <v>0-0</v>
      </c>
      <c r="P880" s="90">
        <f>SUMIF(NCAA_Bets[Date],M880,NCAA_Bets[Winnings])-SUMIF(NCAA_Bets[Date],M880,NCAA_Bets[Risk])</f>
        <v>0</v>
      </c>
    </row>
    <row r="881" spans="2:16" x14ac:dyDescent="0.25">
      <c r="B881" s="101">
        <f t="shared" si="38"/>
        <v>33</v>
      </c>
      <c r="L881" s="71">
        <f t="shared" si="40"/>
        <v>0</v>
      </c>
      <c r="M881" s="71">
        <f t="shared" si="39"/>
        <v>0</v>
      </c>
      <c r="N881" s="71" t="str">
        <f>IFERROR(VLOOKUP(M881,NCAA_Bets[[Date]:[Version]],2,0),"")</f>
        <v/>
      </c>
      <c r="O881" s="94" t="str">
        <f>COUNTIFS(NCAA_Bets[Date],M881,NCAA_Bets[Result],"W")&amp;"-"&amp;COUNTIFS(NCAA_Bets[Date],M881,NCAA_Bets[Result],"L")&amp;IF(COUNTIFS(NCAA_Bets[Date],M881,NCAA_Bets[Result],"Push")&gt;0,"-"&amp;COUNTIFS(NCAA_Bets[Date],M881,NCAA_Bets[Result],"Push"),"")</f>
        <v>0-0</v>
      </c>
      <c r="P881" s="90">
        <f>SUMIF(NCAA_Bets[Date],M881,NCAA_Bets[Winnings])-SUMIF(NCAA_Bets[Date],M881,NCAA_Bets[Risk])</f>
        <v>0</v>
      </c>
    </row>
    <row r="882" spans="2:16" x14ac:dyDescent="0.25">
      <c r="B882" s="101">
        <f t="shared" si="38"/>
        <v>33</v>
      </c>
      <c r="L882" s="71">
        <f t="shared" si="40"/>
        <v>0</v>
      </c>
      <c r="M882" s="71">
        <f t="shared" si="39"/>
        <v>0</v>
      </c>
      <c r="N882" s="71" t="str">
        <f>IFERROR(VLOOKUP(M882,NCAA_Bets[[Date]:[Version]],2,0),"")</f>
        <v/>
      </c>
      <c r="O882" s="94" t="str">
        <f>COUNTIFS(NCAA_Bets[Date],M882,NCAA_Bets[Result],"W")&amp;"-"&amp;COUNTIFS(NCAA_Bets[Date],M882,NCAA_Bets[Result],"L")&amp;IF(COUNTIFS(NCAA_Bets[Date],M882,NCAA_Bets[Result],"Push")&gt;0,"-"&amp;COUNTIFS(NCAA_Bets[Date],M882,NCAA_Bets[Result],"Push"),"")</f>
        <v>0-0</v>
      </c>
      <c r="P882" s="90">
        <f>SUMIF(NCAA_Bets[Date],M882,NCAA_Bets[Winnings])-SUMIF(NCAA_Bets[Date],M882,NCAA_Bets[Risk])</f>
        <v>0</v>
      </c>
    </row>
    <row r="883" spans="2:16" x14ac:dyDescent="0.25">
      <c r="B883" s="101">
        <f t="shared" si="38"/>
        <v>33</v>
      </c>
      <c r="L883" s="71">
        <f t="shared" si="40"/>
        <v>0</v>
      </c>
      <c r="M883" s="71">
        <f t="shared" si="39"/>
        <v>0</v>
      </c>
      <c r="N883" s="71" t="str">
        <f>IFERROR(VLOOKUP(M883,NCAA_Bets[[Date]:[Version]],2,0),"")</f>
        <v/>
      </c>
      <c r="O883" s="94" t="str">
        <f>COUNTIFS(NCAA_Bets[Date],M883,NCAA_Bets[Result],"W")&amp;"-"&amp;COUNTIFS(NCAA_Bets[Date],M883,NCAA_Bets[Result],"L")&amp;IF(COUNTIFS(NCAA_Bets[Date],M883,NCAA_Bets[Result],"Push")&gt;0,"-"&amp;COUNTIFS(NCAA_Bets[Date],M883,NCAA_Bets[Result],"Push"),"")</f>
        <v>0-0</v>
      </c>
      <c r="P883" s="90">
        <f>SUMIF(NCAA_Bets[Date],M883,NCAA_Bets[Winnings])-SUMIF(NCAA_Bets[Date],M883,NCAA_Bets[Risk])</f>
        <v>0</v>
      </c>
    </row>
    <row r="884" spans="2:16" x14ac:dyDescent="0.25">
      <c r="B884" s="101">
        <f t="shared" si="38"/>
        <v>33</v>
      </c>
      <c r="L884" s="71">
        <f t="shared" si="40"/>
        <v>0</v>
      </c>
      <c r="M884" s="71">
        <f t="shared" si="39"/>
        <v>0</v>
      </c>
      <c r="N884" s="71" t="str">
        <f>IFERROR(VLOOKUP(M884,NCAA_Bets[[Date]:[Version]],2,0),"")</f>
        <v/>
      </c>
      <c r="O884" s="94" t="str">
        <f>COUNTIFS(NCAA_Bets[Date],M884,NCAA_Bets[Result],"W")&amp;"-"&amp;COUNTIFS(NCAA_Bets[Date],M884,NCAA_Bets[Result],"L")&amp;IF(COUNTIFS(NCAA_Bets[Date],M884,NCAA_Bets[Result],"Push")&gt;0,"-"&amp;COUNTIFS(NCAA_Bets[Date],M884,NCAA_Bets[Result],"Push"),"")</f>
        <v>0-0</v>
      </c>
      <c r="P884" s="90">
        <f>SUMIF(NCAA_Bets[Date],M884,NCAA_Bets[Winnings])-SUMIF(NCAA_Bets[Date],M884,NCAA_Bets[Risk])</f>
        <v>0</v>
      </c>
    </row>
    <row r="885" spans="2:16" x14ac:dyDescent="0.25">
      <c r="B885" s="101">
        <f t="shared" si="38"/>
        <v>33</v>
      </c>
      <c r="L885" s="71">
        <f t="shared" si="40"/>
        <v>0</v>
      </c>
      <c r="M885" s="71">
        <f t="shared" si="39"/>
        <v>0</v>
      </c>
      <c r="N885" s="71" t="str">
        <f>IFERROR(VLOOKUP(M885,NCAA_Bets[[Date]:[Version]],2,0),"")</f>
        <v/>
      </c>
      <c r="O885" s="94" t="str">
        <f>COUNTIFS(NCAA_Bets[Date],M885,NCAA_Bets[Result],"W")&amp;"-"&amp;COUNTIFS(NCAA_Bets[Date],M885,NCAA_Bets[Result],"L")&amp;IF(COUNTIFS(NCAA_Bets[Date],M885,NCAA_Bets[Result],"Push")&gt;0,"-"&amp;COUNTIFS(NCAA_Bets[Date],M885,NCAA_Bets[Result],"Push"),"")</f>
        <v>0-0</v>
      </c>
      <c r="P885" s="90">
        <f>SUMIF(NCAA_Bets[Date],M885,NCAA_Bets[Winnings])-SUMIF(NCAA_Bets[Date],M885,NCAA_Bets[Risk])</f>
        <v>0</v>
      </c>
    </row>
    <row r="886" spans="2:16" x14ac:dyDescent="0.25">
      <c r="B886" s="101">
        <f t="shared" si="38"/>
        <v>33</v>
      </c>
      <c r="L886" s="71">
        <f t="shared" si="40"/>
        <v>0</v>
      </c>
      <c r="M886" s="71">
        <f t="shared" si="39"/>
        <v>0</v>
      </c>
      <c r="N886" s="71" t="str">
        <f>IFERROR(VLOOKUP(M886,NCAA_Bets[[Date]:[Version]],2,0),"")</f>
        <v/>
      </c>
      <c r="O886" s="94" t="str">
        <f>COUNTIFS(NCAA_Bets[Date],M886,NCAA_Bets[Result],"W")&amp;"-"&amp;COUNTIFS(NCAA_Bets[Date],M886,NCAA_Bets[Result],"L")&amp;IF(COUNTIFS(NCAA_Bets[Date],M886,NCAA_Bets[Result],"Push")&gt;0,"-"&amp;COUNTIFS(NCAA_Bets[Date],M886,NCAA_Bets[Result],"Push"),"")</f>
        <v>0-0</v>
      </c>
      <c r="P886" s="90">
        <f>SUMIF(NCAA_Bets[Date],M886,NCAA_Bets[Winnings])-SUMIF(NCAA_Bets[Date],M886,NCAA_Bets[Risk])</f>
        <v>0</v>
      </c>
    </row>
    <row r="887" spans="2:16" x14ac:dyDescent="0.25">
      <c r="B887" s="101">
        <f t="shared" si="38"/>
        <v>33</v>
      </c>
      <c r="L887" s="71">
        <f t="shared" si="40"/>
        <v>0</v>
      </c>
      <c r="M887" s="71">
        <f t="shared" si="39"/>
        <v>0</v>
      </c>
      <c r="N887" s="71" t="str">
        <f>IFERROR(VLOOKUP(M887,NCAA_Bets[[Date]:[Version]],2,0),"")</f>
        <v/>
      </c>
      <c r="O887" s="94" t="str">
        <f>COUNTIFS(NCAA_Bets[Date],M887,NCAA_Bets[Result],"W")&amp;"-"&amp;COUNTIFS(NCAA_Bets[Date],M887,NCAA_Bets[Result],"L")&amp;IF(COUNTIFS(NCAA_Bets[Date],M887,NCAA_Bets[Result],"Push")&gt;0,"-"&amp;COUNTIFS(NCAA_Bets[Date],M887,NCAA_Bets[Result],"Push"),"")</f>
        <v>0-0</v>
      </c>
      <c r="P887" s="90">
        <f>SUMIF(NCAA_Bets[Date],M887,NCAA_Bets[Winnings])-SUMIF(NCAA_Bets[Date],M887,NCAA_Bets[Risk])</f>
        <v>0</v>
      </c>
    </row>
    <row r="888" spans="2:16" x14ac:dyDescent="0.25">
      <c r="B888" s="101">
        <f t="shared" si="38"/>
        <v>33</v>
      </c>
      <c r="L888" s="71">
        <f t="shared" si="40"/>
        <v>0</v>
      </c>
      <c r="M888" s="71">
        <f t="shared" si="39"/>
        <v>0</v>
      </c>
      <c r="N888" s="71" t="str">
        <f>IFERROR(VLOOKUP(M888,NCAA_Bets[[Date]:[Version]],2,0),"")</f>
        <v/>
      </c>
      <c r="O888" s="94" t="str">
        <f>COUNTIFS(NCAA_Bets[Date],M888,NCAA_Bets[Result],"W")&amp;"-"&amp;COUNTIFS(NCAA_Bets[Date],M888,NCAA_Bets[Result],"L")&amp;IF(COUNTIFS(NCAA_Bets[Date],M888,NCAA_Bets[Result],"Push")&gt;0,"-"&amp;COUNTIFS(NCAA_Bets[Date],M888,NCAA_Bets[Result],"Push"),"")</f>
        <v>0-0</v>
      </c>
      <c r="P888" s="90">
        <f>SUMIF(NCAA_Bets[Date],M888,NCAA_Bets[Winnings])-SUMIF(NCAA_Bets[Date],M888,NCAA_Bets[Risk])</f>
        <v>0</v>
      </c>
    </row>
    <row r="889" spans="2:16" x14ac:dyDescent="0.25">
      <c r="B889" s="101">
        <f t="shared" si="38"/>
        <v>33</v>
      </c>
      <c r="L889" s="71">
        <f t="shared" si="40"/>
        <v>0</v>
      </c>
      <c r="M889" s="71">
        <f t="shared" si="39"/>
        <v>0</v>
      </c>
      <c r="N889" s="71" t="str">
        <f>IFERROR(VLOOKUP(M889,NCAA_Bets[[Date]:[Version]],2,0),"")</f>
        <v/>
      </c>
      <c r="O889" s="94" t="str">
        <f>COUNTIFS(NCAA_Bets[Date],M889,NCAA_Bets[Result],"W")&amp;"-"&amp;COUNTIFS(NCAA_Bets[Date],M889,NCAA_Bets[Result],"L")&amp;IF(COUNTIFS(NCAA_Bets[Date],M889,NCAA_Bets[Result],"Push")&gt;0,"-"&amp;COUNTIFS(NCAA_Bets[Date],M889,NCAA_Bets[Result],"Push"),"")</f>
        <v>0-0</v>
      </c>
      <c r="P889" s="90">
        <f>SUMIF(NCAA_Bets[Date],M889,NCAA_Bets[Winnings])-SUMIF(NCAA_Bets[Date],M889,NCAA_Bets[Risk])</f>
        <v>0</v>
      </c>
    </row>
    <row r="890" spans="2:16" x14ac:dyDescent="0.25">
      <c r="B890" s="101">
        <f t="shared" si="38"/>
        <v>33</v>
      </c>
      <c r="L890" s="71">
        <f t="shared" si="40"/>
        <v>0</v>
      </c>
      <c r="M890" s="71">
        <f t="shared" si="39"/>
        <v>0</v>
      </c>
      <c r="N890" s="71" t="str">
        <f>IFERROR(VLOOKUP(M890,NCAA_Bets[[Date]:[Version]],2,0),"")</f>
        <v/>
      </c>
      <c r="O890" s="94" t="str">
        <f>COUNTIFS(NCAA_Bets[Date],M890,NCAA_Bets[Result],"W")&amp;"-"&amp;COUNTIFS(NCAA_Bets[Date],M890,NCAA_Bets[Result],"L")&amp;IF(COUNTIFS(NCAA_Bets[Date],M890,NCAA_Bets[Result],"Push")&gt;0,"-"&amp;COUNTIFS(NCAA_Bets[Date],M890,NCAA_Bets[Result],"Push"),"")</f>
        <v>0-0</v>
      </c>
      <c r="P890" s="90">
        <f>SUMIF(NCAA_Bets[Date],M890,NCAA_Bets[Winnings])-SUMIF(NCAA_Bets[Date],M890,NCAA_Bets[Risk])</f>
        <v>0</v>
      </c>
    </row>
    <row r="891" spans="2:16" x14ac:dyDescent="0.25">
      <c r="B891" s="101">
        <f t="shared" si="38"/>
        <v>33</v>
      </c>
      <c r="L891" s="71">
        <f t="shared" si="40"/>
        <v>0</v>
      </c>
      <c r="M891" s="71">
        <f t="shared" si="39"/>
        <v>0</v>
      </c>
      <c r="N891" s="71" t="str">
        <f>IFERROR(VLOOKUP(M891,NCAA_Bets[[Date]:[Version]],2,0),"")</f>
        <v/>
      </c>
      <c r="O891" s="94" t="str">
        <f>COUNTIFS(NCAA_Bets[Date],M891,NCAA_Bets[Result],"W")&amp;"-"&amp;COUNTIFS(NCAA_Bets[Date],M891,NCAA_Bets[Result],"L")&amp;IF(COUNTIFS(NCAA_Bets[Date],M891,NCAA_Bets[Result],"Push")&gt;0,"-"&amp;COUNTIFS(NCAA_Bets[Date],M891,NCAA_Bets[Result],"Push"),"")</f>
        <v>0-0</v>
      </c>
      <c r="P891" s="90">
        <f>SUMIF(NCAA_Bets[Date],M891,NCAA_Bets[Winnings])-SUMIF(NCAA_Bets[Date],M891,NCAA_Bets[Risk])</f>
        <v>0</v>
      </c>
    </row>
    <row r="892" spans="2:16" x14ac:dyDescent="0.25">
      <c r="B892" s="101">
        <f t="shared" si="38"/>
        <v>33</v>
      </c>
      <c r="L892" s="71">
        <f t="shared" si="40"/>
        <v>0</v>
      </c>
      <c r="M892" s="71">
        <f t="shared" si="39"/>
        <v>0</v>
      </c>
      <c r="N892" s="71" t="str">
        <f>IFERROR(VLOOKUP(M892,NCAA_Bets[[Date]:[Version]],2,0),"")</f>
        <v/>
      </c>
      <c r="O892" s="94" t="str">
        <f>COUNTIFS(NCAA_Bets[Date],M892,NCAA_Bets[Result],"W")&amp;"-"&amp;COUNTIFS(NCAA_Bets[Date],M892,NCAA_Bets[Result],"L")&amp;IF(COUNTIFS(NCAA_Bets[Date],M892,NCAA_Bets[Result],"Push")&gt;0,"-"&amp;COUNTIFS(NCAA_Bets[Date],M892,NCAA_Bets[Result],"Push"),"")</f>
        <v>0-0</v>
      </c>
      <c r="P892" s="90">
        <f>SUMIF(NCAA_Bets[Date],M892,NCAA_Bets[Winnings])-SUMIF(NCAA_Bets[Date],M892,NCAA_Bets[Risk])</f>
        <v>0</v>
      </c>
    </row>
    <row r="893" spans="2:16" x14ac:dyDescent="0.25">
      <c r="B893" s="101">
        <f t="shared" si="38"/>
        <v>33</v>
      </c>
      <c r="L893" s="71">
        <f t="shared" si="40"/>
        <v>0</v>
      </c>
      <c r="M893" s="71">
        <f t="shared" si="39"/>
        <v>0</v>
      </c>
      <c r="N893" s="71" t="str">
        <f>IFERROR(VLOOKUP(M893,NCAA_Bets[[Date]:[Version]],2,0),"")</f>
        <v/>
      </c>
      <c r="O893" s="94" t="str">
        <f>COUNTIFS(NCAA_Bets[Date],M893,NCAA_Bets[Result],"W")&amp;"-"&amp;COUNTIFS(NCAA_Bets[Date],M893,NCAA_Bets[Result],"L")&amp;IF(COUNTIFS(NCAA_Bets[Date],M893,NCAA_Bets[Result],"Push")&gt;0,"-"&amp;COUNTIFS(NCAA_Bets[Date],M893,NCAA_Bets[Result],"Push"),"")</f>
        <v>0-0</v>
      </c>
      <c r="P893" s="90">
        <f>SUMIF(NCAA_Bets[Date],M893,NCAA_Bets[Winnings])-SUMIF(NCAA_Bets[Date],M893,NCAA_Bets[Risk])</f>
        <v>0</v>
      </c>
    </row>
    <row r="894" spans="2:16" x14ac:dyDescent="0.25">
      <c r="B894" s="101">
        <f t="shared" si="38"/>
        <v>33</v>
      </c>
      <c r="L894" s="71">
        <f t="shared" si="40"/>
        <v>0</v>
      </c>
      <c r="M894" s="71">
        <f t="shared" si="39"/>
        <v>0</v>
      </c>
      <c r="N894" s="71" t="str">
        <f>IFERROR(VLOOKUP(M894,NCAA_Bets[[Date]:[Version]],2,0),"")</f>
        <v/>
      </c>
      <c r="O894" s="94" t="str">
        <f>COUNTIFS(NCAA_Bets[Date],M894,NCAA_Bets[Result],"W")&amp;"-"&amp;COUNTIFS(NCAA_Bets[Date],M894,NCAA_Bets[Result],"L")&amp;IF(COUNTIFS(NCAA_Bets[Date],M894,NCAA_Bets[Result],"Push")&gt;0,"-"&amp;COUNTIFS(NCAA_Bets[Date],M894,NCAA_Bets[Result],"Push"),"")</f>
        <v>0-0</v>
      </c>
      <c r="P894" s="90">
        <f>SUMIF(NCAA_Bets[Date],M894,NCAA_Bets[Winnings])-SUMIF(NCAA_Bets[Date],M894,NCAA_Bets[Risk])</f>
        <v>0</v>
      </c>
    </row>
    <row r="895" spans="2:16" x14ac:dyDescent="0.25">
      <c r="B895" s="101">
        <f t="shared" si="38"/>
        <v>33</v>
      </c>
      <c r="L895" s="71">
        <f t="shared" si="40"/>
        <v>0</v>
      </c>
      <c r="M895" s="71">
        <f t="shared" si="39"/>
        <v>0</v>
      </c>
      <c r="N895" s="71" t="str">
        <f>IFERROR(VLOOKUP(M895,NCAA_Bets[[Date]:[Version]],2,0),"")</f>
        <v/>
      </c>
      <c r="O895" s="94" t="str">
        <f>COUNTIFS(NCAA_Bets[Date],M895,NCAA_Bets[Result],"W")&amp;"-"&amp;COUNTIFS(NCAA_Bets[Date],M895,NCAA_Bets[Result],"L")&amp;IF(COUNTIFS(NCAA_Bets[Date],M895,NCAA_Bets[Result],"Push")&gt;0,"-"&amp;COUNTIFS(NCAA_Bets[Date],M895,NCAA_Bets[Result],"Push"),"")</f>
        <v>0-0</v>
      </c>
      <c r="P895" s="90">
        <f>SUMIF(NCAA_Bets[Date],M895,NCAA_Bets[Winnings])-SUMIF(NCAA_Bets[Date],M895,NCAA_Bets[Risk])</f>
        <v>0</v>
      </c>
    </row>
    <row r="896" spans="2:16" x14ac:dyDescent="0.25">
      <c r="B896" s="101">
        <f t="shared" si="38"/>
        <v>33</v>
      </c>
      <c r="L896" s="71">
        <f t="shared" si="40"/>
        <v>0</v>
      </c>
      <c r="M896" s="71">
        <f t="shared" si="39"/>
        <v>0</v>
      </c>
      <c r="N896" s="71" t="str">
        <f>IFERROR(VLOOKUP(M896,NCAA_Bets[[Date]:[Version]],2,0),"")</f>
        <v/>
      </c>
      <c r="O896" s="94" t="str">
        <f>COUNTIFS(NCAA_Bets[Date],M896,NCAA_Bets[Result],"W")&amp;"-"&amp;COUNTIFS(NCAA_Bets[Date],M896,NCAA_Bets[Result],"L")&amp;IF(COUNTIFS(NCAA_Bets[Date],M896,NCAA_Bets[Result],"Push")&gt;0,"-"&amp;COUNTIFS(NCAA_Bets[Date],M896,NCAA_Bets[Result],"Push"),"")</f>
        <v>0-0</v>
      </c>
      <c r="P896" s="90">
        <f>SUMIF(NCAA_Bets[Date],M896,NCAA_Bets[Winnings])-SUMIF(NCAA_Bets[Date],M896,NCAA_Bets[Risk])</f>
        <v>0</v>
      </c>
    </row>
    <row r="897" spans="2:16" x14ac:dyDescent="0.25">
      <c r="B897" s="101">
        <f t="shared" si="38"/>
        <v>33</v>
      </c>
      <c r="L897" s="71">
        <f t="shared" si="40"/>
        <v>0</v>
      </c>
      <c r="M897" s="71">
        <f t="shared" si="39"/>
        <v>0</v>
      </c>
      <c r="N897" s="71" t="str">
        <f>IFERROR(VLOOKUP(M897,NCAA_Bets[[Date]:[Version]],2,0),"")</f>
        <v/>
      </c>
      <c r="O897" s="94" t="str">
        <f>COUNTIFS(NCAA_Bets[Date],M897,NCAA_Bets[Result],"W")&amp;"-"&amp;COUNTIFS(NCAA_Bets[Date],M897,NCAA_Bets[Result],"L")&amp;IF(COUNTIFS(NCAA_Bets[Date],M897,NCAA_Bets[Result],"Push")&gt;0,"-"&amp;COUNTIFS(NCAA_Bets[Date],M897,NCAA_Bets[Result],"Push"),"")</f>
        <v>0-0</v>
      </c>
      <c r="P897" s="90">
        <f>SUMIF(NCAA_Bets[Date],M897,NCAA_Bets[Winnings])-SUMIF(NCAA_Bets[Date],M897,NCAA_Bets[Risk])</f>
        <v>0</v>
      </c>
    </row>
    <row r="898" spans="2:16" x14ac:dyDescent="0.25">
      <c r="B898" s="101">
        <f t="shared" si="38"/>
        <v>33</v>
      </c>
      <c r="L898" s="71">
        <f t="shared" si="40"/>
        <v>0</v>
      </c>
      <c r="M898" s="71">
        <f t="shared" si="39"/>
        <v>0</v>
      </c>
      <c r="N898" s="71" t="str">
        <f>IFERROR(VLOOKUP(M898,NCAA_Bets[[Date]:[Version]],2,0),"")</f>
        <v/>
      </c>
      <c r="O898" s="94" t="str">
        <f>COUNTIFS(NCAA_Bets[Date],M898,NCAA_Bets[Result],"W")&amp;"-"&amp;COUNTIFS(NCAA_Bets[Date],M898,NCAA_Bets[Result],"L")&amp;IF(COUNTIFS(NCAA_Bets[Date],M898,NCAA_Bets[Result],"Push")&gt;0,"-"&amp;COUNTIFS(NCAA_Bets[Date],M898,NCAA_Bets[Result],"Push"),"")</f>
        <v>0-0</v>
      </c>
      <c r="P898" s="90">
        <f>SUMIF(NCAA_Bets[Date],M898,NCAA_Bets[Winnings])-SUMIF(NCAA_Bets[Date],M898,NCAA_Bets[Risk])</f>
        <v>0</v>
      </c>
    </row>
    <row r="899" spans="2:16" x14ac:dyDescent="0.25">
      <c r="B899" s="101">
        <f t="shared" si="38"/>
        <v>33</v>
      </c>
      <c r="L899" s="71">
        <f t="shared" si="40"/>
        <v>0</v>
      </c>
      <c r="M899" s="71">
        <f t="shared" si="39"/>
        <v>0</v>
      </c>
      <c r="N899" s="71" t="str">
        <f>IFERROR(VLOOKUP(M899,NCAA_Bets[[Date]:[Version]],2,0),"")</f>
        <v/>
      </c>
      <c r="O899" s="94" t="str">
        <f>COUNTIFS(NCAA_Bets[Date],M899,NCAA_Bets[Result],"W")&amp;"-"&amp;COUNTIFS(NCAA_Bets[Date],M899,NCAA_Bets[Result],"L")&amp;IF(COUNTIFS(NCAA_Bets[Date],M899,NCAA_Bets[Result],"Push")&gt;0,"-"&amp;COUNTIFS(NCAA_Bets[Date],M899,NCAA_Bets[Result],"Push"),"")</f>
        <v>0-0</v>
      </c>
      <c r="P899" s="90">
        <f>SUMIF(NCAA_Bets[Date],M899,NCAA_Bets[Winnings])-SUMIF(NCAA_Bets[Date],M899,NCAA_Bets[Risk])</f>
        <v>0</v>
      </c>
    </row>
    <row r="900" spans="2:16" x14ac:dyDescent="0.25">
      <c r="B900" s="101">
        <f t="shared" si="38"/>
        <v>33</v>
      </c>
      <c r="L900" s="71">
        <f t="shared" si="40"/>
        <v>0</v>
      </c>
      <c r="M900" s="71">
        <f t="shared" si="39"/>
        <v>0</v>
      </c>
      <c r="N900" s="71" t="str">
        <f>IFERROR(VLOOKUP(M900,NCAA_Bets[[Date]:[Version]],2,0),"")</f>
        <v/>
      </c>
      <c r="O900" s="94" t="str">
        <f>COUNTIFS(NCAA_Bets[Date],M900,NCAA_Bets[Result],"W")&amp;"-"&amp;COUNTIFS(NCAA_Bets[Date],M900,NCAA_Bets[Result],"L")&amp;IF(COUNTIFS(NCAA_Bets[Date],M900,NCAA_Bets[Result],"Push")&gt;0,"-"&amp;COUNTIFS(NCAA_Bets[Date],M900,NCAA_Bets[Result],"Push"),"")</f>
        <v>0-0</v>
      </c>
      <c r="P900" s="90">
        <f>SUMIF(NCAA_Bets[Date],M900,NCAA_Bets[Winnings])-SUMIF(NCAA_Bets[Date],M900,NCAA_Bets[Risk])</f>
        <v>0</v>
      </c>
    </row>
    <row r="901" spans="2:16" x14ac:dyDescent="0.25">
      <c r="B901" s="101">
        <f t="shared" si="38"/>
        <v>33</v>
      </c>
      <c r="L901" s="71">
        <f t="shared" si="40"/>
        <v>0</v>
      </c>
      <c r="M901" s="71">
        <f t="shared" si="39"/>
        <v>0</v>
      </c>
      <c r="N901" s="71" t="str">
        <f>IFERROR(VLOOKUP(M901,NCAA_Bets[[Date]:[Version]],2,0),"")</f>
        <v/>
      </c>
      <c r="O901" s="94" t="str">
        <f>COUNTIFS(NCAA_Bets[Date],M901,NCAA_Bets[Result],"W")&amp;"-"&amp;COUNTIFS(NCAA_Bets[Date],M901,NCAA_Bets[Result],"L")&amp;IF(COUNTIFS(NCAA_Bets[Date],M901,NCAA_Bets[Result],"Push")&gt;0,"-"&amp;COUNTIFS(NCAA_Bets[Date],M901,NCAA_Bets[Result],"Push"),"")</f>
        <v>0-0</v>
      </c>
      <c r="P901" s="90">
        <f>SUMIF(NCAA_Bets[Date],M901,NCAA_Bets[Winnings])-SUMIF(NCAA_Bets[Date],M901,NCAA_Bets[Risk])</f>
        <v>0</v>
      </c>
    </row>
    <row r="902" spans="2:16" x14ac:dyDescent="0.25">
      <c r="B902" s="101">
        <f t="shared" ref="B902:B965" si="41">IF(C902=C901,B901,B901+1)</f>
        <v>33</v>
      </c>
      <c r="L902" s="71">
        <f t="shared" si="40"/>
        <v>0</v>
      </c>
      <c r="M902" s="71">
        <f t="shared" si="39"/>
        <v>0</v>
      </c>
      <c r="N902" s="71" t="str">
        <f>IFERROR(VLOOKUP(M902,NCAA_Bets[[Date]:[Version]],2,0),"")</f>
        <v/>
      </c>
      <c r="O902" s="94" t="str">
        <f>COUNTIFS(NCAA_Bets[Date],M902,NCAA_Bets[Result],"W")&amp;"-"&amp;COUNTIFS(NCAA_Bets[Date],M902,NCAA_Bets[Result],"L")&amp;IF(COUNTIFS(NCAA_Bets[Date],M902,NCAA_Bets[Result],"Push")&gt;0,"-"&amp;COUNTIFS(NCAA_Bets[Date],M902,NCAA_Bets[Result],"Push"),"")</f>
        <v>0-0</v>
      </c>
      <c r="P902" s="90">
        <f>SUMIF(NCAA_Bets[Date],M902,NCAA_Bets[Winnings])-SUMIF(NCAA_Bets[Date],M902,NCAA_Bets[Risk])</f>
        <v>0</v>
      </c>
    </row>
    <row r="903" spans="2:16" x14ac:dyDescent="0.25">
      <c r="B903" s="101">
        <f t="shared" si="41"/>
        <v>33</v>
      </c>
      <c r="L903" s="71">
        <f t="shared" si="40"/>
        <v>0</v>
      </c>
      <c r="M903" s="71">
        <f t="shared" si="39"/>
        <v>0</v>
      </c>
      <c r="N903" s="71" t="str">
        <f>IFERROR(VLOOKUP(M903,NCAA_Bets[[Date]:[Version]],2,0),"")</f>
        <v/>
      </c>
      <c r="O903" s="94" t="str">
        <f>COUNTIFS(NCAA_Bets[Date],M903,NCAA_Bets[Result],"W")&amp;"-"&amp;COUNTIFS(NCAA_Bets[Date],M903,NCAA_Bets[Result],"L")&amp;IF(COUNTIFS(NCAA_Bets[Date],M903,NCAA_Bets[Result],"Push")&gt;0,"-"&amp;COUNTIFS(NCAA_Bets[Date],M903,NCAA_Bets[Result],"Push"),"")</f>
        <v>0-0</v>
      </c>
      <c r="P903" s="90">
        <f>SUMIF(NCAA_Bets[Date],M903,NCAA_Bets[Winnings])-SUMIF(NCAA_Bets[Date],M903,NCAA_Bets[Risk])</f>
        <v>0</v>
      </c>
    </row>
    <row r="904" spans="2:16" x14ac:dyDescent="0.25">
      <c r="B904" s="101">
        <f t="shared" si="41"/>
        <v>33</v>
      </c>
      <c r="L904" s="71">
        <f t="shared" si="40"/>
        <v>0</v>
      </c>
      <c r="M904" s="71">
        <f t="shared" si="39"/>
        <v>0</v>
      </c>
      <c r="N904" s="71" t="str">
        <f>IFERROR(VLOOKUP(M904,NCAA_Bets[[Date]:[Version]],2,0),"")</f>
        <v/>
      </c>
      <c r="O904" s="94" t="str">
        <f>COUNTIFS(NCAA_Bets[Date],M904,NCAA_Bets[Result],"W")&amp;"-"&amp;COUNTIFS(NCAA_Bets[Date],M904,NCAA_Bets[Result],"L")&amp;IF(COUNTIFS(NCAA_Bets[Date],M904,NCAA_Bets[Result],"Push")&gt;0,"-"&amp;COUNTIFS(NCAA_Bets[Date],M904,NCAA_Bets[Result],"Push"),"")</f>
        <v>0-0</v>
      </c>
      <c r="P904" s="90">
        <f>SUMIF(NCAA_Bets[Date],M904,NCAA_Bets[Winnings])-SUMIF(NCAA_Bets[Date],M904,NCAA_Bets[Risk])</f>
        <v>0</v>
      </c>
    </row>
    <row r="905" spans="2:16" x14ac:dyDescent="0.25">
      <c r="B905" s="101">
        <f t="shared" si="41"/>
        <v>33</v>
      </c>
      <c r="L905" s="71">
        <f t="shared" si="40"/>
        <v>0</v>
      </c>
      <c r="M905" s="71">
        <f t="shared" si="39"/>
        <v>0</v>
      </c>
      <c r="N905" s="71" t="str">
        <f>IFERROR(VLOOKUP(M905,NCAA_Bets[[Date]:[Version]],2,0),"")</f>
        <v/>
      </c>
      <c r="O905" s="94" t="str">
        <f>COUNTIFS(NCAA_Bets[Date],M905,NCAA_Bets[Result],"W")&amp;"-"&amp;COUNTIFS(NCAA_Bets[Date],M905,NCAA_Bets[Result],"L")&amp;IF(COUNTIFS(NCAA_Bets[Date],M905,NCAA_Bets[Result],"Push")&gt;0,"-"&amp;COUNTIFS(NCAA_Bets[Date],M905,NCAA_Bets[Result],"Push"),"")</f>
        <v>0-0</v>
      </c>
      <c r="P905" s="90">
        <f>SUMIF(NCAA_Bets[Date],M905,NCAA_Bets[Winnings])-SUMIF(NCAA_Bets[Date],M905,NCAA_Bets[Risk])</f>
        <v>0</v>
      </c>
    </row>
    <row r="906" spans="2:16" x14ac:dyDescent="0.25">
      <c r="B906" s="101">
        <f t="shared" si="41"/>
        <v>33</v>
      </c>
      <c r="L906" s="71">
        <f t="shared" si="40"/>
        <v>0</v>
      </c>
      <c r="M906" s="71">
        <f t="shared" si="39"/>
        <v>0</v>
      </c>
      <c r="N906" s="71" t="str">
        <f>IFERROR(VLOOKUP(M906,NCAA_Bets[[Date]:[Version]],2,0),"")</f>
        <v/>
      </c>
      <c r="O906" s="94" t="str">
        <f>COUNTIFS(NCAA_Bets[Date],M906,NCAA_Bets[Result],"W")&amp;"-"&amp;COUNTIFS(NCAA_Bets[Date],M906,NCAA_Bets[Result],"L")&amp;IF(COUNTIFS(NCAA_Bets[Date],M906,NCAA_Bets[Result],"Push")&gt;0,"-"&amp;COUNTIFS(NCAA_Bets[Date],M906,NCAA_Bets[Result],"Push"),"")</f>
        <v>0-0</v>
      </c>
      <c r="P906" s="90">
        <f>SUMIF(NCAA_Bets[Date],M906,NCAA_Bets[Winnings])-SUMIF(NCAA_Bets[Date],M906,NCAA_Bets[Risk])</f>
        <v>0</v>
      </c>
    </row>
    <row r="907" spans="2:16" x14ac:dyDescent="0.25">
      <c r="B907" s="101">
        <f t="shared" si="41"/>
        <v>33</v>
      </c>
      <c r="L907" s="71">
        <f t="shared" si="40"/>
        <v>0</v>
      </c>
      <c r="M907" s="71">
        <f t="shared" si="39"/>
        <v>0</v>
      </c>
      <c r="N907" s="71" t="str">
        <f>IFERROR(VLOOKUP(M907,NCAA_Bets[[Date]:[Version]],2,0),"")</f>
        <v/>
      </c>
      <c r="O907" s="94" t="str">
        <f>COUNTIFS(NCAA_Bets[Date],M907,NCAA_Bets[Result],"W")&amp;"-"&amp;COUNTIFS(NCAA_Bets[Date],M907,NCAA_Bets[Result],"L")&amp;IF(COUNTIFS(NCAA_Bets[Date],M907,NCAA_Bets[Result],"Push")&gt;0,"-"&amp;COUNTIFS(NCAA_Bets[Date],M907,NCAA_Bets[Result],"Push"),"")</f>
        <v>0-0</v>
      </c>
      <c r="P907" s="90">
        <f>SUMIF(NCAA_Bets[Date],M907,NCAA_Bets[Winnings])-SUMIF(NCAA_Bets[Date],M907,NCAA_Bets[Risk])</f>
        <v>0</v>
      </c>
    </row>
    <row r="908" spans="2:16" x14ac:dyDescent="0.25">
      <c r="B908" s="101">
        <f t="shared" si="41"/>
        <v>33</v>
      </c>
      <c r="L908" s="71">
        <f t="shared" si="40"/>
        <v>0</v>
      </c>
      <c r="M908" s="71">
        <f t="shared" si="39"/>
        <v>0</v>
      </c>
      <c r="N908" s="71" t="str">
        <f>IFERROR(VLOOKUP(M908,NCAA_Bets[[Date]:[Version]],2,0),"")</f>
        <v/>
      </c>
      <c r="O908" s="94" t="str">
        <f>COUNTIFS(NCAA_Bets[Date],M908,NCAA_Bets[Result],"W")&amp;"-"&amp;COUNTIFS(NCAA_Bets[Date],M908,NCAA_Bets[Result],"L")&amp;IF(COUNTIFS(NCAA_Bets[Date],M908,NCAA_Bets[Result],"Push")&gt;0,"-"&amp;COUNTIFS(NCAA_Bets[Date],M908,NCAA_Bets[Result],"Push"),"")</f>
        <v>0-0</v>
      </c>
      <c r="P908" s="90">
        <f>SUMIF(NCAA_Bets[Date],M908,NCAA_Bets[Winnings])-SUMIF(NCAA_Bets[Date],M908,NCAA_Bets[Risk])</f>
        <v>0</v>
      </c>
    </row>
    <row r="909" spans="2:16" x14ac:dyDescent="0.25">
      <c r="B909" s="101">
        <f t="shared" si="41"/>
        <v>33</v>
      </c>
      <c r="L909" s="71">
        <f t="shared" si="40"/>
        <v>0</v>
      </c>
      <c r="M909" s="71">
        <f t="shared" si="39"/>
        <v>0</v>
      </c>
      <c r="N909" s="71" t="str">
        <f>IFERROR(VLOOKUP(M909,NCAA_Bets[[Date]:[Version]],2,0),"")</f>
        <v/>
      </c>
      <c r="O909" s="94" t="str">
        <f>COUNTIFS(NCAA_Bets[Date],M909,NCAA_Bets[Result],"W")&amp;"-"&amp;COUNTIFS(NCAA_Bets[Date],M909,NCAA_Bets[Result],"L")&amp;IF(COUNTIFS(NCAA_Bets[Date],M909,NCAA_Bets[Result],"Push")&gt;0,"-"&amp;COUNTIFS(NCAA_Bets[Date],M909,NCAA_Bets[Result],"Push"),"")</f>
        <v>0-0</v>
      </c>
      <c r="P909" s="90">
        <f>SUMIF(NCAA_Bets[Date],M909,NCAA_Bets[Winnings])-SUMIF(NCAA_Bets[Date],M909,NCAA_Bets[Risk])</f>
        <v>0</v>
      </c>
    </row>
    <row r="910" spans="2:16" x14ac:dyDescent="0.25">
      <c r="B910" s="101">
        <f t="shared" si="41"/>
        <v>33</v>
      </c>
      <c r="L910" s="71">
        <f t="shared" si="40"/>
        <v>0</v>
      </c>
      <c r="M910" s="71">
        <f t="shared" si="39"/>
        <v>0</v>
      </c>
      <c r="N910" s="71" t="str">
        <f>IFERROR(VLOOKUP(M910,NCAA_Bets[[Date]:[Version]],2,0),"")</f>
        <v/>
      </c>
      <c r="O910" s="94" t="str">
        <f>COUNTIFS(NCAA_Bets[Date],M910,NCAA_Bets[Result],"W")&amp;"-"&amp;COUNTIFS(NCAA_Bets[Date],M910,NCAA_Bets[Result],"L")&amp;IF(COUNTIFS(NCAA_Bets[Date],M910,NCAA_Bets[Result],"Push")&gt;0,"-"&amp;COUNTIFS(NCAA_Bets[Date],M910,NCAA_Bets[Result],"Push"),"")</f>
        <v>0-0</v>
      </c>
      <c r="P910" s="90">
        <f>SUMIF(NCAA_Bets[Date],M910,NCAA_Bets[Winnings])-SUMIF(NCAA_Bets[Date],M910,NCAA_Bets[Risk])</f>
        <v>0</v>
      </c>
    </row>
    <row r="911" spans="2:16" x14ac:dyDescent="0.25">
      <c r="B911" s="101">
        <f t="shared" si="41"/>
        <v>33</v>
      </c>
      <c r="L911" s="71">
        <f t="shared" si="40"/>
        <v>0</v>
      </c>
      <c r="M911" s="71">
        <f t="shared" si="39"/>
        <v>0</v>
      </c>
      <c r="N911" s="71" t="str">
        <f>IFERROR(VLOOKUP(M911,NCAA_Bets[[Date]:[Version]],2,0),"")</f>
        <v/>
      </c>
      <c r="O911" s="94" t="str">
        <f>COUNTIFS(NCAA_Bets[Date],M911,NCAA_Bets[Result],"W")&amp;"-"&amp;COUNTIFS(NCAA_Bets[Date],M911,NCAA_Bets[Result],"L")&amp;IF(COUNTIFS(NCAA_Bets[Date],M911,NCAA_Bets[Result],"Push")&gt;0,"-"&amp;COUNTIFS(NCAA_Bets[Date],M911,NCAA_Bets[Result],"Push"),"")</f>
        <v>0-0</v>
      </c>
      <c r="P911" s="90">
        <f>SUMIF(NCAA_Bets[Date],M911,NCAA_Bets[Winnings])-SUMIF(NCAA_Bets[Date],M911,NCAA_Bets[Risk])</f>
        <v>0</v>
      </c>
    </row>
    <row r="912" spans="2:16" x14ac:dyDescent="0.25">
      <c r="B912" s="101">
        <f t="shared" si="41"/>
        <v>33</v>
      </c>
      <c r="L912" s="71">
        <f t="shared" si="40"/>
        <v>0</v>
      </c>
      <c r="M912" s="71">
        <f t="shared" si="39"/>
        <v>0</v>
      </c>
      <c r="N912" s="71" t="str">
        <f>IFERROR(VLOOKUP(M912,NCAA_Bets[[Date]:[Version]],2,0),"")</f>
        <v/>
      </c>
      <c r="O912" s="94" t="str">
        <f>COUNTIFS(NCAA_Bets[Date],M912,NCAA_Bets[Result],"W")&amp;"-"&amp;COUNTIFS(NCAA_Bets[Date],M912,NCAA_Bets[Result],"L")&amp;IF(COUNTIFS(NCAA_Bets[Date],M912,NCAA_Bets[Result],"Push")&gt;0,"-"&amp;COUNTIFS(NCAA_Bets[Date],M912,NCAA_Bets[Result],"Push"),"")</f>
        <v>0-0</v>
      </c>
      <c r="P912" s="90">
        <f>SUMIF(NCAA_Bets[Date],M912,NCAA_Bets[Winnings])-SUMIF(NCAA_Bets[Date],M912,NCAA_Bets[Risk])</f>
        <v>0</v>
      </c>
    </row>
    <row r="913" spans="2:16" x14ac:dyDescent="0.25">
      <c r="B913" s="101">
        <f t="shared" si="41"/>
        <v>33</v>
      </c>
      <c r="L913" s="71">
        <f t="shared" si="40"/>
        <v>0</v>
      </c>
      <c r="M913" s="71">
        <f t="shared" si="39"/>
        <v>0</v>
      </c>
      <c r="N913" s="71" t="str">
        <f>IFERROR(VLOOKUP(M913,NCAA_Bets[[Date]:[Version]],2,0),"")</f>
        <v/>
      </c>
      <c r="O913" s="94" t="str">
        <f>COUNTIFS(NCAA_Bets[Date],M913,NCAA_Bets[Result],"W")&amp;"-"&amp;COUNTIFS(NCAA_Bets[Date],M913,NCAA_Bets[Result],"L")&amp;IF(COUNTIFS(NCAA_Bets[Date],M913,NCAA_Bets[Result],"Push")&gt;0,"-"&amp;COUNTIFS(NCAA_Bets[Date],M913,NCAA_Bets[Result],"Push"),"")</f>
        <v>0-0</v>
      </c>
      <c r="P913" s="90">
        <f>SUMIF(NCAA_Bets[Date],M913,NCAA_Bets[Winnings])-SUMIF(NCAA_Bets[Date],M913,NCAA_Bets[Risk])</f>
        <v>0</v>
      </c>
    </row>
    <row r="914" spans="2:16" x14ac:dyDescent="0.25">
      <c r="B914" s="101">
        <f t="shared" si="41"/>
        <v>33</v>
      </c>
      <c r="L914" s="71">
        <f t="shared" si="40"/>
        <v>0</v>
      </c>
      <c r="M914" s="71">
        <f t="shared" si="39"/>
        <v>0</v>
      </c>
      <c r="N914" s="71" t="str">
        <f>IFERROR(VLOOKUP(M914,NCAA_Bets[[Date]:[Version]],2,0),"")</f>
        <v/>
      </c>
      <c r="O914" s="94" t="str">
        <f>COUNTIFS(NCAA_Bets[Date],M914,NCAA_Bets[Result],"W")&amp;"-"&amp;COUNTIFS(NCAA_Bets[Date],M914,NCAA_Bets[Result],"L")&amp;IF(COUNTIFS(NCAA_Bets[Date],M914,NCAA_Bets[Result],"Push")&gt;0,"-"&amp;COUNTIFS(NCAA_Bets[Date],M914,NCAA_Bets[Result],"Push"),"")</f>
        <v>0-0</v>
      </c>
      <c r="P914" s="90">
        <f>SUMIF(NCAA_Bets[Date],M914,NCAA_Bets[Winnings])-SUMIF(NCAA_Bets[Date],M914,NCAA_Bets[Risk])</f>
        <v>0</v>
      </c>
    </row>
    <row r="915" spans="2:16" x14ac:dyDescent="0.25">
      <c r="B915" s="101">
        <f t="shared" si="41"/>
        <v>33</v>
      </c>
      <c r="L915" s="71">
        <f t="shared" si="40"/>
        <v>0</v>
      </c>
      <c r="M915" s="71">
        <f t="shared" si="39"/>
        <v>0</v>
      </c>
      <c r="N915" s="71" t="str">
        <f>IFERROR(VLOOKUP(M915,NCAA_Bets[[Date]:[Version]],2,0),"")</f>
        <v/>
      </c>
      <c r="O915" s="94" t="str">
        <f>COUNTIFS(NCAA_Bets[Date],M915,NCAA_Bets[Result],"W")&amp;"-"&amp;COUNTIFS(NCAA_Bets[Date],M915,NCAA_Bets[Result],"L")&amp;IF(COUNTIFS(NCAA_Bets[Date],M915,NCAA_Bets[Result],"Push")&gt;0,"-"&amp;COUNTIFS(NCAA_Bets[Date],M915,NCAA_Bets[Result],"Push"),"")</f>
        <v>0-0</v>
      </c>
      <c r="P915" s="90">
        <f>SUMIF(NCAA_Bets[Date],M915,NCAA_Bets[Winnings])-SUMIF(NCAA_Bets[Date],M915,NCAA_Bets[Risk])</f>
        <v>0</v>
      </c>
    </row>
    <row r="916" spans="2:16" x14ac:dyDescent="0.25">
      <c r="B916" s="101">
        <f t="shared" si="41"/>
        <v>33</v>
      </c>
      <c r="L916" s="71">
        <f t="shared" si="40"/>
        <v>0</v>
      </c>
      <c r="M916" s="71">
        <f t="shared" si="39"/>
        <v>0</v>
      </c>
      <c r="N916" s="71" t="str">
        <f>IFERROR(VLOOKUP(M916,NCAA_Bets[[Date]:[Version]],2,0),"")</f>
        <v/>
      </c>
      <c r="O916" s="94" t="str">
        <f>COUNTIFS(NCAA_Bets[Date],M916,NCAA_Bets[Result],"W")&amp;"-"&amp;COUNTIFS(NCAA_Bets[Date],M916,NCAA_Bets[Result],"L")&amp;IF(COUNTIFS(NCAA_Bets[Date],M916,NCAA_Bets[Result],"Push")&gt;0,"-"&amp;COUNTIFS(NCAA_Bets[Date],M916,NCAA_Bets[Result],"Push"),"")</f>
        <v>0-0</v>
      </c>
      <c r="P916" s="90">
        <f>SUMIF(NCAA_Bets[Date],M916,NCAA_Bets[Winnings])-SUMIF(NCAA_Bets[Date],M916,NCAA_Bets[Risk])</f>
        <v>0</v>
      </c>
    </row>
    <row r="917" spans="2:16" x14ac:dyDescent="0.25">
      <c r="B917" s="101">
        <f t="shared" si="41"/>
        <v>33</v>
      </c>
      <c r="L917" s="71">
        <f t="shared" si="40"/>
        <v>0</v>
      </c>
      <c r="M917" s="71">
        <f t="shared" si="39"/>
        <v>0</v>
      </c>
      <c r="N917" s="71" t="str">
        <f>IFERROR(VLOOKUP(M917,NCAA_Bets[[Date]:[Version]],2,0),"")</f>
        <v/>
      </c>
      <c r="O917" s="94" t="str">
        <f>COUNTIFS(NCAA_Bets[Date],M917,NCAA_Bets[Result],"W")&amp;"-"&amp;COUNTIFS(NCAA_Bets[Date],M917,NCAA_Bets[Result],"L")&amp;IF(COUNTIFS(NCAA_Bets[Date],M917,NCAA_Bets[Result],"Push")&gt;0,"-"&amp;COUNTIFS(NCAA_Bets[Date],M917,NCAA_Bets[Result],"Push"),"")</f>
        <v>0-0</v>
      </c>
      <c r="P917" s="90">
        <f>SUMIF(NCAA_Bets[Date],M917,NCAA_Bets[Winnings])-SUMIF(NCAA_Bets[Date],M917,NCAA_Bets[Risk])</f>
        <v>0</v>
      </c>
    </row>
    <row r="918" spans="2:16" x14ac:dyDescent="0.25">
      <c r="B918" s="101">
        <f t="shared" si="41"/>
        <v>33</v>
      </c>
      <c r="L918" s="71">
        <f t="shared" si="40"/>
        <v>0</v>
      </c>
      <c r="M918" s="71">
        <f t="shared" si="39"/>
        <v>0</v>
      </c>
      <c r="N918" s="71" t="str">
        <f>IFERROR(VLOOKUP(M918,NCAA_Bets[[Date]:[Version]],2,0),"")</f>
        <v/>
      </c>
      <c r="O918" s="94" t="str">
        <f>COUNTIFS(NCAA_Bets[Date],M918,NCAA_Bets[Result],"W")&amp;"-"&amp;COUNTIFS(NCAA_Bets[Date],M918,NCAA_Bets[Result],"L")&amp;IF(COUNTIFS(NCAA_Bets[Date],M918,NCAA_Bets[Result],"Push")&gt;0,"-"&amp;COUNTIFS(NCAA_Bets[Date],M918,NCAA_Bets[Result],"Push"),"")</f>
        <v>0-0</v>
      </c>
      <c r="P918" s="90">
        <f>SUMIF(NCAA_Bets[Date],M918,NCAA_Bets[Winnings])-SUMIF(NCAA_Bets[Date],M918,NCAA_Bets[Risk])</f>
        <v>0</v>
      </c>
    </row>
    <row r="919" spans="2:16" x14ac:dyDescent="0.25">
      <c r="B919" s="101">
        <f t="shared" si="41"/>
        <v>33</v>
      </c>
      <c r="L919" s="71">
        <f t="shared" si="40"/>
        <v>0</v>
      </c>
      <c r="M919" s="71">
        <f t="shared" si="39"/>
        <v>0</v>
      </c>
      <c r="N919" s="71" t="str">
        <f>IFERROR(VLOOKUP(M919,NCAA_Bets[[Date]:[Version]],2,0),"")</f>
        <v/>
      </c>
      <c r="O919" s="94" t="str">
        <f>COUNTIFS(NCAA_Bets[Date],M919,NCAA_Bets[Result],"W")&amp;"-"&amp;COUNTIFS(NCAA_Bets[Date],M919,NCAA_Bets[Result],"L")&amp;IF(COUNTIFS(NCAA_Bets[Date],M919,NCAA_Bets[Result],"Push")&gt;0,"-"&amp;COUNTIFS(NCAA_Bets[Date],M919,NCAA_Bets[Result],"Push"),"")</f>
        <v>0-0</v>
      </c>
      <c r="P919" s="90">
        <f>SUMIF(NCAA_Bets[Date],M919,NCAA_Bets[Winnings])-SUMIF(NCAA_Bets[Date],M919,NCAA_Bets[Risk])</f>
        <v>0</v>
      </c>
    </row>
    <row r="920" spans="2:16" x14ac:dyDescent="0.25">
      <c r="B920" s="101">
        <f t="shared" si="41"/>
        <v>33</v>
      </c>
      <c r="L920" s="71">
        <f t="shared" si="40"/>
        <v>0</v>
      </c>
      <c r="M920" s="71">
        <f t="shared" si="39"/>
        <v>0</v>
      </c>
      <c r="N920" s="71" t="str">
        <f>IFERROR(VLOOKUP(M920,NCAA_Bets[[Date]:[Version]],2,0),"")</f>
        <v/>
      </c>
      <c r="O920" s="94" t="str">
        <f>COUNTIFS(NCAA_Bets[Date],M920,NCAA_Bets[Result],"W")&amp;"-"&amp;COUNTIFS(NCAA_Bets[Date],M920,NCAA_Bets[Result],"L")&amp;IF(COUNTIFS(NCAA_Bets[Date],M920,NCAA_Bets[Result],"Push")&gt;0,"-"&amp;COUNTIFS(NCAA_Bets[Date],M920,NCAA_Bets[Result],"Push"),"")</f>
        <v>0-0</v>
      </c>
      <c r="P920" s="90">
        <f>SUMIF(NCAA_Bets[Date],M920,NCAA_Bets[Winnings])-SUMIF(NCAA_Bets[Date],M920,NCAA_Bets[Risk])</f>
        <v>0</v>
      </c>
    </row>
    <row r="921" spans="2:16" x14ac:dyDescent="0.25">
      <c r="B921" s="101">
        <f t="shared" si="41"/>
        <v>33</v>
      </c>
      <c r="L921" s="71">
        <f t="shared" si="40"/>
        <v>0</v>
      </c>
      <c r="M921" s="71">
        <f t="shared" si="39"/>
        <v>0</v>
      </c>
      <c r="N921" s="71" t="str">
        <f>IFERROR(VLOOKUP(M921,NCAA_Bets[[Date]:[Version]],2,0),"")</f>
        <v/>
      </c>
      <c r="O921" s="94" t="str">
        <f>COUNTIFS(NCAA_Bets[Date],M921,NCAA_Bets[Result],"W")&amp;"-"&amp;COUNTIFS(NCAA_Bets[Date],M921,NCAA_Bets[Result],"L")&amp;IF(COUNTIFS(NCAA_Bets[Date],M921,NCAA_Bets[Result],"Push")&gt;0,"-"&amp;COUNTIFS(NCAA_Bets[Date],M921,NCAA_Bets[Result],"Push"),"")</f>
        <v>0-0</v>
      </c>
      <c r="P921" s="90">
        <f>SUMIF(NCAA_Bets[Date],M921,NCAA_Bets[Winnings])-SUMIF(NCAA_Bets[Date],M921,NCAA_Bets[Risk])</f>
        <v>0</v>
      </c>
    </row>
    <row r="922" spans="2:16" x14ac:dyDescent="0.25">
      <c r="B922" s="101">
        <f t="shared" si="41"/>
        <v>33</v>
      </c>
      <c r="L922" s="71">
        <f t="shared" si="40"/>
        <v>0</v>
      </c>
      <c r="M922" s="71">
        <f t="shared" ref="M922:M985" si="42">IFERROR(VLOOKUP(ROW()-4,B:C,2,0),0)</f>
        <v>0</v>
      </c>
      <c r="N922" s="71" t="str">
        <f>IFERROR(VLOOKUP(M922,NCAA_Bets[[Date]:[Version]],2,0),"")</f>
        <v/>
      </c>
      <c r="O922" s="94" t="str">
        <f>COUNTIFS(NCAA_Bets[Date],M922,NCAA_Bets[Result],"W")&amp;"-"&amp;COUNTIFS(NCAA_Bets[Date],M922,NCAA_Bets[Result],"L")&amp;IF(COUNTIFS(NCAA_Bets[Date],M922,NCAA_Bets[Result],"Push")&gt;0,"-"&amp;COUNTIFS(NCAA_Bets[Date],M922,NCAA_Bets[Result],"Push"),"")</f>
        <v>0-0</v>
      </c>
      <c r="P922" s="90">
        <f>SUMIF(NCAA_Bets[Date],M922,NCAA_Bets[Winnings])-SUMIF(NCAA_Bets[Date],M922,NCAA_Bets[Risk])</f>
        <v>0</v>
      </c>
    </row>
    <row r="923" spans="2:16" x14ac:dyDescent="0.25">
      <c r="B923" s="101">
        <f t="shared" si="41"/>
        <v>33</v>
      </c>
      <c r="L923" s="71">
        <f t="shared" si="40"/>
        <v>0</v>
      </c>
      <c r="M923" s="71">
        <f t="shared" si="42"/>
        <v>0</v>
      </c>
      <c r="N923" s="71" t="str">
        <f>IFERROR(VLOOKUP(M923,NCAA_Bets[[Date]:[Version]],2,0),"")</f>
        <v/>
      </c>
      <c r="O923" s="94" t="str">
        <f>COUNTIFS(NCAA_Bets[Date],M923,NCAA_Bets[Result],"W")&amp;"-"&amp;COUNTIFS(NCAA_Bets[Date],M923,NCAA_Bets[Result],"L")&amp;IF(COUNTIFS(NCAA_Bets[Date],M923,NCAA_Bets[Result],"Push")&gt;0,"-"&amp;COUNTIFS(NCAA_Bets[Date],M923,NCAA_Bets[Result],"Push"),"")</f>
        <v>0-0</v>
      </c>
      <c r="P923" s="90">
        <f>SUMIF(NCAA_Bets[Date],M923,NCAA_Bets[Winnings])-SUMIF(NCAA_Bets[Date],M923,NCAA_Bets[Risk])</f>
        <v>0</v>
      </c>
    </row>
    <row r="924" spans="2:16" x14ac:dyDescent="0.25">
      <c r="B924" s="101">
        <f t="shared" si="41"/>
        <v>33</v>
      </c>
      <c r="L924" s="71">
        <f t="shared" si="40"/>
        <v>0</v>
      </c>
      <c r="M924" s="71">
        <f t="shared" si="42"/>
        <v>0</v>
      </c>
      <c r="N924" s="71" t="str">
        <f>IFERROR(VLOOKUP(M924,NCAA_Bets[[Date]:[Version]],2,0),"")</f>
        <v/>
      </c>
      <c r="O924" s="94" t="str">
        <f>COUNTIFS(NCAA_Bets[Date],M924,NCAA_Bets[Result],"W")&amp;"-"&amp;COUNTIFS(NCAA_Bets[Date],M924,NCAA_Bets[Result],"L")&amp;IF(COUNTIFS(NCAA_Bets[Date],M924,NCAA_Bets[Result],"Push")&gt;0,"-"&amp;COUNTIFS(NCAA_Bets[Date],M924,NCAA_Bets[Result],"Push"),"")</f>
        <v>0-0</v>
      </c>
      <c r="P924" s="90">
        <f>SUMIF(NCAA_Bets[Date],M924,NCAA_Bets[Winnings])-SUMIF(NCAA_Bets[Date],M924,NCAA_Bets[Risk])</f>
        <v>0</v>
      </c>
    </row>
    <row r="925" spans="2:16" x14ac:dyDescent="0.25">
      <c r="B925" s="101">
        <f t="shared" si="41"/>
        <v>33</v>
      </c>
      <c r="L925" s="71">
        <f t="shared" si="40"/>
        <v>0</v>
      </c>
      <c r="M925" s="71">
        <f t="shared" si="42"/>
        <v>0</v>
      </c>
      <c r="N925" s="71" t="str">
        <f>IFERROR(VLOOKUP(M925,NCAA_Bets[[Date]:[Version]],2,0),"")</f>
        <v/>
      </c>
      <c r="O925" s="94" t="str">
        <f>COUNTIFS(NCAA_Bets[Date],M925,NCAA_Bets[Result],"W")&amp;"-"&amp;COUNTIFS(NCAA_Bets[Date],M925,NCAA_Bets[Result],"L")&amp;IF(COUNTIFS(NCAA_Bets[Date],M925,NCAA_Bets[Result],"Push")&gt;0,"-"&amp;COUNTIFS(NCAA_Bets[Date],M925,NCAA_Bets[Result],"Push"),"")</f>
        <v>0-0</v>
      </c>
      <c r="P925" s="90">
        <f>SUMIF(NCAA_Bets[Date],M925,NCAA_Bets[Winnings])-SUMIF(NCAA_Bets[Date],M925,NCAA_Bets[Risk])</f>
        <v>0</v>
      </c>
    </row>
    <row r="926" spans="2:16" x14ac:dyDescent="0.25">
      <c r="B926" s="101">
        <f t="shared" si="41"/>
        <v>33</v>
      </c>
      <c r="L926" s="71">
        <f t="shared" si="40"/>
        <v>0</v>
      </c>
      <c r="M926" s="71">
        <f t="shared" si="42"/>
        <v>0</v>
      </c>
      <c r="N926" s="71" t="str">
        <f>IFERROR(VLOOKUP(M926,NCAA_Bets[[Date]:[Version]],2,0),"")</f>
        <v/>
      </c>
      <c r="O926" s="94" t="str">
        <f>COUNTIFS(NCAA_Bets[Date],M926,NCAA_Bets[Result],"W")&amp;"-"&amp;COUNTIFS(NCAA_Bets[Date],M926,NCAA_Bets[Result],"L")&amp;IF(COUNTIFS(NCAA_Bets[Date],M926,NCAA_Bets[Result],"Push")&gt;0,"-"&amp;COUNTIFS(NCAA_Bets[Date],M926,NCAA_Bets[Result],"Push"),"")</f>
        <v>0-0</v>
      </c>
      <c r="P926" s="90">
        <f>SUMIF(NCAA_Bets[Date],M926,NCAA_Bets[Winnings])-SUMIF(NCAA_Bets[Date],M926,NCAA_Bets[Risk])</f>
        <v>0</v>
      </c>
    </row>
    <row r="927" spans="2:16" x14ac:dyDescent="0.25">
      <c r="B927" s="101">
        <f t="shared" si="41"/>
        <v>33</v>
      </c>
      <c r="L927" s="71">
        <f t="shared" si="40"/>
        <v>0</v>
      </c>
      <c r="M927" s="71">
        <f t="shared" si="42"/>
        <v>0</v>
      </c>
      <c r="N927" s="71" t="str">
        <f>IFERROR(VLOOKUP(M927,NCAA_Bets[[Date]:[Version]],2,0),"")</f>
        <v/>
      </c>
      <c r="O927" s="94" t="str">
        <f>COUNTIFS(NCAA_Bets[Date],M927,NCAA_Bets[Result],"W")&amp;"-"&amp;COUNTIFS(NCAA_Bets[Date],M927,NCAA_Bets[Result],"L")&amp;IF(COUNTIFS(NCAA_Bets[Date],M927,NCAA_Bets[Result],"Push")&gt;0,"-"&amp;COUNTIFS(NCAA_Bets[Date],M927,NCAA_Bets[Result],"Push"),"")</f>
        <v>0-0</v>
      </c>
      <c r="P927" s="90">
        <f>SUMIF(NCAA_Bets[Date],M927,NCAA_Bets[Winnings])-SUMIF(NCAA_Bets[Date],M927,NCAA_Bets[Risk])</f>
        <v>0</v>
      </c>
    </row>
    <row r="928" spans="2:16" x14ac:dyDescent="0.25">
      <c r="B928" s="101">
        <f t="shared" si="41"/>
        <v>33</v>
      </c>
      <c r="L928" s="71">
        <f t="shared" si="40"/>
        <v>0</v>
      </c>
      <c r="M928" s="71">
        <f t="shared" si="42"/>
        <v>0</v>
      </c>
      <c r="N928" s="71" t="str">
        <f>IFERROR(VLOOKUP(M928,NCAA_Bets[[Date]:[Version]],2,0),"")</f>
        <v/>
      </c>
      <c r="O928" s="94" t="str">
        <f>COUNTIFS(NCAA_Bets[Date],M928,NCAA_Bets[Result],"W")&amp;"-"&amp;COUNTIFS(NCAA_Bets[Date],M928,NCAA_Bets[Result],"L")&amp;IF(COUNTIFS(NCAA_Bets[Date],M928,NCAA_Bets[Result],"Push")&gt;0,"-"&amp;COUNTIFS(NCAA_Bets[Date],M928,NCAA_Bets[Result],"Push"),"")</f>
        <v>0-0</v>
      </c>
      <c r="P928" s="90">
        <f>SUMIF(NCAA_Bets[Date],M928,NCAA_Bets[Winnings])-SUMIF(NCAA_Bets[Date],M928,NCAA_Bets[Risk])</f>
        <v>0</v>
      </c>
    </row>
    <row r="929" spans="2:16" x14ac:dyDescent="0.25">
      <c r="B929" s="101">
        <f t="shared" si="41"/>
        <v>33</v>
      </c>
      <c r="L929" s="71">
        <f t="shared" si="40"/>
        <v>0</v>
      </c>
      <c r="M929" s="71">
        <f t="shared" si="42"/>
        <v>0</v>
      </c>
      <c r="N929" s="71" t="str">
        <f>IFERROR(VLOOKUP(M929,NCAA_Bets[[Date]:[Version]],2,0),"")</f>
        <v/>
      </c>
      <c r="O929" s="94" t="str">
        <f>COUNTIFS(NCAA_Bets[Date],M929,NCAA_Bets[Result],"W")&amp;"-"&amp;COUNTIFS(NCAA_Bets[Date],M929,NCAA_Bets[Result],"L")&amp;IF(COUNTIFS(NCAA_Bets[Date],M929,NCAA_Bets[Result],"Push")&gt;0,"-"&amp;COUNTIFS(NCAA_Bets[Date],M929,NCAA_Bets[Result],"Push"),"")</f>
        <v>0-0</v>
      </c>
      <c r="P929" s="90">
        <f>SUMIF(NCAA_Bets[Date],M929,NCAA_Bets[Winnings])-SUMIF(NCAA_Bets[Date],M929,NCAA_Bets[Risk])</f>
        <v>0</v>
      </c>
    </row>
    <row r="930" spans="2:16" x14ac:dyDescent="0.25">
      <c r="B930" s="101">
        <f t="shared" si="41"/>
        <v>33</v>
      </c>
      <c r="L930" s="71">
        <f t="shared" si="40"/>
        <v>0</v>
      </c>
      <c r="M930" s="71">
        <f t="shared" si="42"/>
        <v>0</v>
      </c>
      <c r="N930" s="71" t="str">
        <f>IFERROR(VLOOKUP(M930,NCAA_Bets[[Date]:[Version]],2,0),"")</f>
        <v/>
      </c>
      <c r="O930" s="94" t="str">
        <f>COUNTIFS(NCAA_Bets[Date],M930,NCAA_Bets[Result],"W")&amp;"-"&amp;COUNTIFS(NCAA_Bets[Date],M930,NCAA_Bets[Result],"L")&amp;IF(COUNTIFS(NCAA_Bets[Date],M930,NCAA_Bets[Result],"Push")&gt;0,"-"&amp;COUNTIFS(NCAA_Bets[Date],M930,NCAA_Bets[Result],"Push"),"")</f>
        <v>0-0</v>
      </c>
      <c r="P930" s="90">
        <f>SUMIF(NCAA_Bets[Date],M930,NCAA_Bets[Winnings])-SUMIF(NCAA_Bets[Date],M930,NCAA_Bets[Risk])</f>
        <v>0</v>
      </c>
    </row>
    <row r="931" spans="2:16" x14ac:dyDescent="0.25">
      <c r="B931" s="101">
        <f t="shared" si="41"/>
        <v>33</v>
      </c>
      <c r="L931" s="71">
        <f t="shared" si="40"/>
        <v>0</v>
      </c>
      <c r="M931" s="71">
        <f t="shared" si="42"/>
        <v>0</v>
      </c>
      <c r="N931" s="71" t="str">
        <f>IFERROR(VLOOKUP(M931,NCAA_Bets[[Date]:[Version]],2,0),"")</f>
        <v/>
      </c>
      <c r="O931" s="94" t="str">
        <f>COUNTIFS(NCAA_Bets[Date],M931,NCAA_Bets[Result],"W")&amp;"-"&amp;COUNTIFS(NCAA_Bets[Date],M931,NCAA_Bets[Result],"L")&amp;IF(COUNTIFS(NCAA_Bets[Date],M931,NCAA_Bets[Result],"Push")&gt;0,"-"&amp;COUNTIFS(NCAA_Bets[Date],M931,NCAA_Bets[Result],"Push"),"")</f>
        <v>0-0</v>
      </c>
      <c r="P931" s="90">
        <f>SUMIF(NCAA_Bets[Date],M931,NCAA_Bets[Winnings])-SUMIF(NCAA_Bets[Date],M931,NCAA_Bets[Risk])</f>
        <v>0</v>
      </c>
    </row>
    <row r="932" spans="2:16" x14ac:dyDescent="0.25">
      <c r="B932" s="101">
        <f t="shared" si="41"/>
        <v>33</v>
      </c>
      <c r="L932" s="71">
        <f t="shared" ref="L932:L995" si="43">IFERROR(VLOOKUP(ROW()-4,B:C,2,0),0)</f>
        <v>0</v>
      </c>
      <c r="M932" s="71">
        <f t="shared" si="42"/>
        <v>0</v>
      </c>
      <c r="N932" s="71" t="str">
        <f>IFERROR(VLOOKUP(M932,NCAA_Bets[[Date]:[Version]],2,0),"")</f>
        <v/>
      </c>
      <c r="O932" s="94" t="str">
        <f>COUNTIFS(NCAA_Bets[Date],M932,NCAA_Bets[Result],"W")&amp;"-"&amp;COUNTIFS(NCAA_Bets[Date],M932,NCAA_Bets[Result],"L")&amp;IF(COUNTIFS(NCAA_Bets[Date],M932,NCAA_Bets[Result],"Push")&gt;0,"-"&amp;COUNTIFS(NCAA_Bets[Date],M932,NCAA_Bets[Result],"Push"),"")</f>
        <v>0-0</v>
      </c>
      <c r="P932" s="90">
        <f>SUMIF(NCAA_Bets[Date],M932,NCAA_Bets[Winnings])-SUMIF(NCAA_Bets[Date],M932,NCAA_Bets[Risk])</f>
        <v>0</v>
      </c>
    </row>
    <row r="933" spans="2:16" x14ac:dyDescent="0.25">
      <c r="B933" s="101">
        <f t="shared" si="41"/>
        <v>33</v>
      </c>
      <c r="L933" s="71">
        <f t="shared" si="43"/>
        <v>0</v>
      </c>
      <c r="M933" s="71">
        <f t="shared" si="42"/>
        <v>0</v>
      </c>
      <c r="N933" s="71" t="str">
        <f>IFERROR(VLOOKUP(M933,NCAA_Bets[[Date]:[Version]],2,0),"")</f>
        <v/>
      </c>
      <c r="O933" s="94" t="str">
        <f>COUNTIFS(NCAA_Bets[Date],M933,NCAA_Bets[Result],"W")&amp;"-"&amp;COUNTIFS(NCAA_Bets[Date],M933,NCAA_Bets[Result],"L")&amp;IF(COUNTIFS(NCAA_Bets[Date],M933,NCAA_Bets[Result],"Push")&gt;0,"-"&amp;COUNTIFS(NCAA_Bets[Date],M933,NCAA_Bets[Result],"Push"),"")</f>
        <v>0-0</v>
      </c>
      <c r="P933" s="90">
        <f>SUMIF(NCAA_Bets[Date],M933,NCAA_Bets[Winnings])-SUMIF(NCAA_Bets[Date],M933,NCAA_Bets[Risk])</f>
        <v>0</v>
      </c>
    </row>
    <row r="934" spans="2:16" x14ac:dyDescent="0.25">
      <c r="B934" s="101">
        <f t="shared" si="41"/>
        <v>33</v>
      </c>
      <c r="L934" s="71">
        <f t="shared" si="43"/>
        <v>0</v>
      </c>
      <c r="M934" s="71">
        <f t="shared" si="42"/>
        <v>0</v>
      </c>
      <c r="N934" s="71" t="str">
        <f>IFERROR(VLOOKUP(M934,NCAA_Bets[[Date]:[Version]],2,0),"")</f>
        <v/>
      </c>
      <c r="O934" s="94" t="str">
        <f>COUNTIFS(NCAA_Bets[Date],M934,NCAA_Bets[Result],"W")&amp;"-"&amp;COUNTIFS(NCAA_Bets[Date],M934,NCAA_Bets[Result],"L")&amp;IF(COUNTIFS(NCAA_Bets[Date],M934,NCAA_Bets[Result],"Push")&gt;0,"-"&amp;COUNTIFS(NCAA_Bets[Date],M934,NCAA_Bets[Result],"Push"),"")</f>
        <v>0-0</v>
      </c>
      <c r="P934" s="90">
        <f>SUMIF(NCAA_Bets[Date],M934,NCAA_Bets[Winnings])-SUMIF(NCAA_Bets[Date],M934,NCAA_Bets[Risk])</f>
        <v>0</v>
      </c>
    </row>
    <row r="935" spans="2:16" x14ac:dyDescent="0.25">
      <c r="B935" s="101">
        <f t="shared" si="41"/>
        <v>33</v>
      </c>
      <c r="L935" s="71">
        <f t="shared" si="43"/>
        <v>0</v>
      </c>
      <c r="M935" s="71">
        <f t="shared" si="42"/>
        <v>0</v>
      </c>
      <c r="N935" s="71" t="str">
        <f>IFERROR(VLOOKUP(M935,NCAA_Bets[[Date]:[Version]],2,0),"")</f>
        <v/>
      </c>
      <c r="O935" s="94" t="str">
        <f>COUNTIFS(NCAA_Bets[Date],M935,NCAA_Bets[Result],"W")&amp;"-"&amp;COUNTIFS(NCAA_Bets[Date],M935,NCAA_Bets[Result],"L")&amp;IF(COUNTIFS(NCAA_Bets[Date],M935,NCAA_Bets[Result],"Push")&gt;0,"-"&amp;COUNTIFS(NCAA_Bets[Date],M935,NCAA_Bets[Result],"Push"),"")</f>
        <v>0-0</v>
      </c>
      <c r="P935" s="90">
        <f>SUMIF(NCAA_Bets[Date],M935,NCAA_Bets[Winnings])-SUMIF(NCAA_Bets[Date],M935,NCAA_Bets[Risk])</f>
        <v>0</v>
      </c>
    </row>
    <row r="936" spans="2:16" x14ac:dyDescent="0.25">
      <c r="B936" s="101">
        <f t="shared" si="41"/>
        <v>33</v>
      </c>
      <c r="L936" s="71">
        <f t="shared" si="43"/>
        <v>0</v>
      </c>
      <c r="M936" s="71">
        <f t="shared" si="42"/>
        <v>0</v>
      </c>
      <c r="N936" s="71" t="str">
        <f>IFERROR(VLOOKUP(M936,NCAA_Bets[[Date]:[Version]],2,0),"")</f>
        <v/>
      </c>
      <c r="O936" s="94" t="str">
        <f>COUNTIFS(NCAA_Bets[Date],M936,NCAA_Bets[Result],"W")&amp;"-"&amp;COUNTIFS(NCAA_Bets[Date],M936,NCAA_Bets[Result],"L")&amp;IF(COUNTIFS(NCAA_Bets[Date],M936,NCAA_Bets[Result],"Push")&gt;0,"-"&amp;COUNTIFS(NCAA_Bets[Date],M936,NCAA_Bets[Result],"Push"),"")</f>
        <v>0-0</v>
      </c>
      <c r="P936" s="90">
        <f>SUMIF(NCAA_Bets[Date],M936,NCAA_Bets[Winnings])-SUMIF(NCAA_Bets[Date],M936,NCAA_Bets[Risk])</f>
        <v>0</v>
      </c>
    </row>
    <row r="937" spans="2:16" x14ac:dyDescent="0.25">
      <c r="B937" s="101">
        <f t="shared" si="41"/>
        <v>33</v>
      </c>
      <c r="L937" s="71">
        <f t="shared" si="43"/>
        <v>0</v>
      </c>
      <c r="M937" s="71">
        <f t="shared" si="42"/>
        <v>0</v>
      </c>
      <c r="N937" s="71" t="str">
        <f>IFERROR(VLOOKUP(M937,NCAA_Bets[[Date]:[Version]],2,0),"")</f>
        <v/>
      </c>
      <c r="O937" s="94" t="str">
        <f>COUNTIFS(NCAA_Bets[Date],M937,NCAA_Bets[Result],"W")&amp;"-"&amp;COUNTIFS(NCAA_Bets[Date],M937,NCAA_Bets[Result],"L")&amp;IF(COUNTIFS(NCAA_Bets[Date],M937,NCAA_Bets[Result],"Push")&gt;0,"-"&amp;COUNTIFS(NCAA_Bets[Date],M937,NCAA_Bets[Result],"Push"),"")</f>
        <v>0-0</v>
      </c>
      <c r="P937" s="90">
        <f>SUMIF(NCAA_Bets[Date],M937,NCAA_Bets[Winnings])-SUMIF(NCAA_Bets[Date],M937,NCAA_Bets[Risk])</f>
        <v>0</v>
      </c>
    </row>
    <row r="938" spans="2:16" x14ac:dyDescent="0.25">
      <c r="B938" s="101">
        <f t="shared" si="41"/>
        <v>33</v>
      </c>
      <c r="L938" s="71">
        <f t="shared" si="43"/>
        <v>0</v>
      </c>
      <c r="M938" s="71">
        <f t="shared" si="42"/>
        <v>0</v>
      </c>
      <c r="N938" s="71" t="str">
        <f>IFERROR(VLOOKUP(M938,NCAA_Bets[[Date]:[Version]],2,0),"")</f>
        <v/>
      </c>
      <c r="O938" s="94" t="str">
        <f>COUNTIFS(NCAA_Bets[Date],M938,NCAA_Bets[Result],"W")&amp;"-"&amp;COUNTIFS(NCAA_Bets[Date],M938,NCAA_Bets[Result],"L")&amp;IF(COUNTIFS(NCAA_Bets[Date],M938,NCAA_Bets[Result],"Push")&gt;0,"-"&amp;COUNTIFS(NCAA_Bets[Date],M938,NCAA_Bets[Result],"Push"),"")</f>
        <v>0-0</v>
      </c>
      <c r="P938" s="90">
        <f>SUMIF(NCAA_Bets[Date],M938,NCAA_Bets[Winnings])-SUMIF(NCAA_Bets[Date],M938,NCAA_Bets[Risk])</f>
        <v>0</v>
      </c>
    </row>
    <row r="939" spans="2:16" x14ac:dyDescent="0.25">
      <c r="B939" s="101">
        <f t="shared" si="41"/>
        <v>33</v>
      </c>
      <c r="L939" s="71">
        <f t="shared" si="43"/>
        <v>0</v>
      </c>
      <c r="M939" s="71">
        <f t="shared" si="42"/>
        <v>0</v>
      </c>
      <c r="N939" s="71" t="str">
        <f>IFERROR(VLOOKUP(M939,NCAA_Bets[[Date]:[Version]],2,0),"")</f>
        <v/>
      </c>
      <c r="O939" s="94" t="str">
        <f>COUNTIFS(NCAA_Bets[Date],M939,NCAA_Bets[Result],"W")&amp;"-"&amp;COUNTIFS(NCAA_Bets[Date],M939,NCAA_Bets[Result],"L")&amp;IF(COUNTIFS(NCAA_Bets[Date],M939,NCAA_Bets[Result],"Push")&gt;0,"-"&amp;COUNTIFS(NCAA_Bets[Date],M939,NCAA_Bets[Result],"Push"),"")</f>
        <v>0-0</v>
      </c>
      <c r="P939" s="90">
        <f>SUMIF(NCAA_Bets[Date],M939,NCAA_Bets[Winnings])-SUMIF(NCAA_Bets[Date],M939,NCAA_Bets[Risk])</f>
        <v>0</v>
      </c>
    </row>
    <row r="940" spans="2:16" x14ac:dyDescent="0.25">
      <c r="B940" s="101">
        <f t="shared" si="41"/>
        <v>33</v>
      </c>
      <c r="L940" s="71">
        <f t="shared" si="43"/>
        <v>0</v>
      </c>
      <c r="M940" s="71">
        <f t="shared" si="42"/>
        <v>0</v>
      </c>
      <c r="N940" s="71" t="str">
        <f>IFERROR(VLOOKUP(M940,NCAA_Bets[[Date]:[Version]],2,0),"")</f>
        <v/>
      </c>
      <c r="O940" s="94" t="str">
        <f>COUNTIFS(NCAA_Bets[Date],M940,NCAA_Bets[Result],"W")&amp;"-"&amp;COUNTIFS(NCAA_Bets[Date],M940,NCAA_Bets[Result],"L")&amp;IF(COUNTIFS(NCAA_Bets[Date],M940,NCAA_Bets[Result],"Push")&gt;0,"-"&amp;COUNTIFS(NCAA_Bets[Date],M940,NCAA_Bets[Result],"Push"),"")</f>
        <v>0-0</v>
      </c>
      <c r="P940" s="90">
        <f>SUMIF(NCAA_Bets[Date],M940,NCAA_Bets[Winnings])-SUMIF(NCAA_Bets[Date],M940,NCAA_Bets[Risk])</f>
        <v>0</v>
      </c>
    </row>
    <row r="941" spans="2:16" x14ac:dyDescent="0.25">
      <c r="B941" s="101">
        <f t="shared" si="41"/>
        <v>33</v>
      </c>
      <c r="L941" s="71">
        <f t="shared" si="43"/>
        <v>0</v>
      </c>
      <c r="M941" s="71">
        <f t="shared" si="42"/>
        <v>0</v>
      </c>
      <c r="N941" s="71" t="str">
        <f>IFERROR(VLOOKUP(M941,NCAA_Bets[[Date]:[Version]],2,0),"")</f>
        <v/>
      </c>
      <c r="O941" s="94" t="str">
        <f>COUNTIFS(NCAA_Bets[Date],M941,NCAA_Bets[Result],"W")&amp;"-"&amp;COUNTIFS(NCAA_Bets[Date],M941,NCAA_Bets[Result],"L")&amp;IF(COUNTIFS(NCAA_Bets[Date],M941,NCAA_Bets[Result],"Push")&gt;0,"-"&amp;COUNTIFS(NCAA_Bets[Date],M941,NCAA_Bets[Result],"Push"),"")</f>
        <v>0-0</v>
      </c>
      <c r="P941" s="90">
        <f>SUMIF(NCAA_Bets[Date],M941,NCAA_Bets[Winnings])-SUMIF(NCAA_Bets[Date],M941,NCAA_Bets[Risk])</f>
        <v>0</v>
      </c>
    </row>
    <row r="942" spans="2:16" x14ac:dyDescent="0.25">
      <c r="B942" s="101">
        <f t="shared" si="41"/>
        <v>33</v>
      </c>
      <c r="L942" s="71">
        <f t="shared" si="43"/>
        <v>0</v>
      </c>
      <c r="M942" s="71">
        <f t="shared" si="42"/>
        <v>0</v>
      </c>
      <c r="N942" s="71" t="str">
        <f>IFERROR(VLOOKUP(M942,NCAA_Bets[[Date]:[Version]],2,0),"")</f>
        <v/>
      </c>
      <c r="O942" s="94" t="str">
        <f>COUNTIFS(NCAA_Bets[Date],M942,NCAA_Bets[Result],"W")&amp;"-"&amp;COUNTIFS(NCAA_Bets[Date],M942,NCAA_Bets[Result],"L")&amp;IF(COUNTIFS(NCAA_Bets[Date],M942,NCAA_Bets[Result],"Push")&gt;0,"-"&amp;COUNTIFS(NCAA_Bets[Date],M942,NCAA_Bets[Result],"Push"),"")</f>
        <v>0-0</v>
      </c>
      <c r="P942" s="90">
        <f>SUMIF(NCAA_Bets[Date],M942,NCAA_Bets[Winnings])-SUMIF(NCAA_Bets[Date],M942,NCAA_Bets[Risk])</f>
        <v>0</v>
      </c>
    </row>
    <row r="943" spans="2:16" x14ac:dyDescent="0.25">
      <c r="B943" s="101">
        <f t="shared" si="41"/>
        <v>33</v>
      </c>
      <c r="L943" s="71">
        <f t="shared" si="43"/>
        <v>0</v>
      </c>
      <c r="M943" s="71">
        <f t="shared" si="42"/>
        <v>0</v>
      </c>
      <c r="N943" s="71" t="str">
        <f>IFERROR(VLOOKUP(M943,NCAA_Bets[[Date]:[Version]],2,0),"")</f>
        <v/>
      </c>
      <c r="O943" s="94" t="str">
        <f>COUNTIFS(NCAA_Bets[Date],M943,NCAA_Bets[Result],"W")&amp;"-"&amp;COUNTIFS(NCAA_Bets[Date],M943,NCAA_Bets[Result],"L")&amp;IF(COUNTIFS(NCAA_Bets[Date],M943,NCAA_Bets[Result],"Push")&gt;0,"-"&amp;COUNTIFS(NCAA_Bets[Date],M943,NCAA_Bets[Result],"Push"),"")</f>
        <v>0-0</v>
      </c>
      <c r="P943" s="90">
        <f>SUMIF(NCAA_Bets[Date],M943,NCAA_Bets[Winnings])-SUMIF(NCAA_Bets[Date],M943,NCAA_Bets[Risk])</f>
        <v>0</v>
      </c>
    </row>
    <row r="944" spans="2:16" x14ac:dyDescent="0.25">
      <c r="B944" s="101">
        <f t="shared" si="41"/>
        <v>33</v>
      </c>
      <c r="L944" s="71">
        <f t="shared" si="43"/>
        <v>0</v>
      </c>
      <c r="M944" s="71">
        <f t="shared" si="42"/>
        <v>0</v>
      </c>
      <c r="N944" s="71" t="str">
        <f>IFERROR(VLOOKUP(M944,NCAA_Bets[[Date]:[Version]],2,0),"")</f>
        <v/>
      </c>
      <c r="O944" s="94" t="str">
        <f>COUNTIFS(NCAA_Bets[Date],M944,NCAA_Bets[Result],"W")&amp;"-"&amp;COUNTIFS(NCAA_Bets[Date],M944,NCAA_Bets[Result],"L")&amp;IF(COUNTIFS(NCAA_Bets[Date],M944,NCAA_Bets[Result],"Push")&gt;0,"-"&amp;COUNTIFS(NCAA_Bets[Date],M944,NCAA_Bets[Result],"Push"),"")</f>
        <v>0-0</v>
      </c>
      <c r="P944" s="90">
        <f>SUMIF(NCAA_Bets[Date],M944,NCAA_Bets[Winnings])-SUMIF(NCAA_Bets[Date],M944,NCAA_Bets[Risk])</f>
        <v>0</v>
      </c>
    </row>
    <row r="945" spans="2:16" x14ac:dyDescent="0.25">
      <c r="B945" s="101">
        <f t="shared" si="41"/>
        <v>33</v>
      </c>
      <c r="L945" s="71">
        <f t="shared" si="43"/>
        <v>0</v>
      </c>
      <c r="M945" s="71">
        <f t="shared" si="42"/>
        <v>0</v>
      </c>
      <c r="N945" s="71" t="str">
        <f>IFERROR(VLOOKUP(M945,NCAA_Bets[[Date]:[Version]],2,0),"")</f>
        <v/>
      </c>
      <c r="O945" s="94" t="str">
        <f>COUNTIFS(NCAA_Bets[Date],M945,NCAA_Bets[Result],"W")&amp;"-"&amp;COUNTIFS(NCAA_Bets[Date],M945,NCAA_Bets[Result],"L")&amp;IF(COUNTIFS(NCAA_Bets[Date],M945,NCAA_Bets[Result],"Push")&gt;0,"-"&amp;COUNTIFS(NCAA_Bets[Date],M945,NCAA_Bets[Result],"Push"),"")</f>
        <v>0-0</v>
      </c>
      <c r="P945" s="90">
        <f>SUMIF(NCAA_Bets[Date],M945,NCAA_Bets[Winnings])-SUMIF(NCAA_Bets[Date],M945,NCAA_Bets[Risk])</f>
        <v>0</v>
      </c>
    </row>
    <row r="946" spans="2:16" x14ac:dyDescent="0.25">
      <c r="B946" s="101">
        <f t="shared" si="41"/>
        <v>33</v>
      </c>
      <c r="L946" s="71">
        <f t="shared" si="43"/>
        <v>0</v>
      </c>
      <c r="M946" s="71">
        <f t="shared" si="42"/>
        <v>0</v>
      </c>
      <c r="N946" s="71" t="str">
        <f>IFERROR(VLOOKUP(M946,NCAA_Bets[[Date]:[Version]],2,0),"")</f>
        <v/>
      </c>
      <c r="O946" s="94" t="str">
        <f>COUNTIFS(NCAA_Bets[Date],M946,NCAA_Bets[Result],"W")&amp;"-"&amp;COUNTIFS(NCAA_Bets[Date],M946,NCAA_Bets[Result],"L")&amp;IF(COUNTIFS(NCAA_Bets[Date],M946,NCAA_Bets[Result],"Push")&gt;0,"-"&amp;COUNTIFS(NCAA_Bets[Date],M946,NCAA_Bets[Result],"Push"),"")</f>
        <v>0-0</v>
      </c>
      <c r="P946" s="90">
        <f>SUMIF(NCAA_Bets[Date],M946,NCAA_Bets[Winnings])-SUMIF(NCAA_Bets[Date],M946,NCAA_Bets[Risk])</f>
        <v>0</v>
      </c>
    </row>
    <row r="947" spans="2:16" x14ac:dyDescent="0.25">
      <c r="B947" s="101">
        <f t="shared" si="41"/>
        <v>33</v>
      </c>
      <c r="L947" s="71">
        <f t="shared" si="43"/>
        <v>0</v>
      </c>
      <c r="M947" s="71">
        <f t="shared" si="42"/>
        <v>0</v>
      </c>
      <c r="N947" s="71" t="str">
        <f>IFERROR(VLOOKUP(M947,NCAA_Bets[[Date]:[Version]],2,0),"")</f>
        <v/>
      </c>
      <c r="O947" s="94" t="str">
        <f>COUNTIFS(NCAA_Bets[Date],M947,NCAA_Bets[Result],"W")&amp;"-"&amp;COUNTIFS(NCAA_Bets[Date],M947,NCAA_Bets[Result],"L")&amp;IF(COUNTIFS(NCAA_Bets[Date],M947,NCAA_Bets[Result],"Push")&gt;0,"-"&amp;COUNTIFS(NCAA_Bets[Date],M947,NCAA_Bets[Result],"Push"),"")</f>
        <v>0-0</v>
      </c>
      <c r="P947" s="90">
        <f>SUMIF(NCAA_Bets[Date],M947,NCAA_Bets[Winnings])-SUMIF(NCAA_Bets[Date],M947,NCAA_Bets[Risk])</f>
        <v>0</v>
      </c>
    </row>
    <row r="948" spans="2:16" x14ac:dyDescent="0.25">
      <c r="B948" s="101">
        <f t="shared" si="41"/>
        <v>33</v>
      </c>
      <c r="L948" s="71">
        <f t="shared" si="43"/>
        <v>0</v>
      </c>
      <c r="M948" s="71">
        <f t="shared" si="42"/>
        <v>0</v>
      </c>
      <c r="N948" s="71" t="str">
        <f>IFERROR(VLOOKUP(M948,NCAA_Bets[[Date]:[Version]],2,0),"")</f>
        <v/>
      </c>
      <c r="O948" s="94" t="str">
        <f>COUNTIFS(NCAA_Bets[Date],M948,NCAA_Bets[Result],"W")&amp;"-"&amp;COUNTIFS(NCAA_Bets[Date],M948,NCAA_Bets[Result],"L")&amp;IF(COUNTIFS(NCAA_Bets[Date],M948,NCAA_Bets[Result],"Push")&gt;0,"-"&amp;COUNTIFS(NCAA_Bets[Date],M948,NCAA_Bets[Result],"Push"),"")</f>
        <v>0-0</v>
      </c>
      <c r="P948" s="90">
        <f>SUMIF(NCAA_Bets[Date],M948,NCAA_Bets[Winnings])-SUMIF(NCAA_Bets[Date],M948,NCAA_Bets[Risk])</f>
        <v>0</v>
      </c>
    </row>
    <row r="949" spans="2:16" x14ac:dyDescent="0.25">
      <c r="B949" s="101">
        <f t="shared" si="41"/>
        <v>33</v>
      </c>
      <c r="L949" s="71">
        <f t="shared" si="43"/>
        <v>0</v>
      </c>
      <c r="M949" s="71">
        <f t="shared" si="42"/>
        <v>0</v>
      </c>
      <c r="N949" s="71" t="str">
        <f>IFERROR(VLOOKUP(M949,NCAA_Bets[[Date]:[Version]],2,0),"")</f>
        <v/>
      </c>
      <c r="O949" s="94" t="str">
        <f>COUNTIFS(NCAA_Bets[Date],M949,NCAA_Bets[Result],"W")&amp;"-"&amp;COUNTIFS(NCAA_Bets[Date],M949,NCAA_Bets[Result],"L")&amp;IF(COUNTIFS(NCAA_Bets[Date],M949,NCAA_Bets[Result],"Push")&gt;0,"-"&amp;COUNTIFS(NCAA_Bets[Date],M949,NCAA_Bets[Result],"Push"),"")</f>
        <v>0-0</v>
      </c>
      <c r="P949" s="90">
        <f>SUMIF(NCAA_Bets[Date],M949,NCAA_Bets[Winnings])-SUMIF(NCAA_Bets[Date],M949,NCAA_Bets[Risk])</f>
        <v>0</v>
      </c>
    </row>
    <row r="950" spans="2:16" x14ac:dyDescent="0.25">
      <c r="B950" s="101">
        <f t="shared" si="41"/>
        <v>33</v>
      </c>
      <c r="L950" s="71">
        <f t="shared" si="43"/>
        <v>0</v>
      </c>
      <c r="M950" s="71">
        <f t="shared" si="42"/>
        <v>0</v>
      </c>
      <c r="N950" s="71" t="str">
        <f>IFERROR(VLOOKUP(M950,NCAA_Bets[[Date]:[Version]],2,0),"")</f>
        <v/>
      </c>
      <c r="O950" s="94" t="str">
        <f>COUNTIFS(NCAA_Bets[Date],M950,NCAA_Bets[Result],"W")&amp;"-"&amp;COUNTIFS(NCAA_Bets[Date],M950,NCAA_Bets[Result],"L")&amp;IF(COUNTIFS(NCAA_Bets[Date],M950,NCAA_Bets[Result],"Push")&gt;0,"-"&amp;COUNTIFS(NCAA_Bets[Date],M950,NCAA_Bets[Result],"Push"),"")</f>
        <v>0-0</v>
      </c>
      <c r="P950" s="90">
        <f>SUMIF(NCAA_Bets[Date],M950,NCAA_Bets[Winnings])-SUMIF(NCAA_Bets[Date],M950,NCAA_Bets[Risk])</f>
        <v>0</v>
      </c>
    </row>
    <row r="951" spans="2:16" x14ac:dyDescent="0.25">
      <c r="B951" s="101">
        <f t="shared" si="41"/>
        <v>33</v>
      </c>
      <c r="L951" s="71">
        <f t="shared" si="43"/>
        <v>0</v>
      </c>
      <c r="M951" s="71">
        <f t="shared" si="42"/>
        <v>0</v>
      </c>
      <c r="N951" s="71" t="str">
        <f>IFERROR(VLOOKUP(M951,NCAA_Bets[[Date]:[Version]],2,0),"")</f>
        <v/>
      </c>
      <c r="O951" s="94" t="str">
        <f>COUNTIFS(NCAA_Bets[Date],M951,NCAA_Bets[Result],"W")&amp;"-"&amp;COUNTIFS(NCAA_Bets[Date],M951,NCAA_Bets[Result],"L")&amp;IF(COUNTIFS(NCAA_Bets[Date],M951,NCAA_Bets[Result],"Push")&gt;0,"-"&amp;COUNTIFS(NCAA_Bets[Date],M951,NCAA_Bets[Result],"Push"),"")</f>
        <v>0-0</v>
      </c>
      <c r="P951" s="90">
        <f>SUMIF(NCAA_Bets[Date],M951,NCAA_Bets[Winnings])-SUMIF(NCAA_Bets[Date],M951,NCAA_Bets[Risk])</f>
        <v>0</v>
      </c>
    </row>
    <row r="952" spans="2:16" x14ac:dyDescent="0.25">
      <c r="B952" s="101">
        <f t="shared" si="41"/>
        <v>33</v>
      </c>
      <c r="L952" s="71">
        <f t="shared" si="43"/>
        <v>0</v>
      </c>
      <c r="M952" s="71">
        <f t="shared" si="42"/>
        <v>0</v>
      </c>
      <c r="N952" s="71" t="str">
        <f>IFERROR(VLOOKUP(M952,NCAA_Bets[[Date]:[Version]],2,0),"")</f>
        <v/>
      </c>
      <c r="O952" s="94" t="str">
        <f>COUNTIFS(NCAA_Bets[Date],M952,NCAA_Bets[Result],"W")&amp;"-"&amp;COUNTIFS(NCAA_Bets[Date],M952,NCAA_Bets[Result],"L")&amp;IF(COUNTIFS(NCAA_Bets[Date],M952,NCAA_Bets[Result],"Push")&gt;0,"-"&amp;COUNTIFS(NCAA_Bets[Date],M952,NCAA_Bets[Result],"Push"),"")</f>
        <v>0-0</v>
      </c>
      <c r="P952" s="90">
        <f>SUMIF(NCAA_Bets[Date],M952,NCAA_Bets[Winnings])-SUMIF(NCAA_Bets[Date],M952,NCAA_Bets[Risk])</f>
        <v>0</v>
      </c>
    </row>
    <row r="953" spans="2:16" x14ac:dyDescent="0.25">
      <c r="B953" s="101">
        <f t="shared" si="41"/>
        <v>33</v>
      </c>
      <c r="L953" s="71">
        <f t="shared" si="43"/>
        <v>0</v>
      </c>
      <c r="M953" s="71">
        <f t="shared" si="42"/>
        <v>0</v>
      </c>
      <c r="N953" s="71" t="str">
        <f>IFERROR(VLOOKUP(M953,NCAA_Bets[[Date]:[Version]],2,0),"")</f>
        <v/>
      </c>
      <c r="O953" s="94" t="str">
        <f>COUNTIFS(NCAA_Bets[Date],M953,NCAA_Bets[Result],"W")&amp;"-"&amp;COUNTIFS(NCAA_Bets[Date],M953,NCAA_Bets[Result],"L")&amp;IF(COUNTIFS(NCAA_Bets[Date],M953,NCAA_Bets[Result],"Push")&gt;0,"-"&amp;COUNTIFS(NCAA_Bets[Date],M953,NCAA_Bets[Result],"Push"),"")</f>
        <v>0-0</v>
      </c>
      <c r="P953" s="90">
        <f>SUMIF(NCAA_Bets[Date],M953,NCAA_Bets[Winnings])-SUMIF(NCAA_Bets[Date],M953,NCAA_Bets[Risk])</f>
        <v>0</v>
      </c>
    </row>
    <row r="954" spans="2:16" x14ac:dyDescent="0.25">
      <c r="B954" s="101">
        <f t="shared" si="41"/>
        <v>33</v>
      </c>
      <c r="L954" s="71">
        <f t="shared" si="43"/>
        <v>0</v>
      </c>
      <c r="M954" s="71">
        <f t="shared" si="42"/>
        <v>0</v>
      </c>
      <c r="N954" s="71" t="str">
        <f>IFERROR(VLOOKUP(M954,NCAA_Bets[[Date]:[Version]],2,0),"")</f>
        <v/>
      </c>
      <c r="O954" s="94" t="str">
        <f>COUNTIFS(NCAA_Bets[Date],M954,NCAA_Bets[Result],"W")&amp;"-"&amp;COUNTIFS(NCAA_Bets[Date],M954,NCAA_Bets[Result],"L")&amp;IF(COUNTIFS(NCAA_Bets[Date],M954,NCAA_Bets[Result],"Push")&gt;0,"-"&amp;COUNTIFS(NCAA_Bets[Date],M954,NCAA_Bets[Result],"Push"),"")</f>
        <v>0-0</v>
      </c>
      <c r="P954" s="90">
        <f>SUMIF(NCAA_Bets[Date],M954,NCAA_Bets[Winnings])-SUMIF(NCAA_Bets[Date],M954,NCAA_Bets[Risk])</f>
        <v>0</v>
      </c>
    </row>
    <row r="955" spans="2:16" x14ac:dyDescent="0.25">
      <c r="B955" s="101">
        <f t="shared" si="41"/>
        <v>33</v>
      </c>
      <c r="L955" s="71">
        <f t="shared" si="43"/>
        <v>0</v>
      </c>
      <c r="M955" s="71">
        <f t="shared" si="42"/>
        <v>0</v>
      </c>
      <c r="N955" s="71" t="str">
        <f>IFERROR(VLOOKUP(M955,NCAA_Bets[[Date]:[Version]],2,0),"")</f>
        <v/>
      </c>
      <c r="O955" s="94" t="str">
        <f>COUNTIFS(NCAA_Bets[Date],M955,NCAA_Bets[Result],"W")&amp;"-"&amp;COUNTIFS(NCAA_Bets[Date],M955,NCAA_Bets[Result],"L")&amp;IF(COUNTIFS(NCAA_Bets[Date],M955,NCAA_Bets[Result],"Push")&gt;0,"-"&amp;COUNTIFS(NCAA_Bets[Date],M955,NCAA_Bets[Result],"Push"),"")</f>
        <v>0-0</v>
      </c>
      <c r="P955" s="90">
        <f>SUMIF(NCAA_Bets[Date],M955,NCAA_Bets[Winnings])-SUMIF(NCAA_Bets[Date],M955,NCAA_Bets[Risk])</f>
        <v>0</v>
      </c>
    </row>
    <row r="956" spans="2:16" x14ac:dyDescent="0.25">
      <c r="B956" s="101">
        <f t="shared" si="41"/>
        <v>33</v>
      </c>
      <c r="L956" s="71">
        <f t="shared" si="43"/>
        <v>0</v>
      </c>
      <c r="M956" s="71">
        <f t="shared" si="42"/>
        <v>0</v>
      </c>
      <c r="N956" s="71" t="str">
        <f>IFERROR(VLOOKUP(M956,NCAA_Bets[[Date]:[Version]],2,0),"")</f>
        <v/>
      </c>
      <c r="O956" s="94" t="str">
        <f>COUNTIFS(NCAA_Bets[Date],M956,NCAA_Bets[Result],"W")&amp;"-"&amp;COUNTIFS(NCAA_Bets[Date],M956,NCAA_Bets[Result],"L")&amp;IF(COUNTIFS(NCAA_Bets[Date],M956,NCAA_Bets[Result],"Push")&gt;0,"-"&amp;COUNTIFS(NCAA_Bets[Date],M956,NCAA_Bets[Result],"Push"),"")</f>
        <v>0-0</v>
      </c>
      <c r="P956" s="90">
        <f>SUMIF(NCAA_Bets[Date],M956,NCAA_Bets[Winnings])-SUMIF(NCAA_Bets[Date],M956,NCAA_Bets[Risk])</f>
        <v>0</v>
      </c>
    </row>
    <row r="957" spans="2:16" x14ac:dyDescent="0.25">
      <c r="B957" s="101">
        <f t="shared" si="41"/>
        <v>33</v>
      </c>
      <c r="L957" s="71">
        <f t="shared" si="43"/>
        <v>0</v>
      </c>
      <c r="M957" s="71">
        <f t="shared" si="42"/>
        <v>0</v>
      </c>
      <c r="N957" s="71" t="str">
        <f>IFERROR(VLOOKUP(M957,NCAA_Bets[[Date]:[Version]],2,0),"")</f>
        <v/>
      </c>
      <c r="O957" s="94" t="str">
        <f>COUNTIFS(NCAA_Bets[Date],M957,NCAA_Bets[Result],"W")&amp;"-"&amp;COUNTIFS(NCAA_Bets[Date],M957,NCAA_Bets[Result],"L")&amp;IF(COUNTIFS(NCAA_Bets[Date],M957,NCAA_Bets[Result],"Push")&gt;0,"-"&amp;COUNTIFS(NCAA_Bets[Date],M957,NCAA_Bets[Result],"Push"),"")</f>
        <v>0-0</v>
      </c>
      <c r="P957" s="90">
        <f>SUMIF(NCAA_Bets[Date],M957,NCAA_Bets[Winnings])-SUMIF(NCAA_Bets[Date],M957,NCAA_Bets[Risk])</f>
        <v>0</v>
      </c>
    </row>
    <row r="958" spans="2:16" x14ac:dyDescent="0.25">
      <c r="B958" s="101">
        <f t="shared" si="41"/>
        <v>33</v>
      </c>
      <c r="L958" s="71">
        <f t="shared" si="43"/>
        <v>0</v>
      </c>
      <c r="M958" s="71">
        <f t="shared" si="42"/>
        <v>0</v>
      </c>
      <c r="N958" s="71" t="str">
        <f>IFERROR(VLOOKUP(M958,NCAA_Bets[[Date]:[Version]],2,0),"")</f>
        <v/>
      </c>
      <c r="O958" s="94" t="str">
        <f>COUNTIFS(NCAA_Bets[Date],M958,NCAA_Bets[Result],"W")&amp;"-"&amp;COUNTIFS(NCAA_Bets[Date],M958,NCAA_Bets[Result],"L")&amp;IF(COUNTIFS(NCAA_Bets[Date],M958,NCAA_Bets[Result],"Push")&gt;0,"-"&amp;COUNTIFS(NCAA_Bets[Date],M958,NCAA_Bets[Result],"Push"),"")</f>
        <v>0-0</v>
      </c>
      <c r="P958" s="90">
        <f>SUMIF(NCAA_Bets[Date],M958,NCAA_Bets[Winnings])-SUMIF(NCAA_Bets[Date],M958,NCAA_Bets[Risk])</f>
        <v>0</v>
      </c>
    </row>
    <row r="959" spans="2:16" x14ac:dyDescent="0.25">
      <c r="B959" s="101">
        <f t="shared" si="41"/>
        <v>33</v>
      </c>
      <c r="L959" s="71">
        <f t="shared" si="43"/>
        <v>0</v>
      </c>
      <c r="M959" s="71">
        <f t="shared" si="42"/>
        <v>0</v>
      </c>
      <c r="N959" s="71" t="str">
        <f>IFERROR(VLOOKUP(M959,NCAA_Bets[[Date]:[Version]],2,0),"")</f>
        <v/>
      </c>
      <c r="O959" s="94" t="str">
        <f>COUNTIFS(NCAA_Bets[Date],M959,NCAA_Bets[Result],"W")&amp;"-"&amp;COUNTIFS(NCAA_Bets[Date],M959,NCAA_Bets[Result],"L")&amp;IF(COUNTIFS(NCAA_Bets[Date],M959,NCAA_Bets[Result],"Push")&gt;0,"-"&amp;COUNTIFS(NCAA_Bets[Date],M959,NCAA_Bets[Result],"Push"),"")</f>
        <v>0-0</v>
      </c>
      <c r="P959" s="90">
        <f>SUMIF(NCAA_Bets[Date],M959,NCAA_Bets[Winnings])-SUMIF(NCAA_Bets[Date],M959,NCAA_Bets[Risk])</f>
        <v>0</v>
      </c>
    </row>
    <row r="960" spans="2:16" x14ac:dyDescent="0.25">
      <c r="B960" s="101">
        <f t="shared" si="41"/>
        <v>33</v>
      </c>
      <c r="L960" s="71">
        <f t="shared" si="43"/>
        <v>0</v>
      </c>
      <c r="M960" s="71">
        <f t="shared" si="42"/>
        <v>0</v>
      </c>
      <c r="N960" s="71" t="str">
        <f>IFERROR(VLOOKUP(M960,NCAA_Bets[[Date]:[Version]],2,0),"")</f>
        <v/>
      </c>
      <c r="O960" s="94" t="str">
        <f>COUNTIFS(NCAA_Bets[Date],M960,NCAA_Bets[Result],"W")&amp;"-"&amp;COUNTIFS(NCAA_Bets[Date],M960,NCAA_Bets[Result],"L")&amp;IF(COUNTIFS(NCAA_Bets[Date],M960,NCAA_Bets[Result],"Push")&gt;0,"-"&amp;COUNTIFS(NCAA_Bets[Date],M960,NCAA_Bets[Result],"Push"),"")</f>
        <v>0-0</v>
      </c>
      <c r="P960" s="90">
        <f>SUMIF(NCAA_Bets[Date],M960,NCAA_Bets[Winnings])-SUMIF(NCAA_Bets[Date],M960,NCAA_Bets[Risk])</f>
        <v>0</v>
      </c>
    </row>
    <row r="961" spans="2:16" x14ac:dyDescent="0.25">
      <c r="B961" s="101">
        <f t="shared" si="41"/>
        <v>33</v>
      </c>
      <c r="L961" s="71">
        <f t="shared" si="43"/>
        <v>0</v>
      </c>
      <c r="M961" s="71">
        <f t="shared" si="42"/>
        <v>0</v>
      </c>
      <c r="N961" s="71" t="str">
        <f>IFERROR(VLOOKUP(M961,NCAA_Bets[[Date]:[Version]],2,0),"")</f>
        <v/>
      </c>
      <c r="O961" s="94" t="str">
        <f>COUNTIFS(NCAA_Bets[Date],M961,NCAA_Bets[Result],"W")&amp;"-"&amp;COUNTIFS(NCAA_Bets[Date],M961,NCAA_Bets[Result],"L")&amp;IF(COUNTIFS(NCAA_Bets[Date],M961,NCAA_Bets[Result],"Push")&gt;0,"-"&amp;COUNTIFS(NCAA_Bets[Date],M961,NCAA_Bets[Result],"Push"),"")</f>
        <v>0-0</v>
      </c>
      <c r="P961" s="90">
        <f>SUMIF(NCAA_Bets[Date],M961,NCAA_Bets[Winnings])-SUMIF(NCAA_Bets[Date],M961,NCAA_Bets[Risk])</f>
        <v>0</v>
      </c>
    </row>
    <row r="962" spans="2:16" x14ac:dyDescent="0.25">
      <c r="B962" s="101">
        <f t="shared" si="41"/>
        <v>33</v>
      </c>
      <c r="L962" s="71">
        <f t="shared" si="43"/>
        <v>0</v>
      </c>
      <c r="M962" s="71">
        <f t="shared" si="42"/>
        <v>0</v>
      </c>
      <c r="N962" s="71" t="str">
        <f>IFERROR(VLOOKUP(M962,NCAA_Bets[[Date]:[Version]],2,0),"")</f>
        <v/>
      </c>
      <c r="O962" s="94" t="str">
        <f>COUNTIFS(NCAA_Bets[Date],M962,NCAA_Bets[Result],"W")&amp;"-"&amp;COUNTIFS(NCAA_Bets[Date],M962,NCAA_Bets[Result],"L")&amp;IF(COUNTIFS(NCAA_Bets[Date],M962,NCAA_Bets[Result],"Push")&gt;0,"-"&amp;COUNTIFS(NCAA_Bets[Date],M962,NCAA_Bets[Result],"Push"),"")</f>
        <v>0-0</v>
      </c>
      <c r="P962" s="90">
        <f>SUMIF(NCAA_Bets[Date],M962,NCAA_Bets[Winnings])-SUMIF(NCAA_Bets[Date],M962,NCAA_Bets[Risk])</f>
        <v>0</v>
      </c>
    </row>
    <row r="963" spans="2:16" x14ac:dyDescent="0.25">
      <c r="B963" s="101">
        <f t="shared" si="41"/>
        <v>33</v>
      </c>
      <c r="L963" s="71">
        <f t="shared" si="43"/>
        <v>0</v>
      </c>
      <c r="M963" s="71">
        <f t="shared" si="42"/>
        <v>0</v>
      </c>
      <c r="N963" s="71" t="str">
        <f>IFERROR(VLOOKUP(M963,NCAA_Bets[[Date]:[Version]],2,0),"")</f>
        <v/>
      </c>
      <c r="O963" s="94" t="str">
        <f>COUNTIFS(NCAA_Bets[Date],M963,NCAA_Bets[Result],"W")&amp;"-"&amp;COUNTIFS(NCAA_Bets[Date],M963,NCAA_Bets[Result],"L")&amp;IF(COUNTIFS(NCAA_Bets[Date],M963,NCAA_Bets[Result],"Push")&gt;0,"-"&amp;COUNTIFS(NCAA_Bets[Date],M963,NCAA_Bets[Result],"Push"),"")</f>
        <v>0-0</v>
      </c>
      <c r="P963" s="90">
        <f>SUMIF(NCAA_Bets[Date],M963,NCAA_Bets[Winnings])-SUMIF(NCAA_Bets[Date],M963,NCAA_Bets[Risk])</f>
        <v>0</v>
      </c>
    </row>
    <row r="964" spans="2:16" x14ac:dyDescent="0.25">
      <c r="B964" s="101">
        <f t="shared" si="41"/>
        <v>33</v>
      </c>
      <c r="L964" s="71">
        <f t="shared" si="43"/>
        <v>0</v>
      </c>
      <c r="M964" s="71">
        <f t="shared" si="42"/>
        <v>0</v>
      </c>
      <c r="N964" s="71" t="str">
        <f>IFERROR(VLOOKUP(M964,NCAA_Bets[[Date]:[Version]],2,0),"")</f>
        <v/>
      </c>
      <c r="O964" s="94" t="str">
        <f>COUNTIFS(NCAA_Bets[Date],M964,NCAA_Bets[Result],"W")&amp;"-"&amp;COUNTIFS(NCAA_Bets[Date],M964,NCAA_Bets[Result],"L")&amp;IF(COUNTIFS(NCAA_Bets[Date],M964,NCAA_Bets[Result],"Push")&gt;0,"-"&amp;COUNTIFS(NCAA_Bets[Date],M964,NCAA_Bets[Result],"Push"),"")</f>
        <v>0-0</v>
      </c>
      <c r="P964" s="90">
        <f>SUMIF(NCAA_Bets[Date],M964,NCAA_Bets[Winnings])-SUMIF(NCAA_Bets[Date],M964,NCAA_Bets[Risk])</f>
        <v>0</v>
      </c>
    </row>
    <row r="965" spans="2:16" x14ac:dyDescent="0.25">
      <c r="B965" s="101">
        <f t="shared" si="41"/>
        <v>33</v>
      </c>
      <c r="L965" s="71">
        <f t="shared" si="43"/>
        <v>0</v>
      </c>
      <c r="M965" s="71">
        <f t="shared" si="42"/>
        <v>0</v>
      </c>
      <c r="N965" s="71" t="str">
        <f>IFERROR(VLOOKUP(M965,NCAA_Bets[[Date]:[Version]],2,0),"")</f>
        <v/>
      </c>
      <c r="O965" s="94" t="str">
        <f>COUNTIFS(NCAA_Bets[Date],M965,NCAA_Bets[Result],"W")&amp;"-"&amp;COUNTIFS(NCAA_Bets[Date],M965,NCAA_Bets[Result],"L")&amp;IF(COUNTIFS(NCAA_Bets[Date],M965,NCAA_Bets[Result],"Push")&gt;0,"-"&amp;COUNTIFS(NCAA_Bets[Date],M965,NCAA_Bets[Result],"Push"),"")</f>
        <v>0-0</v>
      </c>
      <c r="P965" s="90">
        <f>SUMIF(NCAA_Bets[Date],M965,NCAA_Bets[Winnings])-SUMIF(NCAA_Bets[Date],M965,NCAA_Bets[Risk])</f>
        <v>0</v>
      </c>
    </row>
    <row r="966" spans="2:16" x14ac:dyDescent="0.25">
      <c r="B966" s="101">
        <f t="shared" ref="B966:B1029" si="44">IF(C966=C965,B965,B965+1)</f>
        <v>33</v>
      </c>
      <c r="L966" s="71">
        <f t="shared" si="43"/>
        <v>0</v>
      </c>
      <c r="M966" s="71">
        <f t="shared" si="42"/>
        <v>0</v>
      </c>
      <c r="N966" s="71" t="str">
        <f>IFERROR(VLOOKUP(M966,NCAA_Bets[[Date]:[Version]],2,0),"")</f>
        <v/>
      </c>
      <c r="O966" s="94" t="str">
        <f>COUNTIFS(NCAA_Bets[Date],M966,NCAA_Bets[Result],"W")&amp;"-"&amp;COUNTIFS(NCAA_Bets[Date],M966,NCAA_Bets[Result],"L")&amp;IF(COUNTIFS(NCAA_Bets[Date],M966,NCAA_Bets[Result],"Push")&gt;0,"-"&amp;COUNTIFS(NCAA_Bets[Date],M966,NCAA_Bets[Result],"Push"),"")</f>
        <v>0-0</v>
      </c>
      <c r="P966" s="90">
        <f>SUMIF(NCAA_Bets[Date],M966,NCAA_Bets[Winnings])-SUMIF(NCAA_Bets[Date],M966,NCAA_Bets[Risk])</f>
        <v>0</v>
      </c>
    </row>
    <row r="967" spans="2:16" x14ac:dyDescent="0.25">
      <c r="B967" s="101">
        <f t="shared" si="44"/>
        <v>33</v>
      </c>
      <c r="L967" s="71">
        <f t="shared" si="43"/>
        <v>0</v>
      </c>
      <c r="M967" s="71">
        <f t="shared" si="42"/>
        <v>0</v>
      </c>
      <c r="N967" s="71" t="str">
        <f>IFERROR(VLOOKUP(M967,NCAA_Bets[[Date]:[Version]],2,0),"")</f>
        <v/>
      </c>
      <c r="O967" s="94" t="str">
        <f>COUNTIFS(NCAA_Bets[Date],M967,NCAA_Bets[Result],"W")&amp;"-"&amp;COUNTIFS(NCAA_Bets[Date],M967,NCAA_Bets[Result],"L")&amp;IF(COUNTIFS(NCAA_Bets[Date],M967,NCAA_Bets[Result],"Push")&gt;0,"-"&amp;COUNTIFS(NCAA_Bets[Date],M967,NCAA_Bets[Result],"Push"),"")</f>
        <v>0-0</v>
      </c>
      <c r="P967" s="90">
        <f>SUMIF(NCAA_Bets[Date],M967,NCAA_Bets[Winnings])-SUMIF(NCAA_Bets[Date],M967,NCAA_Bets[Risk])</f>
        <v>0</v>
      </c>
    </row>
    <row r="968" spans="2:16" x14ac:dyDescent="0.25">
      <c r="B968" s="101">
        <f t="shared" si="44"/>
        <v>33</v>
      </c>
      <c r="L968" s="71">
        <f t="shared" si="43"/>
        <v>0</v>
      </c>
      <c r="M968" s="71">
        <f t="shared" si="42"/>
        <v>0</v>
      </c>
      <c r="N968" s="71" t="str">
        <f>IFERROR(VLOOKUP(M968,NCAA_Bets[[Date]:[Version]],2,0),"")</f>
        <v/>
      </c>
      <c r="O968" s="94" t="str">
        <f>COUNTIFS(NCAA_Bets[Date],M968,NCAA_Bets[Result],"W")&amp;"-"&amp;COUNTIFS(NCAA_Bets[Date],M968,NCAA_Bets[Result],"L")&amp;IF(COUNTIFS(NCAA_Bets[Date],M968,NCAA_Bets[Result],"Push")&gt;0,"-"&amp;COUNTIFS(NCAA_Bets[Date],M968,NCAA_Bets[Result],"Push"),"")</f>
        <v>0-0</v>
      </c>
      <c r="P968" s="90">
        <f>SUMIF(NCAA_Bets[Date],M968,NCAA_Bets[Winnings])-SUMIF(NCAA_Bets[Date],M968,NCAA_Bets[Risk])</f>
        <v>0</v>
      </c>
    </row>
    <row r="969" spans="2:16" x14ac:dyDescent="0.25">
      <c r="B969" s="101">
        <f t="shared" si="44"/>
        <v>33</v>
      </c>
      <c r="L969" s="71">
        <f t="shared" si="43"/>
        <v>0</v>
      </c>
      <c r="M969" s="71">
        <f t="shared" si="42"/>
        <v>0</v>
      </c>
      <c r="N969" s="71" t="str">
        <f>IFERROR(VLOOKUP(M969,NCAA_Bets[[Date]:[Version]],2,0),"")</f>
        <v/>
      </c>
      <c r="O969" s="94" t="str">
        <f>COUNTIFS(NCAA_Bets[Date],M969,NCAA_Bets[Result],"W")&amp;"-"&amp;COUNTIFS(NCAA_Bets[Date],M969,NCAA_Bets[Result],"L")&amp;IF(COUNTIFS(NCAA_Bets[Date],M969,NCAA_Bets[Result],"Push")&gt;0,"-"&amp;COUNTIFS(NCAA_Bets[Date],M969,NCAA_Bets[Result],"Push"),"")</f>
        <v>0-0</v>
      </c>
      <c r="P969" s="90">
        <f>SUMIF(NCAA_Bets[Date],M969,NCAA_Bets[Winnings])-SUMIF(NCAA_Bets[Date],M969,NCAA_Bets[Risk])</f>
        <v>0</v>
      </c>
    </row>
    <row r="970" spans="2:16" x14ac:dyDescent="0.25">
      <c r="B970" s="101">
        <f t="shared" si="44"/>
        <v>33</v>
      </c>
      <c r="L970" s="71">
        <f t="shared" si="43"/>
        <v>0</v>
      </c>
      <c r="M970" s="71">
        <f t="shared" si="42"/>
        <v>0</v>
      </c>
      <c r="N970" s="71" t="str">
        <f>IFERROR(VLOOKUP(M970,NCAA_Bets[[Date]:[Version]],2,0),"")</f>
        <v/>
      </c>
      <c r="O970" s="94" t="str">
        <f>COUNTIFS(NCAA_Bets[Date],M970,NCAA_Bets[Result],"W")&amp;"-"&amp;COUNTIFS(NCAA_Bets[Date],M970,NCAA_Bets[Result],"L")&amp;IF(COUNTIFS(NCAA_Bets[Date],M970,NCAA_Bets[Result],"Push")&gt;0,"-"&amp;COUNTIFS(NCAA_Bets[Date],M970,NCAA_Bets[Result],"Push"),"")</f>
        <v>0-0</v>
      </c>
      <c r="P970" s="90">
        <f>SUMIF(NCAA_Bets[Date],M970,NCAA_Bets[Winnings])-SUMIF(NCAA_Bets[Date],M970,NCAA_Bets[Risk])</f>
        <v>0</v>
      </c>
    </row>
    <row r="971" spans="2:16" x14ac:dyDescent="0.25">
      <c r="B971" s="101">
        <f t="shared" si="44"/>
        <v>33</v>
      </c>
      <c r="L971" s="71">
        <f t="shared" si="43"/>
        <v>0</v>
      </c>
      <c r="M971" s="71">
        <f t="shared" si="42"/>
        <v>0</v>
      </c>
      <c r="N971" s="71" t="str">
        <f>IFERROR(VLOOKUP(M971,NCAA_Bets[[Date]:[Version]],2,0),"")</f>
        <v/>
      </c>
      <c r="O971" s="94" t="str">
        <f>COUNTIFS(NCAA_Bets[Date],M971,NCAA_Bets[Result],"W")&amp;"-"&amp;COUNTIFS(NCAA_Bets[Date],M971,NCAA_Bets[Result],"L")&amp;IF(COUNTIFS(NCAA_Bets[Date],M971,NCAA_Bets[Result],"Push")&gt;0,"-"&amp;COUNTIFS(NCAA_Bets[Date],M971,NCAA_Bets[Result],"Push"),"")</f>
        <v>0-0</v>
      </c>
      <c r="P971" s="90">
        <f>SUMIF(NCAA_Bets[Date],M971,NCAA_Bets[Winnings])-SUMIF(NCAA_Bets[Date],M971,NCAA_Bets[Risk])</f>
        <v>0</v>
      </c>
    </row>
    <row r="972" spans="2:16" x14ac:dyDescent="0.25">
      <c r="B972" s="101">
        <f t="shared" si="44"/>
        <v>33</v>
      </c>
      <c r="L972" s="71">
        <f t="shared" si="43"/>
        <v>0</v>
      </c>
      <c r="M972" s="71">
        <f t="shared" si="42"/>
        <v>0</v>
      </c>
      <c r="N972" s="71" t="str">
        <f>IFERROR(VLOOKUP(M972,NCAA_Bets[[Date]:[Version]],2,0),"")</f>
        <v/>
      </c>
      <c r="O972" s="94" t="str">
        <f>COUNTIFS(NCAA_Bets[Date],M972,NCAA_Bets[Result],"W")&amp;"-"&amp;COUNTIFS(NCAA_Bets[Date],M972,NCAA_Bets[Result],"L")&amp;IF(COUNTIFS(NCAA_Bets[Date],M972,NCAA_Bets[Result],"Push")&gt;0,"-"&amp;COUNTIFS(NCAA_Bets[Date],M972,NCAA_Bets[Result],"Push"),"")</f>
        <v>0-0</v>
      </c>
      <c r="P972" s="90">
        <f>SUMIF(NCAA_Bets[Date],M972,NCAA_Bets[Winnings])-SUMIF(NCAA_Bets[Date],M972,NCAA_Bets[Risk])</f>
        <v>0</v>
      </c>
    </row>
    <row r="973" spans="2:16" x14ac:dyDescent="0.25">
      <c r="B973" s="101">
        <f t="shared" si="44"/>
        <v>33</v>
      </c>
      <c r="L973" s="71">
        <f t="shared" si="43"/>
        <v>0</v>
      </c>
      <c r="M973" s="71">
        <f t="shared" si="42"/>
        <v>0</v>
      </c>
      <c r="N973" s="71" t="str">
        <f>IFERROR(VLOOKUP(M973,NCAA_Bets[[Date]:[Version]],2,0),"")</f>
        <v/>
      </c>
      <c r="O973" s="94" t="str">
        <f>COUNTIFS(NCAA_Bets[Date],M973,NCAA_Bets[Result],"W")&amp;"-"&amp;COUNTIFS(NCAA_Bets[Date],M973,NCAA_Bets[Result],"L")&amp;IF(COUNTIFS(NCAA_Bets[Date],M973,NCAA_Bets[Result],"Push")&gt;0,"-"&amp;COUNTIFS(NCAA_Bets[Date],M973,NCAA_Bets[Result],"Push"),"")</f>
        <v>0-0</v>
      </c>
      <c r="P973" s="90">
        <f>SUMIF(NCAA_Bets[Date],M973,NCAA_Bets[Winnings])-SUMIF(NCAA_Bets[Date],M973,NCAA_Bets[Risk])</f>
        <v>0</v>
      </c>
    </row>
    <row r="974" spans="2:16" x14ac:dyDescent="0.25">
      <c r="B974" s="101">
        <f t="shared" si="44"/>
        <v>33</v>
      </c>
      <c r="L974" s="71">
        <f t="shared" si="43"/>
        <v>0</v>
      </c>
      <c r="M974" s="71">
        <f t="shared" si="42"/>
        <v>0</v>
      </c>
      <c r="N974" s="71" t="str">
        <f>IFERROR(VLOOKUP(M974,NCAA_Bets[[Date]:[Version]],2,0),"")</f>
        <v/>
      </c>
      <c r="O974" s="94" t="str">
        <f>COUNTIFS(NCAA_Bets[Date],M974,NCAA_Bets[Result],"W")&amp;"-"&amp;COUNTIFS(NCAA_Bets[Date],M974,NCAA_Bets[Result],"L")&amp;IF(COUNTIFS(NCAA_Bets[Date],M974,NCAA_Bets[Result],"Push")&gt;0,"-"&amp;COUNTIFS(NCAA_Bets[Date],M974,NCAA_Bets[Result],"Push"),"")</f>
        <v>0-0</v>
      </c>
      <c r="P974" s="90">
        <f>SUMIF(NCAA_Bets[Date],M974,NCAA_Bets[Winnings])-SUMIF(NCAA_Bets[Date],M974,NCAA_Bets[Risk])</f>
        <v>0</v>
      </c>
    </row>
    <row r="975" spans="2:16" x14ac:dyDescent="0.25">
      <c r="B975" s="101">
        <f t="shared" si="44"/>
        <v>33</v>
      </c>
      <c r="L975" s="71">
        <f t="shared" si="43"/>
        <v>0</v>
      </c>
      <c r="M975" s="71">
        <f t="shared" si="42"/>
        <v>0</v>
      </c>
      <c r="N975" s="71" t="str">
        <f>IFERROR(VLOOKUP(M975,NCAA_Bets[[Date]:[Version]],2,0),"")</f>
        <v/>
      </c>
      <c r="O975" s="94" t="str">
        <f>COUNTIFS(NCAA_Bets[Date],M975,NCAA_Bets[Result],"W")&amp;"-"&amp;COUNTIFS(NCAA_Bets[Date],M975,NCAA_Bets[Result],"L")&amp;IF(COUNTIFS(NCAA_Bets[Date],M975,NCAA_Bets[Result],"Push")&gt;0,"-"&amp;COUNTIFS(NCAA_Bets[Date],M975,NCAA_Bets[Result],"Push"),"")</f>
        <v>0-0</v>
      </c>
      <c r="P975" s="90">
        <f>SUMIF(NCAA_Bets[Date],M975,NCAA_Bets[Winnings])-SUMIF(NCAA_Bets[Date],M975,NCAA_Bets[Risk])</f>
        <v>0</v>
      </c>
    </row>
    <row r="976" spans="2:16" x14ac:dyDescent="0.25">
      <c r="B976" s="101">
        <f t="shared" si="44"/>
        <v>33</v>
      </c>
      <c r="L976" s="71">
        <f t="shared" si="43"/>
        <v>0</v>
      </c>
      <c r="M976" s="71">
        <f t="shared" si="42"/>
        <v>0</v>
      </c>
      <c r="N976" s="71" t="str">
        <f>IFERROR(VLOOKUP(M976,NCAA_Bets[[Date]:[Version]],2,0),"")</f>
        <v/>
      </c>
      <c r="O976" s="94" t="str">
        <f>COUNTIFS(NCAA_Bets[Date],M976,NCAA_Bets[Result],"W")&amp;"-"&amp;COUNTIFS(NCAA_Bets[Date],M976,NCAA_Bets[Result],"L")&amp;IF(COUNTIFS(NCAA_Bets[Date],M976,NCAA_Bets[Result],"Push")&gt;0,"-"&amp;COUNTIFS(NCAA_Bets[Date],M976,NCAA_Bets[Result],"Push"),"")</f>
        <v>0-0</v>
      </c>
      <c r="P976" s="90">
        <f>SUMIF(NCAA_Bets[Date],M976,NCAA_Bets[Winnings])-SUMIF(NCAA_Bets[Date],M976,NCAA_Bets[Risk])</f>
        <v>0</v>
      </c>
    </row>
    <row r="977" spans="2:16" x14ac:dyDescent="0.25">
      <c r="B977" s="101">
        <f t="shared" si="44"/>
        <v>33</v>
      </c>
      <c r="L977" s="71">
        <f t="shared" si="43"/>
        <v>0</v>
      </c>
      <c r="M977" s="71">
        <f t="shared" si="42"/>
        <v>0</v>
      </c>
      <c r="N977" s="71" t="str">
        <f>IFERROR(VLOOKUP(M977,NCAA_Bets[[Date]:[Version]],2,0),"")</f>
        <v/>
      </c>
      <c r="O977" s="94" t="str">
        <f>COUNTIFS(NCAA_Bets[Date],M977,NCAA_Bets[Result],"W")&amp;"-"&amp;COUNTIFS(NCAA_Bets[Date],M977,NCAA_Bets[Result],"L")&amp;IF(COUNTIFS(NCAA_Bets[Date],M977,NCAA_Bets[Result],"Push")&gt;0,"-"&amp;COUNTIFS(NCAA_Bets[Date],M977,NCAA_Bets[Result],"Push"),"")</f>
        <v>0-0</v>
      </c>
      <c r="P977" s="90">
        <f>SUMIF(NCAA_Bets[Date],M977,NCAA_Bets[Winnings])-SUMIF(NCAA_Bets[Date],M977,NCAA_Bets[Risk])</f>
        <v>0</v>
      </c>
    </row>
    <row r="978" spans="2:16" x14ac:dyDescent="0.25">
      <c r="B978" s="101">
        <f t="shared" si="44"/>
        <v>33</v>
      </c>
      <c r="L978" s="71">
        <f t="shared" si="43"/>
        <v>0</v>
      </c>
      <c r="M978" s="71">
        <f t="shared" si="42"/>
        <v>0</v>
      </c>
      <c r="N978" s="71" t="str">
        <f>IFERROR(VLOOKUP(M978,NCAA_Bets[[Date]:[Version]],2,0),"")</f>
        <v/>
      </c>
      <c r="O978" s="94" t="str">
        <f>COUNTIFS(NCAA_Bets[Date],M978,NCAA_Bets[Result],"W")&amp;"-"&amp;COUNTIFS(NCAA_Bets[Date],M978,NCAA_Bets[Result],"L")&amp;IF(COUNTIFS(NCAA_Bets[Date],M978,NCAA_Bets[Result],"Push")&gt;0,"-"&amp;COUNTIFS(NCAA_Bets[Date],M978,NCAA_Bets[Result],"Push"),"")</f>
        <v>0-0</v>
      </c>
      <c r="P978" s="90">
        <f>SUMIF(NCAA_Bets[Date],M978,NCAA_Bets[Winnings])-SUMIF(NCAA_Bets[Date],M978,NCAA_Bets[Risk])</f>
        <v>0</v>
      </c>
    </row>
    <row r="979" spans="2:16" x14ac:dyDescent="0.25">
      <c r="B979" s="101">
        <f t="shared" si="44"/>
        <v>33</v>
      </c>
      <c r="L979" s="71">
        <f t="shared" si="43"/>
        <v>0</v>
      </c>
      <c r="M979" s="71">
        <f t="shared" si="42"/>
        <v>0</v>
      </c>
      <c r="N979" s="71" t="str">
        <f>IFERROR(VLOOKUP(M979,NCAA_Bets[[Date]:[Version]],2,0),"")</f>
        <v/>
      </c>
      <c r="O979" s="94" t="str">
        <f>COUNTIFS(NCAA_Bets[Date],M979,NCAA_Bets[Result],"W")&amp;"-"&amp;COUNTIFS(NCAA_Bets[Date],M979,NCAA_Bets[Result],"L")&amp;IF(COUNTIFS(NCAA_Bets[Date],M979,NCAA_Bets[Result],"Push")&gt;0,"-"&amp;COUNTIFS(NCAA_Bets[Date],M979,NCAA_Bets[Result],"Push"),"")</f>
        <v>0-0</v>
      </c>
      <c r="P979" s="90">
        <f>SUMIF(NCAA_Bets[Date],M979,NCAA_Bets[Winnings])-SUMIF(NCAA_Bets[Date],M979,NCAA_Bets[Risk])</f>
        <v>0</v>
      </c>
    </row>
    <row r="980" spans="2:16" x14ac:dyDescent="0.25">
      <c r="B980" s="101">
        <f t="shared" si="44"/>
        <v>33</v>
      </c>
      <c r="L980" s="71">
        <f t="shared" si="43"/>
        <v>0</v>
      </c>
      <c r="M980" s="71">
        <f t="shared" si="42"/>
        <v>0</v>
      </c>
      <c r="N980" s="71" t="str">
        <f>IFERROR(VLOOKUP(M980,NCAA_Bets[[Date]:[Version]],2,0),"")</f>
        <v/>
      </c>
      <c r="O980" s="94" t="str">
        <f>COUNTIFS(NCAA_Bets[Date],M980,NCAA_Bets[Result],"W")&amp;"-"&amp;COUNTIFS(NCAA_Bets[Date],M980,NCAA_Bets[Result],"L")&amp;IF(COUNTIFS(NCAA_Bets[Date],M980,NCAA_Bets[Result],"Push")&gt;0,"-"&amp;COUNTIFS(NCAA_Bets[Date],M980,NCAA_Bets[Result],"Push"),"")</f>
        <v>0-0</v>
      </c>
      <c r="P980" s="90">
        <f>SUMIF(NCAA_Bets[Date],M980,NCAA_Bets[Winnings])-SUMIF(NCAA_Bets[Date],M980,NCAA_Bets[Risk])</f>
        <v>0</v>
      </c>
    </row>
    <row r="981" spans="2:16" x14ac:dyDescent="0.25">
      <c r="B981" s="101">
        <f t="shared" si="44"/>
        <v>33</v>
      </c>
      <c r="L981" s="71">
        <f t="shared" si="43"/>
        <v>0</v>
      </c>
      <c r="M981" s="71">
        <f t="shared" si="42"/>
        <v>0</v>
      </c>
      <c r="N981" s="71" t="str">
        <f>IFERROR(VLOOKUP(M981,NCAA_Bets[[Date]:[Version]],2,0),"")</f>
        <v/>
      </c>
      <c r="O981" s="94" t="str">
        <f>COUNTIFS(NCAA_Bets[Date],M981,NCAA_Bets[Result],"W")&amp;"-"&amp;COUNTIFS(NCAA_Bets[Date],M981,NCAA_Bets[Result],"L")&amp;IF(COUNTIFS(NCAA_Bets[Date],M981,NCAA_Bets[Result],"Push")&gt;0,"-"&amp;COUNTIFS(NCAA_Bets[Date],M981,NCAA_Bets[Result],"Push"),"")</f>
        <v>0-0</v>
      </c>
      <c r="P981" s="90">
        <f>SUMIF(NCAA_Bets[Date],M981,NCAA_Bets[Winnings])-SUMIF(NCAA_Bets[Date],M981,NCAA_Bets[Risk])</f>
        <v>0</v>
      </c>
    </row>
    <row r="982" spans="2:16" x14ac:dyDescent="0.25">
      <c r="B982" s="101">
        <f t="shared" si="44"/>
        <v>33</v>
      </c>
      <c r="L982" s="71">
        <f t="shared" si="43"/>
        <v>0</v>
      </c>
      <c r="M982" s="71">
        <f t="shared" si="42"/>
        <v>0</v>
      </c>
      <c r="N982" s="71" t="str">
        <f>IFERROR(VLOOKUP(M982,NCAA_Bets[[Date]:[Version]],2,0),"")</f>
        <v/>
      </c>
      <c r="O982" s="94" t="str">
        <f>COUNTIFS(NCAA_Bets[Date],M982,NCAA_Bets[Result],"W")&amp;"-"&amp;COUNTIFS(NCAA_Bets[Date],M982,NCAA_Bets[Result],"L")&amp;IF(COUNTIFS(NCAA_Bets[Date],M982,NCAA_Bets[Result],"Push")&gt;0,"-"&amp;COUNTIFS(NCAA_Bets[Date],M982,NCAA_Bets[Result],"Push"),"")</f>
        <v>0-0</v>
      </c>
      <c r="P982" s="90">
        <f>SUMIF(NCAA_Bets[Date],M982,NCAA_Bets[Winnings])-SUMIF(NCAA_Bets[Date],M982,NCAA_Bets[Risk])</f>
        <v>0</v>
      </c>
    </row>
    <row r="983" spans="2:16" x14ac:dyDescent="0.25">
      <c r="B983" s="101">
        <f t="shared" si="44"/>
        <v>33</v>
      </c>
      <c r="L983" s="71">
        <f t="shared" si="43"/>
        <v>0</v>
      </c>
      <c r="M983" s="71">
        <f t="shared" si="42"/>
        <v>0</v>
      </c>
      <c r="N983" s="71" t="str">
        <f>IFERROR(VLOOKUP(M983,NCAA_Bets[[Date]:[Version]],2,0),"")</f>
        <v/>
      </c>
      <c r="O983" s="94" t="str">
        <f>COUNTIFS(NCAA_Bets[Date],M983,NCAA_Bets[Result],"W")&amp;"-"&amp;COUNTIFS(NCAA_Bets[Date],M983,NCAA_Bets[Result],"L")&amp;IF(COUNTIFS(NCAA_Bets[Date],M983,NCAA_Bets[Result],"Push")&gt;0,"-"&amp;COUNTIFS(NCAA_Bets[Date],M983,NCAA_Bets[Result],"Push"),"")</f>
        <v>0-0</v>
      </c>
      <c r="P983" s="90">
        <f>SUMIF(NCAA_Bets[Date],M983,NCAA_Bets[Winnings])-SUMIF(NCAA_Bets[Date],M983,NCAA_Bets[Risk])</f>
        <v>0</v>
      </c>
    </row>
    <row r="984" spans="2:16" x14ac:dyDescent="0.25">
      <c r="B984" s="101">
        <f t="shared" si="44"/>
        <v>33</v>
      </c>
      <c r="L984" s="71">
        <f t="shared" si="43"/>
        <v>0</v>
      </c>
      <c r="M984" s="71">
        <f t="shared" si="42"/>
        <v>0</v>
      </c>
      <c r="N984" s="71" t="str">
        <f>IFERROR(VLOOKUP(M984,NCAA_Bets[[Date]:[Version]],2,0),"")</f>
        <v/>
      </c>
      <c r="O984" s="94" t="str">
        <f>COUNTIFS(NCAA_Bets[Date],M984,NCAA_Bets[Result],"W")&amp;"-"&amp;COUNTIFS(NCAA_Bets[Date],M984,NCAA_Bets[Result],"L")&amp;IF(COUNTIFS(NCAA_Bets[Date],M984,NCAA_Bets[Result],"Push")&gt;0,"-"&amp;COUNTIFS(NCAA_Bets[Date],M984,NCAA_Bets[Result],"Push"),"")</f>
        <v>0-0</v>
      </c>
      <c r="P984" s="90">
        <f>SUMIF(NCAA_Bets[Date],M984,NCAA_Bets[Winnings])-SUMIF(NCAA_Bets[Date],M984,NCAA_Bets[Risk])</f>
        <v>0</v>
      </c>
    </row>
    <row r="985" spans="2:16" x14ac:dyDescent="0.25">
      <c r="B985" s="101">
        <f t="shared" si="44"/>
        <v>33</v>
      </c>
      <c r="L985" s="71">
        <f t="shared" si="43"/>
        <v>0</v>
      </c>
      <c r="M985" s="71">
        <f t="shared" si="42"/>
        <v>0</v>
      </c>
      <c r="N985" s="71" t="str">
        <f>IFERROR(VLOOKUP(M985,NCAA_Bets[[Date]:[Version]],2,0),"")</f>
        <v/>
      </c>
      <c r="O985" s="94" t="str">
        <f>COUNTIFS(NCAA_Bets[Date],M985,NCAA_Bets[Result],"W")&amp;"-"&amp;COUNTIFS(NCAA_Bets[Date],M985,NCAA_Bets[Result],"L")&amp;IF(COUNTIFS(NCAA_Bets[Date],M985,NCAA_Bets[Result],"Push")&gt;0,"-"&amp;COUNTIFS(NCAA_Bets[Date],M985,NCAA_Bets[Result],"Push"),"")</f>
        <v>0-0</v>
      </c>
      <c r="P985" s="90">
        <f>SUMIF(NCAA_Bets[Date],M985,NCAA_Bets[Winnings])-SUMIF(NCAA_Bets[Date],M985,NCAA_Bets[Risk])</f>
        <v>0</v>
      </c>
    </row>
    <row r="986" spans="2:16" x14ac:dyDescent="0.25">
      <c r="B986" s="101">
        <f t="shared" si="44"/>
        <v>33</v>
      </c>
      <c r="L986" s="71">
        <f t="shared" si="43"/>
        <v>0</v>
      </c>
      <c r="M986" s="71">
        <f t="shared" ref="M986:M1049" si="45">IFERROR(VLOOKUP(ROW()-4,B:C,2,0),0)</f>
        <v>0</v>
      </c>
      <c r="N986" s="71" t="str">
        <f>IFERROR(VLOOKUP(M986,NCAA_Bets[[Date]:[Version]],2,0),"")</f>
        <v/>
      </c>
      <c r="O986" s="94" t="str">
        <f>COUNTIFS(NCAA_Bets[Date],M986,NCAA_Bets[Result],"W")&amp;"-"&amp;COUNTIFS(NCAA_Bets[Date],M986,NCAA_Bets[Result],"L")&amp;IF(COUNTIFS(NCAA_Bets[Date],M986,NCAA_Bets[Result],"Push")&gt;0,"-"&amp;COUNTIFS(NCAA_Bets[Date],M986,NCAA_Bets[Result],"Push"),"")</f>
        <v>0-0</v>
      </c>
      <c r="P986" s="90">
        <f>SUMIF(NCAA_Bets[Date],M986,NCAA_Bets[Winnings])-SUMIF(NCAA_Bets[Date],M986,NCAA_Bets[Risk])</f>
        <v>0</v>
      </c>
    </row>
    <row r="987" spans="2:16" x14ac:dyDescent="0.25">
      <c r="B987" s="101">
        <f t="shared" si="44"/>
        <v>33</v>
      </c>
      <c r="L987" s="71">
        <f t="shared" si="43"/>
        <v>0</v>
      </c>
      <c r="M987" s="71">
        <f t="shared" si="45"/>
        <v>0</v>
      </c>
      <c r="N987" s="71" t="str">
        <f>IFERROR(VLOOKUP(M987,NCAA_Bets[[Date]:[Version]],2,0),"")</f>
        <v/>
      </c>
      <c r="O987" s="94" t="str">
        <f>COUNTIFS(NCAA_Bets[Date],M987,NCAA_Bets[Result],"W")&amp;"-"&amp;COUNTIFS(NCAA_Bets[Date],M987,NCAA_Bets[Result],"L")&amp;IF(COUNTIFS(NCAA_Bets[Date],M987,NCAA_Bets[Result],"Push")&gt;0,"-"&amp;COUNTIFS(NCAA_Bets[Date],M987,NCAA_Bets[Result],"Push"),"")</f>
        <v>0-0</v>
      </c>
      <c r="P987" s="90">
        <f>SUMIF(NCAA_Bets[Date],M987,NCAA_Bets[Winnings])-SUMIF(NCAA_Bets[Date],M987,NCAA_Bets[Risk])</f>
        <v>0</v>
      </c>
    </row>
    <row r="988" spans="2:16" x14ac:dyDescent="0.25">
      <c r="B988" s="101">
        <f t="shared" si="44"/>
        <v>33</v>
      </c>
      <c r="L988" s="71">
        <f t="shared" si="43"/>
        <v>0</v>
      </c>
      <c r="M988" s="71">
        <f t="shared" si="45"/>
        <v>0</v>
      </c>
      <c r="N988" s="71" t="str">
        <f>IFERROR(VLOOKUP(M988,NCAA_Bets[[Date]:[Version]],2,0),"")</f>
        <v/>
      </c>
      <c r="O988" s="94" t="str">
        <f>COUNTIFS(NCAA_Bets[Date],M988,NCAA_Bets[Result],"W")&amp;"-"&amp;COUNTIFS(NCAA_Bets[Date],M988,NCAA_Bets[Result],"L")&amp;IF(COUNTIFS(NCAA_Bets[Date],M988,NCAA_Bets[Result],"Push")&gt;0,"-"&amp;COUNTIFS(NCAA_Bets[Date],M988,NCAA_Bets[Result],"Push"),"")</f>
        <v>0-0</v>
      </c>
      <c r="P988" s="90">
        <f>SUMIF(NCAA_Bets[Date],M988,NCAA_Bets[Winnings])-SUMIF(NCAA_Bets[Date],M988,NCAA_Bets[Risk])</f>
        <v>0</v>
      </c>
    </row>
    <row r="989" spans="2:16" x14ac:dyDescent="0.25">
      <c r="B989" s="101">
        <f t="shared" si="44"/>
        <v>33</v>
      </c>
      <c r="L989" s="71">
        <f t="shared" si="43"/>
        <v>0</v>
      </c>
      <c r="M989" s="71">
        <f t="shared" si="45"/>
        <v>0</v>
      </c>
      <c r="N989" s="71" t="str">
        <f>IFERROR(VLOOKUP(M989,NCAA_Bets[[Date]:[Version]],2,0),"")</f>
        <v/>
      </c>
      <c r="O989" s="94" t="str">
        <f>COUNTIFS(NCAA_Bets[Date],M989,NCAA_Bets[Result],"W")&amp;"-"&amp;COUNTIFS(NCAA_Bets[Date],M989,NCAA_Bets[Result],"L")&amp;IF(COUNTIFS(NCAA_Bets[Date],M989,NCAA_Bets[Result],"Push")&gt;0,"-"&amp;COUNTIFS(NCAA_Bets[Date],M989,NCAA_Bets[Result],"Push"),"")</f>
        <v>0-0</v>
      </c>
      <c r="P989" s="90">
        <f>SUMIF(NCAA_Bets[Date],M989,NCAA_Bets[Winnings])-SUMIF(NCAA_Bets[Date],M989,NCAA_Bets[Risk])</f>
        <v>0</v>
      </c>
    </row>
    <row r="990" spans="2:16" x14ac:dyDescent="0.25">
      <c r="B990" s="101">
        <f t="shared" si="44"/>
        <v>33</v>
      </c>
      <c r="L990" s="71">
        <f t="shared" si="43"/>
        <v>0</v>
      </c>
      <c r="M990" s="71">
        <f t="shared" si="45"/>
        <v>0</v>
      </c>
      <c r="N990" s="71" t="str">
        <f>IFERROR(VLOOKUP(M990,NCAA_Bets[[Date]:[Version]],2,0),"")</f>
        <v/>
      </c>
      <c r="O990" s="94" t="str">
        <f>COUNTIFS(NCAA_Bets[Date],M990,NCAA_Bets[Result],"W")&amp;"-"&amp;COUNTIFS(NCAA_Bets[Date],M990,NCAA_Bets[Result],"L")&amp;IF(COUNTIFS(NCAA_Bets[Date],M990,NCAA_Bets[Result],"Push")&gt;0,"-"&amp;COUNTIFS(NCAA_Bets[Date],M990,NCAA_Bets[Result],"Push"),"")</f>
        <v>0-0</v>
      </c>
      <c r="P990" s="90">
        <f>SUMIF(NCAA_Bets[Date],M990,NCAA_Bets[Winnings])-SUMIF(NCAA_Bets[Date],M990,NCAA_Bets[Risk])</f>
        <v>0</v>
      </c>
    </row>
    <row r="991" spans="2:16" x14ac:dyDescent="0.25">
      <c r="B991" s="101">
        <f t="shared" si="44"/>
        <v>33</v>
      </c>
      <c r="L991" s="71">
        <f t="shared" si="43"/>
        <v>0</v>
      </c>
      <c r="M991" s="71">
        <f t="shared" si="45"/>
        <v>0</v>
      </c>
      <c r="N991" s="71" t="str">
        <f>IFERROR(VLOOKUP(M991,NCAA_Bets[[Date]:[Version]],2,0),"")</f>
        <v/>
      </c>
      <c r="O991" s="94" t="str">
        <f>COUNTIFS(NCAA_Bets[Date],M991,NCAA_Bets[Result],"W")&amp;"-"&amp;COUNTIFS(NCAA_Bets[Date],M991,NCAA_Bets[Result],"L")&amp;IF(COUNTIFS(NCAA_Bets[Date],M991,NCAA_Bets[Result],"Push")&gt;0,"-"&amp;COUNTIFS(NCAA_Bets[Date],M991,NCAA_Bets[Result],"Push"),"")</f>
        <v>0-0</v>
      </c>
      <c r="P991" s="90">
        <f>SUMIF(NCAA_Bets[Date],M991,NCAA_Bets[Winnings])-SUMIF(NCAA_Bets[Date],M991,NCAA_Bets[Risk])</f>
        <v>0</v>
      </c>
    </row>
    <row r="992" spans="2:16" x14ac:dyDescent="0.25">
      <c r="B992" s="101">
        <f t="shared" si="44"/>
        <v>33</v>
      </c>
      <c r="L992" s="71">
        <f t="shared" si="43"/>
        <v>0</v>
      </c>
      <c r="M992" s="71">
        <f t="shared" si="45"/>
        <v>0</v>
      </c>
      <c r="N992" s="71" t="str">
        <f>IFERROR(VLOOKUP(M992,NCAA_Bets[[Date]:[Version]],2,0),"")</f>
        <v/>
      </c>
      <c r="O992" s="94" t="str">
        <f>COUNTIFS(NCAA_Bets[Date],M992,NCAA_Bets[Result],"W")&amp;"-"&amp;COUNTIFS(NCAA_Bets[Date],M992,NCAA_Bets[Result],"L")&amp;IF(COUNTIFS(NCAA_Bets[Date],M992,NCAA_Bets[Result],"Push")&gt;0,"-"&amp;COUNTIFS(NCAA_Bets[Date],M992,NCAA_Bets[Result],"Push"),"")</f>
        <v>0-0</v>
      </c>
      <c r="P992" s="90">
        <f>SUMIF(NCAA_Bets[Date],M992,NCAA_Bets[Winnings])-SUMIF(NCAA_Bets[Date],M992,NCAA_Bets[Risk])</f>
        <v>0</v>
      </c>
    </row>
    <row r="993" spans="2:16" x14ac:dyDescent="0.25">
      <c r="B993" s="101">
        <f t="shared" si="44"/>
        <v>33</v>
      </c>
      <c r="L993" s="71">
        <f t="shared" si="43"/>
        <v>0</v>
      </c>
      <c r="M993" s="71">
        <f t="shared" si="45"/>
        <v>0</v>
      </c>
      <c r="N993" s="71" t="str">
        <f>IFERROR(VLOOKUP(M993,NCAA_Bets[[Date]:[Version]],2,0),"")</f>
        <v/>
      </c>
      <c r="O993" s="94" t="str">
        <f>COUNTIFS(NCAA_Bets[Date],M993,NCAA_Bets[Result],"W")&amp;"-"&amp;COUNTIFS(NCAA_Bets[Date],M993,NCAA_Bets[Result],"L")&amp;IF(COUNTIFS(NCAA_Bets[Date],M993,NCAA_Bets[Result],"Push")&gt;0,"-"&amp;COUNTIFS(NCAA_Bets[Date],M993,NCAA_Bets[Result],"Push"),"")</f>
        <v>0-0</v>
      </c>
      <c r="P993" s="90">
        <f>SUMIF(NCAA_Bets[Date],M993,NCAA_Bets[Winnings])-SUMIF(NCAA_Bets[Date],M993,NCAA_Bets[Risk])</f>
        <v>0</v>
      </c>
    </row>
    <row r="994" spans="2:16" x14ac:dyDescent="0.25">
      <c r="B994" s="101">
        <f t="shared" si="44"/>
        <v>33</v>
      </c>
      <c r="L994" s="71">
        <f t="shared" si="43"/>
        <v>0</v>
      </c>
      <c r="M994" s="71">
        <f t="shared" si="45"/>
        <v>0</v>
      </c>
      <c r="N994" s="71" t="str">
        <f>IFERROR(VLOOKUP(M994,NCAA_Bets[[Date]:[Version]],2,0),"")</f>
        <v/>
      </c>
      <c r="O994" s="94" t="str">
        <f>COUNTIFS(NCAA_Bets[Date],M994,NCAA_Bets[Result],"W")&amp;"-"&amp;COUNTIFS(NCAA_Bets[Date],M994,NCAA_Bets[Result],"L")&amp;IF(COUNTIFS(NCAA_Bets[Date],M994,NCAA_Bets[Result],"Push")&gt;0,"-"&amp;COUNTIFS(NCAA_Bets[Date],M994,NCAA_Bets[Result],"Push"),"")</f>
        <v>0-0</v>
      </c>
      <c r="P994" s="90">
        <f>SUMIF(NCAA_Bets[Date],M994,NCAA_Bets[Winnings])-SUMIF(NCAA_Bets[Date],M994,NCAA_Bets[Risk])</f>
        <v>0</v>
      </c>
    </row>
    <row r="995" spans="2:16" x14ac:dyDescent="0.25">
      <c r="B995" s="101">
        <f t="shared" si="44"/>
        <v>33</v>
      </c>
      <c r="L995" s="71">
        <f t="shared" si="43"/>
        <v>0</v>
      </c>
      <c r="M995" s="71">
        <f t="shared" si="45"/>
        <v>0</v>
      </c>
      <c r="N995" s="71" t="str">
        <f>IFERROR(VLOOKUP(M995,NCAA_Bets[[Date]:[Version]],2,0),"")</f>
        <v/>
      </c>
      <c r="O995" s="94" t="str">
        <f>COUNTIFS(NCAA_Bets[Date],M995,NCAA_Bets[Result],"W")&amp;"-"&amp;COUNTIFS(NCAA_Bets[Date],M995,NCAA_Bets[Result],"L")&amp;IF(COUNTIFS(NCAA_Bets[Date],M995,NCAA_Bets[Result],"Push")&gt;0,"-"&amp;COUNTIFS(NCAA_Bets[Date],M995,NCAA_Bets[Result],"Push"),"")</f>
        <v>0-0</v>
      </c>
      <c r="P995" s="90">
        <f>SUMIF(NCAA_Bets[Date],M995,NCAA_Bets[Winnings])-SUMIF(NCAA_Bets[Date],M995,NCAA_Bets[Risk])</f>
        <v>0</v>
      </c>
    </row>
    <row r="996" spans="2:16" x14ac:dyDescent="0.25">
      <c r="B996" s="101">
        <f t="shared" si="44"/>
        <v>33</v>
      </c>
      <c r="L996" s="71">
        <f t="shared" ref="L996:L1059" si="46">IFERROR(VLOOKUP(ROW()-4,B:C,2,0),0)</f>
        <v>0</v>
      </c>
      <c r="M996" s="71">
        <f t="shared" si="45"/>
        <v>0</v>
      </c>
      <c r="N996" s="71" t="str">
        <f>IFERROR(VLOOKUP(M996,NCAA_Bets[[Date]:[Version]],2,0),"")</f>
        <v/>
      </c>
      <c r="O996" s="94" t="str">
        <f>COUNTIFS(NCAA_Bets[Date],M996,NCAA_Bets[Result],"W")&amp;"-"&amp;COUNTIFS(NCAA_Bets[Date],M996,NCAA_Bets[Result],"L")&amp;IF(COUNTIFS(NCAA_Bets[Date],M996,NCAA_Bets[Result],"Push")&gt;0,"-"&amp;COUNTIFS(NCAA_Bets[Date],M996,NCAA_Bets[Result],"Push"),"")</f>
        <v>0-0</v>
      </c>
      <c r="P996" s="90">
        <f>SUMIF(NCAA_Bets[Date],M996,NCAA_Bets[Winnings])-SUMIF(NCAA_Bets[Date],M996,NCAA_Bets[Risk])</f>
        <v>0</v>
      </c>
    </row>
    <row r="997" spans="2:16" x14ac:dyDescent="0.25">
      <c r="B997" s="101">
        <f t="shared" si="44"/>
        <v>33</v>
      </c>
      <c r="L997" s="71">
        <f t="shared" si="46"/>
        <v>0</v>
      </c>
      <c r="M997" s="71">
        <f t="shared" si="45"/>
        <v>0</v>
      </c>
      <c r="N997" s="71" t="str">
        <f>IFERROR(VLOOKUP(M997,NCAA_Bets[[Date]:[Version]],2,0),"")</f>
        <v/>
      </c>
      <c r="O997" s="94" t="str">
        <f>COUNTIFS(NCAA_Bets[Date],M997,NCAA_Bets[Result],"W")&amp;"-"&amp;COUNTIFS(NCAA_Bets[Date],M997,NCAA_Bets[Result],"L")&amp;IF(COUNTIFS(NCAA_Bets[Date],M997,NCAA_Bets[Result],"Push")&gt;0,"-"&amp;COUNTIFS(NCAA_Bets[Date],M997,NCAA_Bets[Result],"Push"),"")</f>
        <v>0-0</v>
      </c>
      <c r="P997" s="90">
        <f>SUMIF(NCAA_Bets[Date],M997,NCAA_Bets[Winnings])-SUMIF(NCAA_Bets[Date],M997,NCAA_Bets[Risk])</f>
        <v>0</v>
      </c>
    </row>
    <row r="998" spans="2:16" x14ac:dyDescent="0.25">
      <c r="B998" s="101">
        <f t="shared" si="44"/>
        <v>33</v>
      </c>
      <c r="L998" s="71">
        <f t="shared" si="46"/>
        <v>0</v>
      </c>
      <c r="M998" s="71">
        <f t="shared" si="45"/>
        <v>0</v>
      </c>
      <c r="N998" s="71" t="str">
        <f>IFERROR(VLOOKUP(M998,NCAA_Bets[[Date]:[Version]],2,0),"")</f>
        <v/>
      </c>
      <c r="O998" s="94" t="str">
        <f>COUNTIFS(NCAA_Bets[Date],M998,NCAA_Bets[Result],"W")&amp;"-"&amp;COUNTIFS(NCAA_Bets[Date],M998,NCAA_Bets[Result],"L")&amp;IF(COUNTIFS(NCAA_Bets[Date],M998,NCAA_Bets[Result],"Push")&gt;0,"-"&amp;COUNTIFS(NCAA_Bets[Date],M998,NCAA_Bets[Result],"Push"),"")</f>
        <v>0-0</v>
      </c>
      <c r="P998" s="90">
        <f>SUMIF(NCAA_Bets[Date],M998,NCAA_Bets[Winnings])-SUMIF(NCAA_Bets[Date],M998,NCAA_Bets[Risk])</f>
        <v>0</v>
      </c>
    </row>
    <row r="999" spans="2:16" x14ac:dyDescent="0.25">
      <c r="B999" s="101">
        <f t="shared" si="44"/>
        <v>33</v>
      </c>
      <c r="L999" s="71">
        <f t="shared" si="46"/>
        <v>0</v>
      </c>
      <c r="M999" s="71">
        <f t="shared" si="45"/>
        <v>0</v>
      </c>
      <c r="N999" s="71" t="str">
        <f>IFERROR(VLOOKUP(M999,NCAA_Bets[[Date]:[Version]],2,0),"")</f>
        <v/>
      </c>
      <c r="O999" s="94" t="str">
        <f>COUNTIFS(NCAA_Bets[Date],M999,NCAA_Bets[Result],"W")&amp;"-"&amp;COUNTIFS(NCAA_Bets[Date],M999,NCAA_Bets[Result],"L")&amp;IF(COUNTIFS(NCAA_Bets[Date],M999,NCAA_Bets[Result],"Push")&gt;0,"-"&amp;COUNTIFS(NCAA_Bets[Date],M999,NCAA_Bets[Result],"Push"),"")</f>
        <v>0-0</v>
      </c>
      <c r="P999" s="90">
        <f>SUMIF(NCAA_Bets[Date],M999,NCAA_Bets[Winnings])-SUMIF(NCAA_Bets[Date],M999,NCAA_Bets[Risk])</f>
        <v>0</v>
      </c>
    </row>
    <row r="1000" spans="2:16" x14ac:dyDescent="0.25">
      <c r="B1000" s="101">
        <f t="shared" si="44"/>
        <v>33</v>
      </c>
      <c r="L1000" s="71">
        <f t="shared" si="46"/>
        <v>0</v>
      </c>
      <c r="M1000" s="71">
        <f t="shared" si="45"/>
        <v>0</v>
      </c>
      <c r="N1000" s="71" t="str">
        <f>IFERROR(VLOOKUP(M1000,NCAA_Bets[[Date]:[Version]],2,0),"")</f>
        <v/>
      </c>
      <c r="O1000" s="94" t="str">
        <f>COUNTIFS(NCAA_Bets[Date],M1000,NCAA_Bets[Result],"W")&amp;"-"&amp;COUNTIFS(NCAA_Bets[Date],M1000,NCAA_Bets[Result],"L")&amp;IF(COUNTIFS(NCAA_Bets[Date],M1000,NCAA_Bets[Result],"Push")&gt;0,"-"&amp;COUNTIFS(NCAA_Bets[Date],M1000,NCAA_Bets[Result],"Push"),"")</f>
        <v>0-0</v>
      </c>
      <c r="P1000" s="90">
        <f>SUMIF(NCAA_Bets[Date],M1000,NCAA_Bets[Winnings])-SUMIF(NCAA_Bets[Date],M1000,NCAA_Bets[Risk])</f>
        <v>0</v>
      </c>
    </row>
    <row r="1001" spans="2:16" x14ac:dyDescent="0.25">
      <c r="B1001" s="101">
        <f t="shared" si="44"/>
        <v>33</v>
      </c>
      <c r="L1001" s="71">
        <f t="shared" si="46"/>
        <v>0</v>
      </c>
      <c r="M1001" s="71">
        <f t="shared" si="45"/>
        <v>0</v>
      </c>
      <c r="N1001" s="71" t="str">
        <f>IFERROR(VLOOKUP(M1001,NCAA_Bets[[Date]:[Version]],2,0),"")</f>
        <v/>
      </c>
      <c r="O1001" s="94" t="str">
        <f>COUNTIFS(NCAA_Bets[Date],M1001,NCAA_Bets[Result],"W")&amp;"-"&amp;COUNTIFS(NCAA_Bets[Date],M1001,NCAA_Bets[Result],"L")&amp;IF(COUNTIFS(NCAA_Bets[Date],M1001,NCAA_Bets[Result],"Push")&gt;0,"-"&amp;COUNTIFS(NCAA_Bets[Date],M1001,NCAA_Bets[Result],"Push"),"")</f>
        <v>0-0</v>
      </c>
      <c r="P1001" s="90">
        <f>SUMIF(NCAA_Bets[Date],M1001,NCAA_Bets[Winnings])-SUMIF(NCAA_Bets[Date],M1001,NCAA_Bets[Risk])</f>
        <v>0</v>
      </c>
    </row>
    <row r="1002" spans="2:16" x14ac:dyDescent="0.25">
      <c r="B1002" s="101">
        <f t="shared" si="44"/>
        <v>33</v>
      </c>
      <c r="L1002" s="71">
        <f t="shared" si="46"/>
        <v>0</v>
      </c>
      <c r="M1002" s="71">
        <f t="shared" si="45"/>
        <v>0</v>
      </c>
      <c r="N1002" s="71" t="str">
        <f>IFERROR(VLOOKUP(M1002,NCAA_Bets[[Date]:[Version]],2,0),"")</f>
        <v/>
      </c>
      <c r="O1002" s="94" t="str">
        <f>COUNTIFS(NCAA_Bets[Date],M1002,NCAA_Bets[Result],"W")&amp;"-"&amp;COUNTIFS(NCAA_Bets[Date],M1002,NCAA_Bets[Result],"L")&amp;IF(COUNTIFS(NCAA_Bets[Date],M1002,NCAA_Bets[Result],"Push")&gt;0,"-"&amp;COUNTIFS(NCAA_Bets[Date],M1002,NCAA_Bets[Result],"Push"),"")</f>
        <v>0-0</v>
      </c>
      <c r="P1002" s="90">
        <f>SUMIF(NCAA_Bets[Date],M1002,NCAA_Bets[Winnings])-SUMIF(NCAA_Bets[Date],M1002,NCAA_Bets[Risk])</f>
        <v>0</v>
      </c>
    </row>
    <row r="1003" spans="2:16" x14ac:dyDescent="0.25">
      <c r="B1003" s="101">
        <f t="shared" si="44"/>
        <v>33</v>
      </c>
      <c r="L1003" s="71">
        <f t="shared" si="46"/>
        <v>0</v>
      </c>
      <c r="M1003" s="71">
        <f t="shared" si="45"/>
        <v>0</v>
      </c>
      <c r="N1003" s="71" t="str">
        <f>IFERROR(VLOOKUP(M1003,NCAA_Bets[[Date]:[Version]],2,0),"")</f>
        <v/>
      </c>
      <c r="O1003" s="94" t="str">
        <f>COUNTIFS(NCAA_Bets[Date],M1003,NCAA_Bets[Result],"W")&amp;"-"&amp;COUNTIFS(NCAA_Bets[Date],M1003,NCAA_Bets[Result],"L")&amp;IF(COUNTIFS(NCAA_Bets[Date],M1003,NCAA_Bets[Result],"Push")&gt;0,"-"&amp;COUNTIFS(NCAA_Bets[Date],M1003,NCAA_Bets[Result],"Push"),"")</f>
        <v>0-0</v>
      </c>
      <c r="P1003" s="90">
        <f>SUMIF(NCAA_Bets[Date],M1003,NCAA_Bets[Winnings])-SUMIF(NCAA_Bets[Date],M1003,NCAA_Bets[Risk])</f>
        <v>0</v>
      </c>
    </row>
    <row r="1004" spans="2:16" x14ac:dyDescent="0.25">
      <c r="B1004" s="101">
        <f t="shared" si="44"/>
        <v>33</v>
      </c>
      <c r="L1004" s="71">
        <f t="shared" si="46"/>
        <v>0</v>
      </c>
      <c r="M1004" s="71">
        <f t="shared" si="45"/>
        <v>0</v>
      </c>
      <c r="N1004" s="71" t="str">
        <f>IFERROR(VLOOKUP(M1004,NCAA_Bets[[Date]:[Version]],2,0),"")</f>
        <v/>
      </c>
      <c r="O1004" s="94" t="str">
        <f>COUNTIFS(NCAA_Bets[Date],M1004,NCAA_Bets[Result],"W")&amp;"-"&amp;COUNTIFS(NCAA_Bets[Date],M1004,NCAA_Bets[Result],"L")&amp;IF(COUNTIFS(NCAA_Bets[Date],M1004,NCAA_Bets[Result],"Push")&gt;0,"-"&amp;COUNTIFS(NCAA_Bets[Date],M1004,NCAA_Bets[Result],"Push"),"")</f>
        <v>0-0</v>
      </c>
      <c r="P1004" s="90">
        <f>SUMIF(NCAA_Bets[Date],M1004,NCAA_Bets[Winnings])-SUMIF(NCAA_Bets[Date],M1004,NCAA_Bets[Risk])</f>
        <v>0</v>
      </c>
    </row>
    <row r="1005" spans="2:16" x14ac:dyDescent="0.25">
      <c r="B1005" s="101">
        <f t="shared" si="44"/>
        <v>33</v>
      </c>
      <c r="L1005" s="71">
        <f t="shared" si="46"/>
        <v>0</v>
      </c>
      <c r="M1005" s="71">
        <f t="shared" si="45"/>
        <v>0</v>
      </c>
      <c r="N1005" s="71" t="str">
        <f>IFERROR(VLOOKUP(M1005,NCAA_Bets[[Date]:[Version]],2,0),"")</f>
        <v/>
      </c>
      <c r="O1005" s="94" t="str">
        <f>COUNTIFS(NCAA_Bets[Date],M1005,NCAA_Bets[Result],"W")&amp;"-"&amp;COUNTIFS(NCAA_Bets[Date],M1005,NCAA_Bets[Result],"L")&amp;IF(COUNTIFS(NCAA_Bets[Date],M1005,NCAA_Bets[Result],"Push")&gt;0,"-"&amp;COUNTIFS(NCAA_Bets[Date],M1005,NCAA_Bets[Result],"Push"),"")</f>
        <v>0-0</v>
      </c>
      <c r="P1005" s="90">
        <f>SUMIF(NCAA_Bets[Date],M1005,NCAA_Bets[Winnings])-SUMIF(NCAA_Bets[Date],M1005,NCAA_Bets[Risk])</f>
        <v>0</v>
      </c>
    </row>
    <row r="1006" spans="2:16" x14ac:dyDescent="0.25">
      <c r="B1006" s="101">
        <f t="shared" si="44"/>
        <v>33</v>
      </c>
      <c r="L1006" s="71">
        <f t="shared" si="46"/>
        <v>0</v>
      </c>
      <c r="M1006" s="71">
        <f t="shared" si="45"/>
        <v>0</v>
      </c>
      <c r="N1006" s="71" t="str">
        <f>IFERROR(VLOOKUP(M1006,NCAA_Bets[[Date]:[Version]],2,0),"")</f>
        <v/>
      </c>
      <c r="O1006" s="94" t="str">
        <f>COUNTIFS(NCAA_Bets[Date],M1006,NCAA_Bets[Result],"W")&amp;"-"&amp;COUNTIFS(NCAA_Bets[Date],M1006,NCAA_Bets[Result],"L")&amp;IF(COUNTIFS(NCAA_Bets[Date],M1006,NCAA_Bets[Result],"Push")&gt;0,"-"&amp;COUNTIFS(NCAA_Bets[Date],M1006,NCAA_Bets[Result],"Push"),"")</f>
        <v>0-0</v>
      </c>
      <c r="P1006" s="90">
        <f>SUMIF(NCAA_Bets[Date],M1006,NCAA_Bets[Winnings])-SUMIF(NCAA_Bets[Date],M1006,NCAA_Bets[Risk])</f>
        <v>0</v>
      </c>
    </row>
    <row r="1007" spans="2:16" x14ac:dyDescent="0.25">
      <c r="B1007" s="101">
        <f t="shared" si="44"/>
        <v>33</v>
      </c>
      <c r="L1007" s="71">
        <f t="shared" si="46"/>
        <v>0</v>
      </c>
      <c r="M1007" s="71">
        <f t="shared" si="45"/>
        <v>0</v>
      </c>
      <c r="N1007" s="71" t="str">
        <f>IFERROR(VLOOKUP(M1007,NCAA_Bets[[Date]:[Version]],2,0),"")</f>
        <v/>
      </c>
      <c r="O1007" s="94" t="str">
        <f>COUNTIFS(NCAA_Bets[Date],M1007,NCAA_Bets[Result],"W")&amp;"-"&amp;COUNTIFS(NCAA_Bets[Date],M1007,NCAA_Bets[Result],"L")&amp;IF(COUNTIFS(NCAA_Bets[Date],M1007,NCAA_Bets[Result],"Push")&gt;0,"-"&amp;COUNTIFS(NCAA_Bets[Date],M1007,NCAA_Bets[Result],"Push"),"")</f>
        <v>0-0</v>
      </c>
      <c r="P1007" s="90">
        <f>SUMIF(NCAA_Bets[Date],M1007,NCAA_Bets[Winnings])-SUMIF(NCAA_Bets[Date],M1007,NCAA_Bets[Risk])</f>
        <v>0</v>
      </c>
    </row>
    <row r="1008" spans="2:16" x14ac:dyDescent="0.25">
      <c r="B1008" s="101">
        <f t="shared" si="44"/>
        <v>33</v>
      </c>
      <c r="L1008" s="71">
        <f t="shared" si="46"/>
        <v>0</v>
      </c>
      <c r="M1008" s="71">
        <f t="shared" si="45"/>
        <v>0</v>
      </c>
      <c r="N1008" s="71" t="str">
        <f>IFERROR(VLOOKUP(M1008,NCAA_Bets[[Date]:[Version]],2,0),"")</f>
        <v/>
      </c>
      <c r="O1008" s="94" t="str">
        <f>COUNTIFS(NCAA_Bets[Date],M1008,NCAA_Bets[Result],"W")&amp;"-"&amp;COUNTIFS(NCAA_Bets[Date],M1008,NCAA_Bets[Result],"L")&amp;IF(COUNTIFS(NCAA_Bets[Date],M1008,NCAA_Bets[Result],"Push")&gt;0,"-"&amp;COUNTIFS(NCAA_Bets[Date],M1008,NCAA_Bets[Result],"Push"),"")</f>
        <v>0-0</v>
      </c>
      <c r="P1008" s="90">
        <f>SUMIF(NCAA_Bets[Date],M1008,NCAA_Bets[Winnings])-SUMIF(NCAA_Bets[Date],M1008,NCAA_Bets[Risk])</f>
        <v>0</v>
      </c>
    </row>
    <row r="1009" spans="2:16" x14ac:dyDescent="0.25">
      <c r="B1009" s="101">
        <f t="shared" si="44"/>
        <v>33</v>
      </c>
      <c r="L1009" s="71">
        <f t="shared" si="46"/>
        <v>0</v>
      </c>
      <c r="M1009" s="71">
        <f t="shared" si="45"/>
        <v>0</v>
      </c>
      <c r="N1009" s="71" t="str">
        <f>IFERROR(VLOOKUP(M1009,NCAA_Bets[[Date]:[Version]],2,0),"")</f>
        <v/>
      </c>
      <c r="O1009" s="94" t="str">
        <f>COUNTIFS(NCAA_Bets[Date],M1009,NCAA_Bets[Result],"W")&amp;"-"&amp;COUNTIFS(NCAA_Bets[Date],M1009,NCAA_Bets[Result],"L")&amp;IF(COUNTIFS(NCAA_Bets[Date],M1009,NCAA_Bets[Result],"Push")&gt;0,"-"&amp;COUNTIFS(NCAA_Bets[Date],M1009,NCAA_Bets[Result],"Push"),"")</f>
        <v>0-0</v>
      </c>
      <c r="P1009" s="90">
        <f>SUMIF(NCAA_Bets[Date],M1009,NCAA_Bets[Winnings])-SUMIF(NCAA_Bets[Date],M1009,NCAA_Bets[Risk])</f>
        <v>0</v>
      </c>
    </row>
    <row r="1010" spans="2:16" x14ac:dyDescent="0.25">
      <c r="B1010" s="101">
        <f t="shared" si="44"/>
        <v>33</v>
      </c>
      <c r="L1010" s="71">
        <f t="shared" si="46"/>
        <v>0</v>
      </c>
      <c r="M1010" s="71">
        <f t="shared" si="45"/>
        <v>0</v>
      </c>
      <c r="N1010" s="71" t="str">
        <f>IFERROR(VLOOKUP(M1010,NCAA_Bets[[Date]:[Version]],2,0),"")</f>
        <v/>
      </c>
      <c r="O1010" s="94" t="str">
        <f>COUNTIFS(NCAA_Bets[Date],M1010,NCAA_Bets[Result],"W")&amp;"-"&amp;COUNTIFS(NCAA_Bets[Date],M1010,NCAA_Bets[Result],"L")&amp;IF(COUNTIFS(NCAA_Bets[Date],M1010,NCAA_Bets[Result],"Push")&gt;0,"-"&amp;COUNTIFS(NCAA_Bets[Date],M1010,NCAA_Bets[Result],"Push"),"")</f>
        <v>0-0</v>
      </c>
      <c r="P1010" s="90">
        <f>SUMIF(NCAA_Bets[Date],M1010,NCAA_Bets[Winnings])-SUMIF(NCAA_Bets[Date],M1010,NCAA_Bets[Risk])</f>
        <v>0</v>
      </c>
    </row>
    <row r="1011" spans="2:16" x14ac:dyDescent="0.25">
      <c r="B1011" s="101">
        <f t="shared" si="44"/>
        <v>33</v>
      </c>
      <c r="L1011" s="71">
        <f t="shared" si="46"/>
        <v>0</v>
      </c>
      <c r="M1011" s="71">
        <f t="shared" si="45"/>
        <v>0</v>
      </c>
      <c r="N1011" s="71" t="str">
        <f>IFERROR(VLOOKUP(M1011,NCAA_Bets[[Date]:[Version]],2,0),"")</f>
        <v/>
      </c>
      <c r="O1011" s="94" t="str">
        <f>COUNTIFS(NCAA_Bets[Date],M1011,NCAA_Bets[Result],"W")&amp;"-"&amp;COUNTIFS(NCAA_Bets[Date],M1011,NCAA_Bets[Result],"L")&amp;IF(COUNTIFS(NCAA_Bets[Date],M1011,NCAA_Bets[Result],"Push")&gt;0,"-"&amp;COUNTIFS(NCAA_Bets[Date],M1011,NCAA_Bets[Result],"Push"),"")</f>
        <v>0-0</v>
      </c>
      <c r="P1011" s="90">
        <f>SUMIF(NCAA_Bets[Date],M1011,NCAA_Bets[Winnings])-SUMIF(NCAA_Bets[Date],M1011,NCAA_Bets[Risk])</f>
        <v>0</v>
      </c>
    </row>
    <row r="1012" spans="2:16" x14ac:dyDescent="0.25">
      <c r="B1012" s="101">
        <f t="shared" si="44"/>
        <v>33</v>
      </c>
      <c r="L1012" s="71">
        <f t="shared" si="46"/>
        <v>0</v>
      </c>
      <c r="M1012" s="71">
        <f t="shared" si="45"/>
        <v>0</v>
      </c>
      <c r="N1012" s="71" t="str">
        <f>IFERROR(VLOOKUP(M1012,NCAA_Bets[[Date]:[Version]],2,0),"")</f>
        <v/>
      </c>
      <c r="O1012" s="94" t="str">
        <f>COUNTIFS(NCAA_Bets[Date],M1012,NCAA_Bets[Result],"W")&amp;"-"&amp;COUNTIFS(NCAA_Bets[Date],M1012,NCAA_Bets[Result],"L")&amp;IF(COUNTIFS(NCAA_Bets[Date],M1012,NCAA_Bets[Result],"Push")&gt;0,"-"&amp;COUNTIFS(NCAA_Bets[Date],M1012,NCAA_Bets[Result],"Push"),"")</f>
        <v>0-0</v>
      </c>
      <c r="P1012" s="90">
        <f>SUMIF(NCAA_Bets[Date],M1012,NCAA_Bets[Winnings])-SUMIF(NCAA_Bets[Date],M1012,NCAA_Bets[Risk])</f>
        <v>0</v>
      </c>
    </row>
    <row r="1013" spans="2:16" x14ac:dyDescent="0.25">
      <c r="B1013" s="101">
        <f t="shared" si="44"/>
        <v>33</v>
      </c>
      <c r="L1013" s="71">
        <f t="shared" si="46"/>
        <v>0</v>
      </c>
      <c r="M1013" s="71">
        <f t="shared" si="45"/>
        <v>0</v>
      </c>
      <c r="N1013" s="71" t="str">
        <f>IFERROR(VLOOKUP(M1013,NCAA_Bets[[Date]:[Version]],2,0),"")</f>
        <v/>
      </c>
      <c r="O1013" s="94" t="str">
        <f>COUNTIFS(NCAA_Bets[Date],M1013,NCAA_Bets[Result],"W")&amp;"-"&amp;COUNTIFS(NCAA_Bets[Date],M1013,NCAA_Bets[Result],"L")&amp;IF(COUNTIFS(NCAA_Bets[Date],M1013,NCAA_Bets[Result],"Push")&gt;0,"-"&amp;COUNTIFS(NCAA_Bets[Date],M1013,NCAA_Bets[Result],"Push"),"")</f>
        <v>0-0</v>
      </c>
      <c r="P1013" s="90">
        <f>SUMIF(NCAA_Bets[Date],M1013,NCAA_Bets[Winnings])-SUMIF(NCAA_Bets[Date],M1013,NCAA_Bets[Risk])</f>
        <v>0</v>
      </c>
    </row>
    <row r="1014" spans="2:16" x14ac:dyDescent="0.25">
      <c r="B1014" s="101">
        <f t="shared" si="44"/>
        <v>33</v>
      </c>
      <c r="L1014" s="71">
        <f t="shared" si="46"/>
        <v>0</v>
      </c>
      <c r="M1014" s="71">
        <f t="shared" si="45"/>
        <v>0</v>
      </c>
      <c r="N1014" s="71" t="str">
        <f>IFERROR(VLOOKUP(M1014,NCAA_Bets[[Date]:[Version]],2,0),"")</f>
        <v/>
      </c>
      <c r="O1014" s="94" t="str">
        <f>COUNTIFS(NCAA_Bets[Date],M1014,NCAA_Bets[Result],"W")&amp;"-"&amp;COUNTIFS(NCAA_Bets[Date],M1014,NCAA_Bets[Result],"L")&amp;IF(COUNTIFS(NCAA_Bets[Date],M1014,NCAA_Bets[Result],"Push")&gt;0,"-"&amp;COUNTIFS(NCAA_Bets[Date],M1014,NCAA_Bets[Result],"Push"),"")</f>
        <v>0-0</v>
      </c>
      <c r="P1014" s="90">
        <f>SUMIF(NCAA_Bets[Date],M1014,NCAA_Bets[Winnings])-SUMIF(NCAA_Bets[Date],M1014,NCAA_Bets[Risk])</f>
        <v>0</v>
      </c>
    </row>
    <row r="1015" spans="2:16" x14ac:dyDescent="0.25">
      <c r="B1015" s="101">
        <f t="shared" si="44"/>
        <v>33</v>
      </c>
      <c r="L1015" s="71">
        <f t="shared" si="46"/>
        <v>0</v>
      </c>
      <c r="M1015" s="71">
        <f t="shared" si="45"/>
        <v>0</v>
      </c>
      <c r="N1015" s="71" t="str">
        <f>IFERROR(VLOOKUP(M1015,NCAA_Bets[[Date]:[Version]],2,0),"")</f>
        <v/>
      </c>
      <c r="O1015" s="94" t="str">
        <f>COUNTIFS(NCAA_Bets[Date],M1015,NCAA_Bets[Result],"W")&amp;"-"&amp;COUNTIFS(NCAA_Bets[Date],M1015,NCAA_Bets[Result],"L")&amp;IF(COUNTIFS(NCAA_Bets[Date],M1015,NCAA_Bets[Result],"Push")&gt;0,"-"&amp;COUNTIFS(NCAA_Bets[Date],M1015,NCAA_Bets[Result],"Push"),"")</f>
        <v>0-0</v>
      </c>
      <c r="P1015" s="90">
        <f>SUMIF(NCAA_Bets[Date],M1015,NCAA_Bets[Winnings])-SUMIF(NCAA_Bets[Date],M1015,NCAA_Bets[Risk])</f>
        <v>0</v>
      </c>
    </row>
    <row r="1016" spans="2:16" x14ac:dyDescent="0.25">
      <c r="B1016" s="101">
        <f t="shared" si="44"/>
        <v>33</v>
      </c>
      <c r="L1016" s="71">
        <f t="shared" si="46"/>
        <v>0</v>
      </c>
      <c r="M1016" s="71">
        <f t="shared" si="45"/>
        <v>0</v>
      </c>
      <c r="N1016" s="71" t="str">
        <f>IFERROR(VLOOKUP(M1016,NCAA_Bets[[Date]:[Version]],2,0),"")</f>
        <v/>
      </c>
      <c r="O1016" s="94" t="str">
        <f>COUNTIFS(NCAA_Bets[Date],M1016,NCAA_Bets[Result],"W")&amp;"-"&amp;COUNTIFS(NCAA_Bets[Date],M1016,NCAA_Bets[Result],"L")&amp;IF(COUNTIFS(NCAA_Bets[Date],M1016,NCAA_Bets[Result],"Push")&gt;0,"-"&amp;COUNTIFS(NCAA_Bets[Date],M1016,NCAA_Bets[Result],"Push"),"")</f>
        <v>0-0</v>
      </c>
      <c r="P1016" s="90">
        <f>SUMIF(NCAA_Bets[Date],M1016,NCAA_Bets[Winnings])-SUMIF(NCAA_Bets[Date],M1016,NCAA_Bets[Risk])</f>
        <v>0</v>
      </c>
    </row>
    <row r="1017" spans="2:16" x14ac:dyDescent="0.25">
      <c r="B1017" s="101">
        <f t="shared" si="44"/>
        <v>33</v>
      </c>
      <c r="L1017" s="71">
        <f t="shared" si="46"/>
        <v>0</v>
      </c>
      <c r="M1017" s="71">
        <f t="shared" si="45"/>
        <v>0</v>
      </c>
      <c r="N1017" s="71" t="str">
        <f>IFERROR(VLOOKUP(M1017,NCAA_Bets[[Date]:[Version]],2,0),"")</f>
        <v/>
      </c>
      <c r="O1017" s="94" t="str">
        <f>COUNTIFS(NCAA_Bets[Date],M1017,NCAA_Bets[Result],"W")&amp;"-"&amp;COUNTIFS(NCAA_Bets[Date],M1017,NCAA_Bets[Result],"L")&amp;IF(COUNTIFS(NCAA_Bets[Date],M1017,NCAA_Bets[Result],"Push")&gt;0,"-"&amp;COUNTIFS(NCAA_Bets[Date],M1017,NCAA_Bets[Result],"Push"),"")</f>
        <v>0-0</v>
      </c>
      <c r="P1017" s="90">
        <f>SUMIF(NCAA_Bets[Date],M1017,NCAA_Bets[Winnings])-SUMIF(NCAA_Bets[Date],M1017,NCAA_Bets[Risk])</f>
        <v>0</v>
      </c>
    </row>
    <row r="1018" spans="2:16" x14ac:dyDescent="0.25">
      <c r="B1018" s="101">
        <f t="shared" si="44"/>
        <v>33</v>
      </c>
      <c r="L1018" s="71">
        <f t="shared" si="46"/>
        <v>0</v>
      </c>
      <c r="M1018" s="71">
        <f t="shared" si="45"/>
        <v>0</v>
      </c>
      <c r="N1018" s="71" t="str">
        <f>IFERROR(VLOOKUP(M1018,NCAA_Bets[[Date]:[Version]],2,0),"")</f>
        <v/>
      </c>
      <c r="O1018" s="94" t="str">
        <f>COUNTIFS(NCAA_Bets[Date],M1018,NCAA_Bets[Result],"W")&amp;"-"&amp;COUNTIFS(NCAA_Bets[Date],M1018,NCAA_Bets[Result],"L")&amp;IF(COUNTIFS(NCAA_Bets[Date],M1018,NCAA_Bets[Result],"Push")&gt;0,"-"&amp;COUNTIFS(NCAA_Bets[Date],M1018,NCAA_Bets[Result],"Push"),"")</f>
        <v>0-0</v>
      </c>
      <c r="P1018" s="90">
        <f>SUMIF(NCAA_Bets[Date],M1018,NCAA_Bets[Winnings])-SUMIF(NCAA_Bets[Date],M1018,NCAA_Bets[Risk])</f>
        <v>0</v>
      </c>
    </row>
    <row r="1019" spans="2:16" x14ac:dyDescent="0.25">
      <c r="B1019" s="101">
        <f t="shared" si="44"/>
        <v>33</v>
      </c>
      <c r="L1019" s="71">
        <f t="shared" si="46"/>
        <v>0</v>
      </c>
      <c r="M1019" s="71">
        <f t="shared" si="45"/>
        <v>0</v>
      </c>
      <c r="N1019" s="71" t="str">
        <f>IFERROR(VLOOKUP(M1019,NCAA_Bets[[Date]:[Version]],2,0),"")</f>
        <v/>
      </c>
      <c r="O1019" s="94" t="str">
        <f>COUNTIFS(NCAA_Bets[Date],M1019,NCAA_Bets[Result],"W")&amp;"-"&amp;COUNTIFS(NCAA_Bets[Date],M1019,NCAA_Bets[Result],"L")&amp;IF(COUNTIFS(NCAA_Bets[Date],M1019,NCAA_Bets[Result],"Push")&gt;0,"-"&amp;COUNTIFS(NCAA_Bets[Date],M1019,NCAA_Bets[Result],"Push"),"")</f>
        <v>0-0</v>
      </c>
      <c r="P1019" s="90">
        <f>SUMIF(NCAA_Bets[Date],M1019,NCAA_Bets[Winnings])-SUMIF(NCAA_Bets[Date],M1019,NCAA_Bets[Risk])</f>
        <v>0</v>
      </c>
    </row>
    <row r="1020" spans="2:16" x14ac:dyDescent="0.25">
      <c r="B1020" s="101">
        <f t="shared" si="44"/>
        <v>33</v>
      </c>
      <c r="L1020" s="71">
        <f t="shared" si="46"/>
        <v>0</v>
      </c>
      <c r="M1020" s="71">
        <f t="shared" si="45"/>
        <v>0</v>
      </c>
      <c r="N1020" s="71" t="str">
        <f>IFERROR(VLOOKUP(M1020,NCAA_Bets[[Date]:[Version]],2,0),"")</f>
        <v/>
      </c>
      <c r="O1020" s="94" t="str">
        <f>COUNTIFS(NCAA_Bets[Date],M1020,NCAA_Bets[Result],"W")&amp;"-"&amp;COUNTIFS(NCAA_Bets[Date],M1020,NCAA_Bets[Result],"L")&amp;IF(COUNTIFS(NCAA_Bets[Date],M1020,NCAA_Bets[Result],"Push")&gt;0,"-"&amp;COUNTIFS(NCAA_Bets[Date],M1020,NCAA_Bets[Result],"Push"),"")</f>
        <v>0-0</v>
      </c>
      <c r="P1020" s="90">
        <f>SUMIF(NCAA_Bets[Date],M1020,NCAA_Bets[Winnings])-SUMIF(NCAA_Bets[Date],M1020,NCAA_Bets[Risk])</f>
        <v>0</v>
      </c>
    </row>
    <row r="1021" spans="2:16" x14ac:dyDescent="0.25">
      <c r="B1021" s="101">
        <f t="shared" si="44"/>
        <v>33</v>
      </c>
      <c r="L1021" s="71">
        <f t="shared" si="46"/>
        <v>0</v>
      </c>
      <c r="M1021" s="71">
        <f t="shared" si="45"/>
        <v>0</v>
      </c>
      <c r="N1021" s="71" t="str">
        <f>IFERROR(VLOOKUP(M1021,NCAA_Bets[[Date]:[Version]],2,0),"")</f>
        <v/>
      </c>
      <c r="O1021" s="94" t="str">
        <f>COUNTIFS(NCAA_Bets[Date],M1021,NCAA_Bets[Result],"W")&amp;"-"&amp;COUNTIFS(NCAA_Bets[Date],M1021,NCAA_Bets[Result],"L")&amp;IF(COUNTIFS(NCAA_Bets[Date],M1021,NCAA_Bets[Result],"Push")&gt;0,"-"&amp;COUNTIFS(NCAA_Bets[Date],M1021,NCAA_Bets[Result],"Push"),"")</f>
        <v>0-0</v>
      </c>
      <c r="P1021" s="90">
        <f>SUMIF(NCAA_Bets[Date],M1021,NCAA_Bets[Winnings])-SUMIF(NCAA_Bets[Date],M1021,NCAA_Bets[Risk])</f>
        <v>0</v>
      </c>
    </row>
    <row r="1022" spans="2:16" x14ac:dyDescent="0.25">
      <c r="B1022" s="101">
        <f t="shared" si="44"/>
        <v>33</v>
      </c>
      <c r="L1022" s="71">
        <f t="shared" si="46"/>
        <v>0</v>
      </c>
      <c r="M1022" s="71">
        <f t="shared" si="45"/>
        <v>0</v>
      </c>
      <c r="N1022" s="71" t="str">
        <f>IFERROR(VLOOKUP(M1022,NCAA_Bets[[Date]:[Version]],2,0),"")</f>
        <v/>
      </c>
      <c r="O1022" s="94" t="str">
        <f>COUNTIFS(NCAA_Bets[Date],M1022,NCAA_Bets[Result],"W")&amp;"-"&amp;COUNTIFS(NCAA_Bets[Date],M1022,NCAA_Bets[Result],"L")&amp;IF(COUNTIFS(NCAA_Bets[Date],M1022,NCAA_Bets[Result],"Push")&gt;0,"-"&amp;COUNTIFS(NCAA_Bets[Date],M1022,NCAA_Bets[Result],"Push"),"")</f>
        <v>0-0</v>
      </c>
      <c r="P1022" s="90">
        <f>SUMIF(NCAA_Bets[Date],M1022,NCAA_Bets[Winnings])-SUMIF(NCAA_Bets[Date],M1022,NCAA_Bets[Risk])</f>
        <v>0</v>
      </c>
    </row>
    <row r="1023" spans="2:16" x14ac:dyDescent="0.25">
      <c r="B1023" s="101">
        <f t="shared" si="44"/>
        <v>33</v>
      </c>
      <c r="L1023" s="71">
        <f t="shared" si="46"/>
        <v>0</v>
      </c>
      <c r="M1023" s="71">
        <f t="shared" si="45"/>
        <v>0</v>
      </c>
      <c r="N1023" s="71" t="str">
        <f>IFERROR(VLOOKUP(M1023,NCAA_Bets[[Date]:[Version]],2,0),"")</f>
        <v/>
      </c>
      <c r="O1023" s="94" t="str">
        <f>COUNTIFS(NCAA_Bets[Date],M1023,NCAA_Bets[Result],"W")&amp;"-"&amp;COUNTIFS(NCAA_Bets[Date],M1023,NCAA_Bets[Result],"L")&amp;IF(COUNTIFS(NCAA_Bets[Date],M1023,NCAA_Bets[Result],"Push")&gt;0,"-"&amp;COUNTIFS(NCAA_Bets[Date],M1023,NCAA_Bets[Result],"Push"),"")</f>
        <v>0-0</v>
      </c>
      <c r="P1023" s="90">
        <f>SUMIF(NCAA_Bets[Date],M1023,NCAA_Bets[Winnings])-SUMIF(NCAA_Bets[Date],M1023,NCAA_Bets[Risk])</f>
        <v>0</v>
      </c>
    </row>
    <row r="1024" spans="2:16" x14ac:dyDescent="0.25">
      <c r="B1024" s="101">
        <f t="shared" si="44"/>
        <v>33</v>
      </c>
      <c r="L1024" s="71">
        <f t="shared" si="46"/>
        <v>0</v>
      </c>
      <c r="M1024" s="71">
        <f t="shared" si="45"/>
        <v>0</v>
      </c>
      <c r="N1024" s="71" t="str">
        <f>IFERROR(VLOOKUP(M1024,NCAA_Bets[[Date]:[Version]],2,0),"")</f>
        <v/>
      </c>
      <c r="O1024" s="94" t="str">
        <f>COUNTIFS(NCAA_Bets[Date],M1024,NCAA_Bets[Result],"W")&amp;"-"&amp;COUNTIFS(NCAA_Bets[Date],M1024,NCAA_Bets[Result],"L")&amp;IF(COUNTIFS(NCAA_Bets[Date],M1024,NCAA_Bets[Result],"Push")&gt;0,"-"&amp;COUNTIFS(NCAA_Bets[Date],M1024,NCAA_Bets[Result],"Push"),"")</f>
        <v>0-0</v>
      </c>
      <c r="P1024" s="90">
        <f>SUMIF(NCAA_Bets[Date],M1024,NCAA_Bets[Winnings])-SUMIF(NCAA_Bets[Date],M1024,NCAA_Bets[Risk])</f>
        <v>0</v>
      </c>
    </row>
    <row r="1025" spans="2:16" x14ac:dyDescent="0.25">
      <c r="B1025" s="101">
        <f t="shared" si="44"/>
        <v>33</v>
      </c>
      <c r="L1025" s="71">
        <f t="shared" si="46"/>
        <v>0</v>
      </c>
      <c r="M1025" s="71">
        <f t="shared" si="45"/>
        <v>0</v>
      </c>
      <c r="N1025" s="71" t="str">
        <f>IFERROR(VLOOKUP(M1025,NCAA_Bets[[Date]:[Version]],2,0),"")</f>
        <v/>
      </c>
      <c r="O1025" s="94" t="str">
        <f>COUNTIFS(NCAA_Bets[Date],M1025,NCAA_Bets[Result],"W")&amp;"-"&amp;COUNTIFS(NCAA_Bets[Date],M1025,NCAA_Bets[Result],"L")&amp;IF(COUNTIFS(NCAA_Bets[Date],M1025,NCAA_Bets[Result],"Push")&gt;0,"-"&amp;COUNTIFS(NCAA_Bets[Date],M1025,NCAA_Bets[Result],"Push"),"")</f>
        <v>0-0</v>
      </c>
      <c r="P1025" s="90">
        <f>SUMIF(NCAA_Bets[Date],M1025,NCAA_Bets[Winnings])-SUMIF(NCAA_Bets[Date],M1025,NCAA_Bets[Risk])</f>
        <v>0</v>
      </c>
    </row>
    <row r="1026" spans="2:16" x14ac:dyDescent="0.25">
      <c r="B1026" s="101">
        <f t="shared" si="44"/>
        <v>33</v>
      </c>
      <c r="L1026" s="71">
        <f t="shared" si="46"/>
        <v>0</v>
      </c>
      <c r="M1026" s="71">
        <f t="shared" si="45"/>
        <v>0</v>
      </c>
      <c r="N1026" s="71" t="str">
        <f>IFERROR(VLOOKUP(M1026,NCAA_Bets[[Date]:[Version]],2,0),"")</f>
        <v/>
      </c>
      <c r="O1026" s="94" t="str">
        <f>COUNTIFS(NCAA_Bets[Date],M1026,NCAA_Bets[Result],"W")&amp;"-"&amp;COUNTIFS(NCAA_Bets[Date],M1026,NCAA_Bets[Result],"L")&amp;IF(COUNTIFS(NCAA_Bets[Date],M1026,NCAA_Bets[Result],"Push")&gt;0,"-"&amp;COUNTIFS(NCAA_Bets[Date],M1026,NCAA_Bets[Result],"Push"),"")</f>
        <v>0-0</v>
      </c>
      <c r="P1026" s="90">
        <f>SUMIF(NCAA_Bets[Date],M1026,NCAA_Bets[Winnings])-SUMIF(NCAA_Bets[Date],M1026,NCAA_Bets[Risk])</f>
        <v>0</v>
      </c>
    </row>
    <row r="1027" spans="2:16" x14ac:dyDescent="0.25">
      <c r="B1027" s="101">
        <f t="shared" si="44"/>
        <v>33</v>
      </c>
      <c r="L1027" s="71">
        <f t="shared" si="46"/>
        <v>0</v>
      </c>
      <c r="M1027" s="71">
        <f t="shared" si="45"/>
        <v>0</v>
      </c>
      <c r="N1027" s="71" t="str">
        <f>IFERROR(VLOOKUP(M1027,NCAA_Bets[[Date]:[Version]],2,0),"")</f>
        <v/>
      </c>
      <c r="O1027" s="94" t="str">
        <f>COUNTIFS(NCAA_Bets[Date],M1027,NCAA_Bets[Result],"W")&amp;"-"&amp;COUNTIFS(NCAA_Bets[Date],M1027,NCAA_Bets[Result],"L")&amp;IF(COUNTIFS(NCAA_Bets[Date],M1027,NCAA_Bets[Result],"Push")&gt;0,"-"&amp;COUNTIFS(NCAA_Bets[Date],M1027,NCAA_Bets[Result],"Push"),"")</f>
        <v>0-0</v>
      </c>
      <c r="P1027" s="90">
        <f>SUMIF(NCAA_Bets[Date],M1027,NCAA_Bets[Winnings])-SUMIF(NCAA_Bets[Date],M1027,NCAA_Bets[Risk])</f>
        <v>0</v>
      </c>
    </row>
    <row r="1028" spans="2:16" x14ac:dyDescent="0.25">
      <c r="B1028" s="101">
        <f t="shared" si="44"/>
        <v>33</v>
      </c>
      <c r="L1028" s="71">
        <f t="shared" si="46"/>
        <v>0</v>
      </c>
      <c r="M1028" s="71">
        <f t="shared" si="45"/>
        <v>0</v>
      </c>
      <c r="N1028" s="71" t="str">
        <f>IFERROR(VLOOKUP(M1028,NCAA_Bets[[Date]:[Version]],2,0),"")</f>
        <v/>
      </c>
      <c r="O1028" s="94" t="str">
        <f>COUNTIFS(NCAA_Bets[Date],M1028,NCAA_Bets[Result],"W")&amp;"-"&amp;COUNTIFS(NCAA_Bets[Date],M1028,NCAA_Bets[Result],"L")&amp;IF(COUNTIFS(NCAA_Bets[Date],M1028,NCAA_Bets[Result],"Push")&gt;0,"-"&amp;COUNTIFS(NCAA_Bets[Date],M1028,NCAA_Bets[Result],"Push"),"")</f>
        <v>0-0</v>
      </c>
      <c r="P1028" s="90">
        <f>SUMIF(NCAA_Bets[Date],M1028,NCAA_Bets[Winnings])-SUMIF(NCAA_Bets[Date],M1028,NCAA_Bets[Risk])</f>
        <v>0</v>
      </c>
    </row>
    <row r="1029" spans="2:16" x14ac:dyDescent="0.25">
      <c r="B1029" s="101">
        <f t="shared" si="44"/>
        <v>33</v>
      </c>
      <c r="L1029" s="71">
        <f t="shared" si="46"/>
        <v>0</v>
      </c>
      <c r="M1029" s="71">
        <f t="shared" si="45"/>
        <v>0</v>
      </c>
      <c r="N1029" s="71" t="str">
        <f>IFERROR(VLOOKUP(M1029,NCAA_Bets[[Date]:[Version]],2,0),"")</f>
        <v/>
      </c>
      <c r="O1029" s="94" t="str">
        <f>COUNTIFS(NCAA_Bets[Date],M1029,NCAA_Bets[Result],"W")&amp;"-"&amp;COUNTIFS(NCAA_Bets[Date],M1029,NCAA_Bets[Result],"L")&amp;IF(COUNTIFS(NCAA_Bets[Date],M1029,NCAA_Bets[Result],"Push")&gt;0,"-"&amp;COUNTIFS(NCAA_Bets[Date],M1029,NCAA_Bets[Result],"Push"),"")</f>
        <v>0-0</v>
      </c>
      <c r="P1029" s="90">
        <f>SUMIF(NCAA_Bets[Date],M1029,NCAA_Bets[Winnings])-SUMIF(NCAA_Bets[Date],M1029,NCAA_Bets[Risk])</f>
        <v>0</v>
      </c>
    </row>
    <row r="1030" spans="2:16" x14ac:dyDescent="0.25">
      <c r="B1030" s="101">
        <f t="shared" ref="B1030:B1093" si="47">IF(C1030=C1029,B1029,B1029+1)</f>
        <v>33</v>
      </c>
      <c r="L1030" s="71">
        <f t="shared" si="46"/>
        <v>0</v>
      </c>
      <c r="M1030" s="71">
        <f t="shared" si="45"/>
        <v>0</v>
      </c>
      <c r="N1030" s="71" t="str">
        <f>IFERROR(VLOOKUP(M1030,NCAA_Bets[[Date]:[Version]],2,0),"")</f>
        <v/>
      </c>
      <c r="O1030" s="94" t="str">
        <f>COUNTIFS(NCAA_Bets[Date],M1030,NCAA_Bets[Result],"W")&amp;"-"&amp;COUNTIFS(NCAA_Bets[Date],M1030,NCAA_Bets[Result],"L")&amp;IF(COUNTIFS(NCAA_Bets[Date],M1030,NCAA_Bets[Result],"Push")&gt;0,"-"&amp;COUNTIFS(NCAA_Bets[Date],M1030,NCAA_Bets[Result],"Push"),"")</f>
        <v>0-0</v>
      </c>
      <c r="P1030" s="90">
        <f>SUMIF(NCAA_Bets[Date],M1030,NCAA_Bets[Winnings])-SUMIF(NCAA_Bets[Date],M1030,NCAA_Bets[Risk])</f>
        <v>0</v>
      </c>
    </row>
    <row r="1031" spans="2:16" x14ac:dyDescent="0.25">
      <c r="B1031" s="101">
        <f t="shared" si="47"/>
        <v>33</v>
      </c>
      <c r="L1031" s="71">
        <f t="shared" si="46"/>
        <v>0</v>
      </c>
      <c r="M1031" s="71">
        <f t="shared" si="45"/>
        <v>0</v>
      </c>
      <c r="N1031" s="71" t="str">
        <f>IFERROR(VLOOKUP(M1031,NCAA_Bets[[Date]:[Version]],2,0),"")</f>
        <v/>
      </c>
      <c r="O1031" s="94" t="str">
        <f>COUNTIFS(NCAA_Bets[Date],M1031,NCAA_Bets[Result],"W")&amp;"-"&amp;COUNTIFS(NCAA_Bets[Date],M1031,NCAA_Bets[Result],"L")&amp;IF(COUNTIFS(NCAA_Bets[Date],M1031,NCAA_Bets[Result],"Push")&gt;0,"-"&amp;COUNTIFS(NCAA_Bets[Date],M1031,NCAA_Bets[Result],"Push"),"")</f>
        <v>0-0</v>
      </c>
      <c r="P1031" s="90">
        <f>SUMIF(NCAA_Bets[Date],M1031,NCAA_Bets[Winnings])-SUMIF(NCAA_Bets[Date],M1031,NCAA_Bets[Risk])</f>
        <v>0</v>
      </c>
    </row>
    <row r="1032" spans="2:16" x14ac:dyDescent="0.25">
      <c r="B1032" s="101">
        <f t="shared" si="47"/>
        <v>33</v>
      </c>
      <c r="L1032" s="71">
        <f t="shared" si="46"/>
        <v>0</v>
      </c>
      <c r="M1032" s="71">
        <f t="shared" si="45"/>
        <v>0</v>
      </c>
      <c r="N1032" s="71" t="str">
        <f>IFERROR(VLOOKUP(M1032,NCAA_Bets[[Date]:[Version]],2,0),"")</f>
        <v/>
      </c>
      <c r="O1032" s="94" t="str">
        <f>COUNTIFS(NCAA_Bets[Date],M1032,NCAA_Bets[Result],"W")&amp;"-"&amp;COUNTIFS(NCAA_Bets[Date],M1032,NCAA_Bets[Result],"L")&amp;IF(COUNTIFS(NCAA_Bets[Date],M1032,NCAA_Bets[Result],"Push")&gt;0,"-"&amp;COUNTIFS(NCAA_Bets[Date],M1032,NCAA_Bets[Result],"Push"),"")</f>
        <v>0-0</v>
      </c>
      <c r="P1032" s="90">
        <f>SUMIF(NCAA_Bets[Date],M1032,NCAA_Bets[Winnings])-SUMIF(NCAA_Bets[Date],M1032,NCAA_Bets[Risk])</f>
        <v>0</v>
      </c>
    </row>
    <row r="1033" spans="2:16" x14ac:dyDescent="0.25">
      <c r="B1033" s="101">
        <f t="shared" si="47"/>
        <v>33</v>
      </c>
      <c r="L1033" s="71">
        <f t="shared" si="46"/>
        <v>0</v>
      </c>
      <c r="M1033" s="71">
        <f t="shared" si="45"/>
        <v>0</v>
      </c>
      <c r="N1033" s="71" t="str">
        <f>IFERROR(VLOOKUP(M1033,NCAA_Bets[[Date]:[Version]],2,0),"")</f>
        <v/>
      </c>
      <c r="O1033" s="94" t="str">
        <f>COUNTIFS(NCAA_Bets[Date],M1033,NCAA_Bets[Result],"W")&amp;"-"&amp;COUNTIFS(NCAA_Bets[Date],M1033,NCAA_Bets[Result],"L")&amp;IF(COUNTIFS(NCAA_Bets[Date],M1033,NCAA_Bets[Result],"Push")&gt;0,"-"&amp;COUNTIFS(NCAA_Bets[Date],M1033,NCAA_Bets[Result],"Push"),"")</f>
        <v>0-0</v>
      </c>
      <c r="P1033" s="90">
        <f>SUMIF(NCAA_Bets[Date],M1033,NCAA_Bets[Winnings])-SUMIF(NCAA_Bets[Date],M1033,NCAA_Bets[Risk])</f>
        <v>0</v>
      </c>
    </row>
    <row r="1034" spans="2:16" x14ac:dyDescent="0.25">
      <c r="B1034" s="101">
        <f t="shared" si="47"/>
        <v>33</v>
      </c>
      <c r="L1034" s="71">
        <f t="shared" si="46"/>
        <v>0</v>
      </c>
      <c r="M1034" s="71">
        <f t="shared" si="45"/>
        <v>0</v>
      </c>
      <c r="N1034" s="71" t="str">
        <f>IFERROR(VLOOKUP(M1034,NCAA_Bets[[Date]:[Version]],2,0),"")</f>
        <v/>
      </c>
      <c r="O1034" s="94" t="str">
        <f>COUNTIFS(NCAA_Bets[Date],M1034,NCAA_Bets[Result],"W")&amp;"-"&amp;COUNTIFS(NCAA_Bets[Date],M1034,NCAA_Bets[Result],"L")&amp;IF(COUNTIFS(NCAA_Bets[Date],M1034,NCAA_Bets[Result],"Push")&gt;0,"-"&amp;COUNTIFS(NCAA_Bets[Date],M1034,NCAA_Bets[Result],"Push"),"")</f>
        <v>0-0</v>
      </c>
      <c r="P1034" s="90">
        <f>SUMIF(NCAA_Bets[Date],M1034,NCAA_Bets[Winnings])-SUMIF(NCAA_Bets[Date],M1034,NCAA_Bets[Risk])</f>
        <v>0</v>
      </c>
    </row>
    <row r="1035" spans="2:16" x14ac:dyDescent="0.25">
      <c r="B1035" s="101">
        <f t="shared" si="47"/>
        <v>33</v>
      </c>
      <c r="L1035" s="71">
        <f t="shared" si="46"/>
        <v>0</v>
      </c>
      <c r="M1035" s="71">
        <f t="shared" si="45"/>
        <v>0</v>
      </c>
      <c r="N1035" s="71" t="str">
        <f>IFERROR(VLOOKUP(M1035,NCAA_Bets[[Date]:[Version]],2,0),"")</f>
        <v/>
      </c>
      <c r="O1035" s="94" t="str">
        <f>COUNTIFS(NCAA_Bets[Date],M1035,NCAA_Bets[Result],"W")&amp;"-"&amp;COUNTIFS(NCAA_Bets[Date],M1035,NCAA_Bets[Result],"L")&amp;IF(COUNTIFS(NCAA_Bets[Date],M1035,NCAA_Bets[Result],"Push")&gt;0,"-"&amp;COUNTIFS(NCAA_Bets[Date],M1035,NCAA_Bets[Result],"Push"),"")</f>
        <v>0-0</v>
      </c>
      <c r="P1035" s="90">
        <f>SUMIF(NCAA_Bets[Date],M1035,NCAA_Bets[Winnings])-SUMIF(NCAA_Bets[Date],M1035,NCAA_Bets[Risk])</f>
        <v>0</v>
      </c>
    </row>
    <row r="1036" spans="2:16" x14ac:dyDescent="0.25">
      <c r="B1036" s="101">
        <f t="shared" si="47"/>
        <v>33</v>
      </c>
      <c r="L1036" s="71">
        <f t="shared" si="46"/>
        <v>0</v>
      </c>
      <c r="M1036" s="71">
        <f t="shared" si="45"/>
        <v>0</v>
      </c>
      <c r="N1036" s="71" t="str">
        <f>IFERROR(VLOOKUP(M1036,NCAA_Bets[[Date]:[Version]],2,0),"")</f>
        <v/>
      </c>
      <c r="O1036" s="94" t="str">
        <f>COUNTIFS(NCAA_Bets[Date],M1036,NCAA_Bets[Result],"W")&amp;"-"&amp;COUNTIFS(NCAA_Bets[Date],M1036,NCAA_Bets[Result],"L")&amp;IF(COUNTIFS(NCAA_Bets[Date],M1036,NCAA_Bets[Result],"Push")&gt;0,"-"&amp;COUNTIFS(NCAA_Bets[Date],M1036,NCAA_Bets[Result],"Push"),"")</f>
        <v>0-0</v>
      </c>
      <c r="P1036" s="90">
        <f>SUMIF(NCAA_Bets[Date],M1036,NCAA_Bets[Winnings])-SUMIF(NCAA_Bets[Date],M1036,NCAA_Bets[Risk])</f>
        <v>0</v>
      </c>
    </row>
    <row r="1037" spans="2:16" x14ac:dyDescent="0.25">
      <c r="B1037" s="101">
        <f t="shared" si="47"/>
        <v>33</v>
      </c>
      <c r="L1037" s="71">
        <f t="shared" si="46"/>
        <v>0</v>
      </c>
      <c r="M1037" s="71">
        <f t="shared" si="45"/>
        <v>0</v>
      </c>
      <c r="N1037" s="71" t="str">
        <f>IFERROR(VLOOKUP(M1037,NCAA_Bets[[Date]:[Version]],2,0),"")</f>
        <v/>
      </c>
      <c r="O1037" s="94" t="str">
        <f>COUNTIFS(NCAA_Bets[Date],M1037,NCAA_Bets[Result],"W")&amp;"-"&amp;COUNTIFS(NCAA_Bets[Date],M1037,NCAA_Bets[Result],"L")&amp;IF(COUNTIFS(NCAA_Bets[Date],M1037,NCAA_Bets[Result],"Push")&gt;0,"-"&amp;COUNTIFS(NCAA_Bets[Date],M1037,NCAA_Bets[Result],"Push"),"")</f>
        <v>0-0</v>
      </c>
      <c r="P1037" s="90">
        <f>SUMIF(NCAA_Bets[Date],M1037,NCAA_Bets[Winnings])-SUMIF(NCAA_Bets[Date],M1037,NCAA_Bets[Risk])</f>
        <v>0</v>
      </c>
    </row>
    <row r="1038" spans="2:16" x14ac:dyDescent="0.25">
      <c r="B1038" s="101">
        <f t="shared" si="47"/>
        <v>33</v>
      </c>
      <c r="L1038" s="71">
        <f t="shared" si="46"/>
        <v>0</v>
      </c>
      <c r="M1038" s="71">
        <f t="shared" si="45"/>
        <v>0</v>
      </c>
      <c r="N1038" s="71" t="str">
        <f>IFERROR(VLOOKUP(M1038,NCAA_Bets[[Date]:[Version]],2,0),"")</f>
        <v/>
      </c>
      <c r="O1038" s="94" t="str">
        <f>COUNTIFS(NCAA_Bets[Date],M1038,NCAA_Bets[Result],"W")&amp;"-"&amp;COUNTIFS(NCAA_Bets[Date],M1038,NCAA_Bets[Result],"L")&amp;IF(COUNTIFS(NCAA_Bets[Date],M1038,NCAA_Bets[Result],"Push")&gt;0,"-"&amp;COUNTIFS(NCAA_Bets[Date],M1038,NCAA_Bets[Result],"Push"),"")</f>
        <v>0-0</v>
      </c>
      <c r="P1038" s="90">
        <f>SUMIF(NCAA_Bets[Date],M1038,NCAA_Bets[Winnings])-SUMIF(NCAA_Bets[Date],M1038,NCAA_Bets[Risk])</f>
        <v>0</v>
      </c>
    </row>
    <row r="1039" spans="2:16" x14ac:dyDescent="0.25">
      <c r="B1039" s="101">
        <f t="shared" si="47"/>
        <v>33</v>
      </c>
      <c r="L1039" s="71">
        <f t="shared" si="46"/>
        <v>0</v>
      </c>
      <c r="M1039" s="71">
        <f t="shared" si="45"/>
        <v>0</v>
      </c>
      <c r="N1039" s="71" t="str">
        <f>IFERROR(VLOOKUP(M1039,NCAA_Bets[[Date]:[Version]],2,0),"")</f>
        <v/>
      </c>
      <c r="O1039" s="94" t="str">
        <f>COUNTIFS(NCAA_Bets[Date],M1039,NCAA_Bets[Result],"W")&amp;"-"&amp;COUNTIFS(NCAA_Bets[Date],M1039,NCAA_Bets[Result],"L")&amp;IF(COUNTIFS(NCAA_Bets[Date],M1039,NCAA_Bets[Result],"Push")&gt;0,"-"&amp;COUNTIFS(NCAA_Bets[Date],M1039,NCAA_Bets[Result],"Push"),"")</f>
        <v>0-0</v>
      </c>
      <c r="P1039" s="90">
        <f>SUMIF(NCAA_Bets[Date],M1039,NCAA_Bets[Winnings])-SUMIF(NCAA_Bets[Date],M1039,NCAA_Bets[Risk])</f>
        <v>0</v>
      </c>
    </row>
    <row r="1040" spans="2:16" x14ac:dyDescent="0.25">
      <c r="B1040" s="101">
        <f t="shared" si="47"/>
        <v>33</v>
      </c>
      <c r="L1040" s="71">
        <f t="shared" si="46"/>
        <v>0</v>
      </c>
      <c r="M1040" s="71">
        <f t="shared" si="45"/>
        <v>0</v>
      </c>
      <c r="N1040" s="71" t="str">
        <f>IFERROR(VLOOKUP(M1040,NCAA_Bets[[Date]:[Version]],2,0),"")</f>
        <v/>
      </c>
      <c r="O1040" s="94" t="str">
        <f>COUNTIFS(NCAA_Bets[Date],M1040,NCAA_Bets[Result],"W")&amp;"-"&amp;COUNTIFS(NCAA_Bets[Date],M1040,NCAA_Bets[Result],"L")&amp;IF(COUNTIFS(NCAA_Bets[Date],M1040,NCAA_Bets[Result],"Push")&gt;0,"-"&amp;COUNTIFS(NCAA_Bets[Date],M1040,NCAA_Bets[Result],"Push"),"")</f>
        <v>0-0</v>
      </c>
      <c r="P1040" s="90">
        <f>SUMIF(NCAA_Bets[Date],M1040,NCAA_Bets[Winnings])-SUMIF(NCAA_Bets[Date],M1040,NCAA_Bets[Risk])</f>
        <v>0</v>
      </c>
    </row>
    <row r="1041" spans="2:16" x14ac:dyDescent="0.25">
      <c r="B1041" s="101">
        <f t="shared" si="47"/>
        <v>33</v>
      </c>
      <c r="L1041" s="71">
        <f t="shared" si="46"/>
        <v>0</v>
      </c>
      <c r="M1041" s="71">
        <f t="shared" si="45"/>
        <v>0</v>
      </c>
      <c r="N1041" s="71" t="str">
        <f>IFERROR(VLOOKUP(M1041,NCAA_Bets[[Date]:[Version]],2,0),"")</f>
        <v/>
      </c>
      <c r="O1041" s="94" t="str">
        <f>COUNTIFS(NCAA_Bets[Date],M1041,NCAA_Bets[Result],"W")&amp;"-"&amp;COUNTIFS(NCAA_Bets[Date],M1041,NCAA_Bets[Result],"L")&amp;IF(COUNTIFS(NCAA_Bets[Date],M1041,NCAA_Bets[Result],"Push")&gt;0,"-"&amp;COUNTIFS(NCAA_Bets[Date],M1041,NCAA_Bets[Result],"Push"),"")</f>
        <v>0-0</v>
      </c>
      <c r="P1041" s="90">
        <f>SUMIF(NCAA_Bets[Date],M1041,NCAA_Bets[Winnings])-SUMIF(NCAA_Bets[Date],M1041,NCAA_Bets[Risk])</f>
        <v>0</v>
      </c>
    </row>
    <row r="1042" spans="2:16" x14ac:dyDescent="0.25">
      <c r="B1042" s="101">
        <f t="shared" si="47"/>
        <v>33</v>
      </c>
      <c r="L1042" s="71">
        <f t="shared" si="46"/>
        <v>0</v>
      </c>
      <c r="M1042" s="71">
        <f t="shared" si="45"/>
        <v>0</v>
      </c>
      <c r="N1042" s="71" t="str">
        <f>IFERROR(VLOOKUP(M1042,NCAA_Bets[[Date]:[Version]],2,0),"")</f>
        <v/>
      </c>
      <c r="O1042" s="94" t="str">
        <f>COUNTIFS(NCAA_Bets[Date],M1042,NCAA_Bets[Result],"W")&amp;"-"&amp;COUNTIFS(NCAA_Bets[Date],M1042,NCAA_Bets[Result],"L")&amp;IF(COUNTIFS(NCAA_Bets[Date],M1042,NCAA_Bets[Result],"Push")&gt;0,"-"&amp;COUNTIFS(NCAA_Bets[Date],M1042,NCAA_Bets[Result],"Push"),"")</f>
        <v>0-0</v>
      </c>
      <c r="P1042" s="90">
        <f>SUMIF(NCAA_Bets[Date],M1042,NCAA_Bets[Winnings])-SUMIF(NCAA_Bets[Date],M1042,NCAA_Bets[Risk])</f>
        <v>0</v>
      </c>
    </row>
    <row r="1043" spans="2:16" x14ac:dyDescent="0.25">
      <c r="B1043" s="101">
        <f t="shared" si="47"/>
        <v>33</v>
      </c>
      <c r="L1043" s="71">
        <f t="shared" si="46"/>
        <v>0</v>
      </c>
      <c r="M1043" s="71">
        <f t="shared" si="45"/>
        <v>0</v>
      </c>
      <c r="N1043" s="71" t="str">
        <f>IFERROR(VLOOKUP(M1043,NCAA_Bets[[Date]:[Version]],2,0),"")</f>
        <v/>
      </c>
      <c r="O1043" s="94" t="str">
        <f>COUNTIFS(NCAA_Bets[Date],M1043,NCAA_Bets[Result],"W")&amp;"-"&amp;COUNTIFS(NCAA_Bets[Date],M1043,NCAA_Bets[Result],"L")&amp;IF(COUNTIFS(NCAA_Bets[Date],M1043,NCAA_Bets[Result],"Push")&gt;0,"-"&amp;COUNTIFS(NCAA_Bets[Date],M1043,NCAA_Bets[Result],"Push"),"")</f>
        <v>0-0</v>
      </c>
      <c r="P1043" s="90">
        <f>SUMIF(NCAA_Bets[Date],M1043,NCAA_Bets[Winnings])-SUMIF(NCAA_Bets[Date],M1043,NCAA_Bets[Risk])</f>
        <v>0</v>
      </c>
    </row>
    <row r="1044" spans="2:16" x14ac:dyDescent="0.25">
      <c r="B1044" s="101">
        <f t="shared" si="47"/>
        <v>33</v>
      </c>
      <c r="L1044" s="71">
        <f t="shared" si="46"/>
        <v>0</v>
      </c>
      <c r="M1044" s="71">
        <f t="shared" si="45"/>
        <v>0</v>
      </c>
      <c r="N1044" s="71" t="str">
        <f>IFERROR(VLOOKUP(M1044,NCAA_Bets[[Date]:[Version]],2,0),"")</f>
        <v/>
      </c>
      <c r="O1044" s="94" t="str">
        <f>COUNTIFS(NCAA_Bets[Date],M1044,NCAA_Bets[Result],"W")&amp;"-"&amp;COUNTIFS(NCAA_Bets[Date],M1044,NCAA_Bets[Result],"L")&amp;IF(COUNTIFS(NCAA_Bets[Date],M1044,NCAA_Bets[Result],"Push")&gt;0,"-"&amp;COUNTIFS(NCAA_Bets[Date],M1044,NCAA_Bets[Result],"Push"),"")</f>
        <v>0-0</v>
      </c>
      <c r="P1044" s="90">
        <f>SUMIF(NCAA_Bets[Date],M1044,NCAA_Bets[Winnings])-SUMIF(NCAA_Bets[Date],M1044,NCAA_Bets[Risk])</f>
        <v>0</v>
      </c>
    </row>
    <row r="1045" spans="2:16" x14ac:dyDescent="0.25">
      <c r="B1045" s="101">
        <f t="shared" si="47"/>
        <v>33</v>
      </c>
      <c r="L1045" s="71">
        <f t="shared" si="46"/>
        <v>0</v>
      </c>
      <c r="M1045" s="71">
        <f t="shared" si="45"/>
        <v>0</v>
      </c>
      <c r="N1045" s="71" t="str">
        <f>IFERROR(VLOOKUP(M1045,NCAA_Bets[[Date]:[Version]],2,0),"")</f>
        <v/>
      </c>
      <c r="O1045" s="94" t="str">
        <f>COUNTIFS(NCAA_Bets[Date],M1045,NCAA_Bets[Result],"W")&amp;"-"&amp;COUNTIFS(NCAA_Bets[Date],M1045,NCAA_Bets[Result],"L")&amp;IF(COUNTIFS(NCAA_Bets[Date],M1045,NCAA_Bets[Result],"Push")&gt;0,"-"&amp;COUNTIFS(NCAA_Bets[Date],M1045,NCAA_Bets[Result],"Push"),"")</f>
        <v>0-0</v>
      </c>
      <c r="P1045" s="90">
        <f>SUMIF(NCAA_Bets[Date],M1045,NCAA_Bets[Winnings])-SUMIF(NCAA_Bets[Date],M1045,NCAA_Bets[Risk])</f>
        <v>0</v>
      </c>
    </row>
    <row r="1046" spans="2:16" x14ac:dyDescent="0.25">
      <c r="B1046" s="101">
        <f t="shared" si="47"/>
        <v>33</v>
      </c>
      <c r="L1046" s="71">
        <f t="shared" si="46"/>
        <v>0</v>
      </c>
      <c r="M1046" s="71">
        <f t="shared" si="45"/>
        <v>0</v>
      </c>
      <c r="N1046" s="71" t="str">
        <f>IFERROR(VLOOKUP(M1046,NCAA_Bets[[Date]:[Version]],2,0),"")</f>
        <v/>
      </c>
      <c r="O1046" s="94" t="str">
        <f>COUNTIFS(NCAA_Bets[Date],M1046,NCAA_Bets[Result],"W")&amp;"-"&amp;COUNTIFS(NCAA_Bets[Date],M1046,NCAA_Bets[Result],"L")&amp;IF(COUNTIFS(NCAA_Bets[Date],M1046,NCAA_Bets[Result],"Push")&gt;0,"-"&amp;COUNTIFS(NCAA_Bets[Date],M1046,NCAA_Bets[Result],"Push"),"")</f>
        <v>0-0</v>
      </c>
      <c r="P1046" s="90">
        <f>SUMIF(NCAA_Bets[Date],M1046,NCAA_Bets[Winnings])-SUMIF(NCAA_Bets[Date],M1046,NCAA_Bets[Risk])</f>
        <v>0</v>
      </c>
    </row>
    <row r="1047" spans="2:16" x14ac:dyDescent="0.25">
      <c r="B1047" s="101">
        <f t="shared" si="47"/>
        <v>33</v>
      </c>
      <c r="L1047" s="71">
        <f t="shared" si="46"/>
        <v>0</v>
      </c>
      <c r="M1047" s="71">
        <f t="shared" si="45"/>
        <v>0</v>
      </c>
      <c r="N1047" s="71" t="str">
        <f>IFERROR(VLOOKUP(M1047,NCAA_Bets[[Date]:[Version]],2,0),"")</f>
        <v/>
      </c>
      <c r="O1047" s="94" t="str">
        <f>COUNTIFS(NCAA_Bets[Date],M1047,NCAA_Bets[Result],"W")&amp;"-"&amp;COUNTIFS(NCAA_Bets[Date],M1047,NCAA_Bets[Result],"L")&amp;IF(COUNTIFS(NCAA_Bets[Date],M1047,NCAA_Bets[Result],"Push")&gt;0,"-"&amp;COUNTIFS(NCAA_Bets[Date],M1047,NCAA_Bets[Result],"Push"),"")</f>
        <v>0-0</v>
      </c>
      <c r="P1047" s="90">
        <f>SUMIF(NCAA_Bets[Date],M1047,NCAA_Bets[Winnings])-SUMIF(NCAA_Bets[Date],M1047,NCAA_Bets[Risk])</f>
        <v>0</v>
      </c>
    </row>
    <row r="1048" spans="2:16" x14ac:dyDescent="0.25">
      <c r="B1048" s="101">
        <f t="shared" si="47"/>
        <v>33</v>
      </c>
      <c r="L1048" s="71">
        <f t="shared" si="46"/>
        <v>0</v>
      </c>
      <c r="M1048" s="71">
        <f t="shared" si="45"/>
        <v>0</v>
      </c>
      <c r="N1048" s="71" t="str">
        <f>IFERROR(VLOOKUP(M1048,NCAA_Bets[[Date]:[Version]],2,0),"")</f>
        <v/>
      </c>
      <c r="O1048" s="94" t="str">
        <f>COUNTIFS(NCAA_Bets[Date],M1048,NCAA_Bets[Result],"W")&amp;"-"&amp;COUNTIFS(NCAA_Bets[Date],M1048,NCAA_Bets[Result],"L")&amp;IF(COUNTIFS(NCAA_Bets[Date],M1048,NCAA_Bets[Result],"Push")&gt;0,"-"&amp;COUNTIFS(NCAA_Bets[Date],M1048,NCAA_Bets[Result],"Push"),"")</f>
        <v>0-0</v>
      </c>
      <c r="P1048" s="90">
        <f>SUMIF(NCAA_Bets[Date],M1048,NCAA_Bets[Winnings])-SUMIF(NCAA_Bets[Date],M1048,NCAA_Bets[Risk])</f>
        <v>0</v>
      </c>
    </row>
    <row r="1049" spans="2:16" x14ac:dyDescent="0.25">
      <c r="B1049" s="101">
        <f t="shared" si="47"/>
        <v>33</v>
      </c>
      <c r="L1049" s="71">
        <f t="shared" si="46"/>
        <v>0</v>
      </c>
      <c r="M1049" s="71">
        <f t="shared" si="45"/>
        <v>0</v>
      </c>
      <c r="N1049" s="71" t="str">
        <f>IFERROR(VLOOKUP(M1049,NCAA_Bets[[Date]:[Version]],2,0),"")</f>
        <v/>
      </c>
      <c r="O1049" s="94" t="str">
        <f>COUNTIFS(NCAA_Bets[Date],M1049,NCAA_Bets[Result],"W")&amp;"-"&amp;COUNTIFS(NCAA_Bets[Date],M1049,NCAA_Bets[Result],"L")&amp;IF(COUNTIFS(NCAA_Bets[Date],M1049,NCAA_Bets[Result],"Push")&gt;0,"-"&amp;COUNTIFS(NCAA_Bets[Date],M1049,NCAA_Bets[Result],"Push"),"")</f>
        <v>0-0</v>
      </c>
      <c r="P1049" s="90">
        <f>SUMIF(NCAA_Bets[Date],M1049,NCAA_Bets[Winnings])-SUMIF(NCAA_Bets[Date],M1049,NCAA_Bets[Risk])</f>
        <v>0</v>
      </c>
    </row>
    <row r="1050" spans="2:16" x14ac:dyDescent="0.25">
      <c r="B1050" s="101">
        <f t="shared" si="47"/>
        <v>33</v>
      </c>
      <c r="L1050" s="71">
        <f t="shared" si="46"/>
        <v>0</v>
      </c>
      <c r="M1050" s="71">
        <f t="shared" ref="M1050:M1113" si="48">IFERROR(VLOOKUP(ROW()-4,B:C,2,0),0)</f>
        <v>0</v>
      </c>
      <c r="N1050" s="71" t="str">
        <f>IFERROR(VLOOKUP(M1050,NCAA_Bets[[Date]:[Version]],2,0),"")</f>
        <v/>
      </c>
      <c r="O1050" s="94" t="str">
        <f>COUNTIFS(NCAA_Bets[Date],M1050,NCAA_Bets[Result],"W")&amp;"-"&amp;COUNTIFS(NCAA_Bets[Date],M1050,NCAA_Bets[Result],"L")&amp;IF(COUNTIFS(NCAA_Bets[Date],M1050,NCAA_Bets[Result],"Push")&gt;0,"-"&amp;COUNTIFS(NCAA_Bets[Date],M1050,NCAA_Bets[Result],"Push"),"")</f>
        <v>0-0</v>
      </c>
      <c r="P1050" s="90">
        <f>SUMIF(NCAA_Bets[Date],M1050,NCAA_Bets[Winnings])-SUMIF(NCAA_Bets[Date],M1050,NCAA_Bets[Risk])</f>
        <v>0</v>
      </c>
    </row>
    <row r="1051" spans="2:16" x14ac:dyDescent="0.25">
      <c r="B1051" s="101">
        <f t="shared" si="47"/>
        <v>33</v>
      </c>
      <c r="L1051" s="71">
        <f t="shared" si="46"/>
        <v>0</v>
      </c>
      <c r="M1051" s="71">
        <f t="shared" si="48"/>
        <v>0</v>
      </c>
      <c r="N1051" s="71" t="str">
        <f>IFERROR(VLOOKUP(M1051,NCAA_Bets[[Date]:[Version]],2,0),"")</f>
        <v/>
      </c>
      <c r="O1051" s="94" t="str">
        <f>COUNTIFS(NCAA_Bets[Date],M1051,NCAA_Bets[Result],"W")&amp;"-"&amp;COUNTIFS(NCAA_Bets[Date],M1051,NCAA_Bets[Result],"L")&amp;IF(COUNTIFS(NCAA_Bets[Date],M1051,NCAA_Bets[Result],"Push")&gt;0,"-"&amp;COUNTIFS(NCAA_Bets[Date],M1051,NCAA_Bets[Result],"Push"),"")</f>
        <v>0-0</v>
      </c>
      <c r="P1051" s="90">
        <f>SUMIF(NCAA_Bets[Date],M1051,NCAA_Bets[Winnings])-SUMIF(NCAA_Bets[Date],M1051,NCAA_Bets[Risk])</f>
        <v>0</v>
      </c>
    </row>
    <row r="1052" spans="2:16" x14ac:dyDescent="0.25">
      <c r="B1052" s="101">
        <f t="shared" si="47"/>
        <v>33</v>
      </c>
      <c r="L1052" s="71">
        <f t="shared" si="46"/>
        <v>0</v>
      </c>
      <c r="M1052" s="71">
        <f t="shared" si="48"/>
        <v>0</v>
      </c>
      <c r="N1052" s="71" t="str">
        <f>IFERROR(VLOOKUP(M1052,NCAA_Bets[[Date]:[Version]],2,0),"")</f>
        <v/>
      </c>
      <c r="O1052" s="94" t="str">
        <f>COUNTIFS(NCAA_Bets[Date],M1052,NCAA_Bets[Result],"W")&amp;"-"&amp;COUNTIFS(NCAA_Bets[Date],M1052,NCAA_Bets[Result],"L")&amp;IF(COUNTIFS(NCAA_Bets[Date],M1052,NCAA_Bets[Result],"Push")&gt;0,"-"&amp;COUNTIFS(NCAA_Bets[Date],M1052,NCAA_Bets[Result],"Push"),"")</f>
        <v>0-0</v>
      </c>
      <c r="P1052" s="90">
        <f>SUMIF(NCAA_Bets[Date],M1052,NCAA_Bets[Winnings])-SUMIF(NCAA_Bets[Date],M1052,NCAA_Bets[Risk])</f>
        <v>0</v>
      </c>
    </row>
    <row r="1053" spans="2:16" x14ac:dyDescent="0.25">
      <c r="B1053" s="101">
        <f t="shared" si="47"/>
        <v>33</v>
      </c>
      <c r="L1053" s="71">
        <f t="shared" si="46"/>
        <v>0</v>
      </c>
      <c r="M1053" s="71">
        <f t="shared" si="48"/>
        <v>0</v>
      </c>
      <c r="N1053" s="71" t="str">
        <f>IFERROR(VLOOKUP(M1053,NCAA_Bets[[Date]:[Version]],2,0),"")</f>
        <v/>
      </c>
      <c r="O1053" s="94" t="str">
        <f>COUNTIFS(NCAA_Bets[Date],M1053,NCAA_Bets[Result],"W")&amp;"-"&amp;COUNTIFS(NCAA_Bets[Date],M1053,NCAA_Bets[Result],"L")&amp;IF(COUNTIFS(NCAA_Bets[Date],M1053,NCAA_Bets[Result],"Push")&gt;0,"-"&amp;COUNTIFS(NCAA_Bets[Date],M1053,NCAA_Bets[Result],"Push"),"")</f>
        <v>0-0</v>
      </c>
      <c r="P1053" s="90">
        <f>SUMIF(NCAA_Bets[Date],M1053,NCAA_Bets[Winnings])-SUMIF(NCAA_Bets[Date],M1053,NCAA_Bets[Risk])</f>
        <v>0</v>
      </c>
    </row>
    <row r="1054" spans="2:16" x14ac:dyDescent="0.25">
      <c r="B1054" s="101">
        <f t="shared" si="47"/>
        <v>33</v>
      </c>
      <c r="L1054" s="71">
        <f t="shared" si="46"/>
        <v>0</v>
      </c>
      <c r="M1054" s="71">
        <f t="shared" si="48"/>
        <v>0</v>
      </c>
      <c r="N1054" s="71" t="str">
        <f>IFERROR(VLOOKUP(M1054,NCAA_Bets[[Date]:[Version]],2,0),"")</f>
        <v/>
      </c>
      <c r="O1054" s="94" t="str">
        <f>COUNTIFS(NCAA_Bets[Date],M1054,NCAA_Bets[Result],"W")&amp;"-"&amp;COUNTIFS(NCAA_Bets[Date],M1054,NCAA_Bets[Result],"L")&amp;IF(COUNTIFS(NCAA_Bets[Date],M1054,NCAA_Bets[Result],"Push")&gt;0,"-"&amp;COUNTIFS(NCAA_Bets[Date],M1054,NCAA_Bets[Result],"Push"),"")</f>
        <v>0-0</v>
      </c>
      <c r="P1054" s="90">
        <f>SUMIF(NCAA_Bets[Date],M1054,NCAA_Bets[Winnings])-SUMIF(NCAA_Bets[Date],M1054,NCAA_Bets[Risk])</f>
        <v>0</v>
      </c>
    </row>
    <row r="1055" spans="2:16" x14ac:dyDescent="0.25">
      <c r="B1055" s="101">
        <f t="shared" si="47"/>
        <v>33</v>
      </c>
      <c r="L1055" s="71">
        <f t="shared" si="46"/>
        <v>0</v>
      </c>
      <c r="M1055" s="71">
        <f t="shared" si="48"/>
        <v>0</v>
      </c>
      <c r="N1055" s="71" t="str">
        <f>IFERROR(VLOOKUP(M1055,NCAA_Bets[[Date]:[Version]],2,0),"")</f>
        <v/>
      </c>
      <c r="O1055" s="94" t="str">
        <f>COUNTIFS(NCAA_Bets[Date],M1055,NCAA_Bets[Result],"W")&amp;"-"&amp;COUNTIFS(NCAA_Bets[Date],M1055,NCAA_Bets[Result],"L")&amp;IF(COUNTIFS(NCAA_Bets[Date],M1055,NCAA_Bets[Result],"Push")&gt;0,"-"&amp;COUNTIFS(NCAA_Bets[Date],M1055,NCAA_Bets[Result],"Push"),"")</f>
        <v>0-0</v>
      </c>
      <c r="P1055" s="90">
        <f>SUMIF(NCAA_Bets[Date],M1055,NCAA_Bets[Winnings])-SUMIF(NCAA_Bets[Date],M1055,NCAA_Bets[Risk])</f>
        <v>0</v>
      </c>
    </row>
    <row r="1056" spans="2:16" x14ac:dyDescent="0.25">
      <c r="B1056" s="101">
        <f t="shared" si="47"/>
        <v>33</v>
      </c>
      <c r="L1056" s="71">
        <f t="shared" si="46"/>
        <v>0</v>
      </c>
      <c r="M1056" s="71">
        <f t="shared" si="48"/>
        <v>0</v>
      </c>
      <c r="N1056" s="71" t="str">
        <f>IFERROR(VLOOKUP(M1056,NCAA_Bets[[Date]:[Version]],2,0),"")</f>
        <v/>
      </c>
      <c r="O1056" s="94" t="str">
        <f>COUNTIFS(NCAA_Bets[Date],M1056,NCAA_Bets[Result],"W")&amp;"-"&amp;COUNTIFS(NCAA_Bets[Date],M1056,NCAA_Bets[Result],"L")&amp;IF(COUNTIFS(NCAA_Bets[Date],M1056,NCAA_Bets[Result],"Push")&gt;0,"-"&amp;COUNTIFS(NCAA_Bets[Date],M1056,NCAA_Bets[Result],"Push"),"")</f>
        <v>0-0</v>
      </c>
      <c r="P1056" s="90">
        <f>SUMIF(NCAA_Bets[Date],M1056,NCAA_Bets[Winnings])-SUMIF(NCAA_Bets[Date],M1056,NCAA_Bets[Risk])</f>
        <v>0</v>
      </c>
    </row>
    <row r="1057" spans="2:16" x14ac:dyDescent="0.25">
      <c r="B1057" s="101">
        <f t="shared" si="47"/>
        <v>33</v>
      </c>
      <c r="L1057" s="71">
        <f t="shared" si="46"/>
        <v>0</v>
      </c>
      <c r="M1057" s="71">
        <f t="shared" si="48"/>
        <v>0</v>
      </c>
      <c r="N1057" s="71" t="str">
        <f>IFERROR(VLOOKUP(M1057,NCAA_Bets[[Date]:[Version]],2,0),"")</f>
        <v/>
      </c>
      <c r="O1057" s="94" t="str">
        <f>COUNTIFS(NCAA_Bets[Date],M1057,NCAA_Bets[Result],"W")&amp;"-"&amp;COUNTIFS(NCAA_Bets[Date],M1057,NCAA_Bets[Result],"L")&amp;IF(COUNTIFS(NCAA_Bets[Date],M1057,NCAA_Bets[Result],"Push")&gt;0,"-"&amp;COUNTIFS(NCAA_Bets[Date],M1057,NCAA_Bets[Result],"Push"),"")</f>
        <v>0-0</v>
      </c>
      <c r="P1057" s="90">
        <f>SUMIF(NCAA_Bets[Date],M1057,NCAA_Bets[Winnings])-SUMIF(NCAA_Bets[Date],M1057,NCAA_Bets[Risk])</f>
        <v>0</v>
      </c>
    </row>
    <row r="1058" spans="2:16" x14ac:dyDescent="0.25">
      <c r="B1058" s="101">
        <f t="shared" si="47"/>
        <v>33</v>
      </c>
      <c r="L1058" s="71">
        <f t="shared" si="46"/>
        <v>0</v>
      </c>
      <c r="M1058" s="71">
        <f t="shared" si="48"/>
        <v>0</v>
      </c>
      <c r="N1058" s="71" t="str">
        <f>IFERROR(VLOOKUP(M1058,NCAA_Bets[[Date]:[Version]],2,0),"")</f>
        <v/>
      </c>
      <c r="O1058" s="94" t="str">
        <f>COUNTIFS(NCAA_Bets[Date],M1058,NCAA_Bets[Result],"W")&amp;"-"&amp;COUNTIFS(NCAA_Bets[Date],M1058,NCAA_Bets[Result],"L")&amp;IF(COUNTIFS(NCAA_Bets[Date],M1058,NCAA_Bets[Result],"Push")&gt;0,"-"&amp;COUNTIFS(NCAA_Bets[Date],M1058,NCAA_Bets[Result],"Push"),"")</f>
        <v>0-0</v>
      </c>
      <c r="P1058" s="90">
        <f>SUMIF(NCAA_Bets[Date],M1058,NCAA_Bets[Winnings])-SUMIF(NCAA_Bets[Date],M1058,NCAA_Bets[Risk])</f>
        <v>0</v>
      </c>
    </row>
    <row r="1059" spans="2:16" x14ac:dyDescent="0.25">
      <c r="B1059" s="101">
        <f t="shared" si="47"/>
        <v>33</v>
      </c>
      <c r="L1059" s="71">
        <f t="shared" si="46"/>
        <v>0</v>
      </c>
      <c r="M1059" s="71">
        <f t="shared" si="48"/>
        <v>0</v>
      </c>
      <c r="N1059" s="71" t="str">
        <f>IFERROR(VLOOKUP(M1059,NCAA_Bets[[Date]:[Version]],2,0),"")</f>
        <v/>
      </c>
      <c r="O1059" s="94" t="str">
        <f>COUNTIFS(NCAA_Bets[Date],M1059,NCAA_Bets[Result],"W")&amp;"-"&amp;COUNTIFS(NCAA_Bets[Date],M1059,NCAA_Bets[Result],"L")&amp;IF(COUNTIFS(NCAA_Bets[Date],M1059,NCAA_Bets[Result],"Push")&gt;0,"-"&amp;COUNTIFS(NCAA_Bets[Date],M1059,NCAA_Bets[Result],"Push"),"")</f>
        <v>0-0</v>
      </c>
      <c r="P1059" s="90">
        <f>SUMIF(NCAA_Bets[Date],M1059,NCAA_Bets[Winnings])-SUMIF(NCAA_Bets[Date],M1059,NCAA_Bets[Risk])</f>
        <v>0</v>
      </c>
    </row>
    <row r="1060" spans="2:16" x14ac:dyDescent="0.25">
      <c r="B1060" s="101">
        <f t="shared" si="47"/>
        <v>33</v>
      </c>
      <c r="L1060" s="71">
        <f t="shared" ref="L1060:L1123" si="49">IFERROR(VLOOKUP(ROW()-4,B:C,2,0),0)</f>
        <v>0</v>
      </c>
      <c r="M1060" s="71">
        <f t="shared" si="48"/>
        <v>0</v>
      </c>
      <c r="N1060" s="71" t="str">
        <f>IFERROR(VLOOKUP(M1060,NCAA_Bets[[Date]:[Version]],2,0),"")</f>
        <v/>
      </c>
      <c r="O1060" s="94" t="str">
        <f>COUNTIFS(NCAA_Bets[Date],M1060,NCAA_Bets[Result],"W")&amp;"-"&amp;COUNTIFS(NCAA_Bets[Date],M1060,NCAA_Bets[Result],"L")&amp;IF(COUNTIFS(NCAA_Bets[Date],M1060,NCAA_Bets[Result],"Push")&gt;0,"-"&amp;COUNTIFS(NCAA_Bets[Date],M1060,NCAA_Bets[Result],"Push"),"")</f>
        <v>0-0</v>
      </c>
      <c r="P1060" s="90">
        <f>SUMIF(NCAA_Bets[Date],M1060,NCAA_Bets[Winnings])-SUMIF(NCAA_Bets[Date],M1060,NCAA_Bets[Risk])</f>
        <v>0</v>
      </c>
    </row>
    <row r="1061" spans="2:16" x14ac:dyDescent="0.25">
      <c r="B1061" s="101">
        <f t="shared" si="47"/>
        <v>33</v>
      </c>
      <c r="L1061" s="71">
        <f t="shared" si="49"/>
        <v>0</v>
      </c>
      <c r="M1061" s="71">
        <f t="shared" si="48"/>
        <v>0</v>
      </c>
      <c r="N1061" s="71" t="str">
        <f>IFERROR(VLOOKUP(M1061,NCAA_Bets[[Date]:[Version]],2,0),"")</f>
        <v/>
      </c>
      <c r="O1061" s="94" t="str">
        <f>COUNTIFS(NCAA_Bets[Date],M1061,NCAA_Bets[Result],"W")&amp;"-"&amp;COUNTIFS(NCAA_Bets[Date],M1061,NCAA_Bets[Result],"L")&amp;IF(COUNTIFS(NCAA_Bets[Date],M1061,NCAA_Bets[Result],"Push")&gt;0,"-"&amp;COUNTIFS(NCAA_Bets[Date],M1061,NCAA_Bets[Result],"Push"),"")</f>
        <v>0-0</v>
      </c>
      <c r="P1061" s="90">
        <f>SUMIF(NCAA_Bets[Date],M1061,NCAA_Bets[Winnings])-SUMIF(NCAA_Bets[Date],M1061,NCAA_Bets[Risk])</f>
        <v>0</v>
      </c>
    </row>
    <row r="1062" spans="2:16" x14ac:dyDescent="0.25">
      <c r="B1062" s="101">
        <f t="shared" si="47"/>
        <v>33</v>
      </c>
      <c r="L1062" s="71">
        <f t="shared" si="49"/>
        <v>0</v>
      </c>
      <c r="M1062" s="71">
        <f t="shared" si="48"/>
        <v>0</v>
      </c>
      <c r="N1062" s="71" t="str">
        <f>IFERROR(VLOOKUP(M1062,NCAA_Bets[[Date]:[Version]],2,0),"")</f>
        <v/>
      </c>
      <c r="O1062" s="94" t="str">
        <f>COUNTIFS(NCAA_Bets[Date],M1062,NCAA_Bets[Result],"W")&amp;"-"&amp;COUNTIFS(NCAA_Bets[Date],M1062,NCAA_Bets[Result],"L")&amp;IF(COUNTIFS(NCAA_Bets[Date],M1062,NCAA_Bets[Result],"Push")&gt;0,"-"&amp;COUNTIFS(NCAA_Bets[Date],M1062,NCAA_Bets[Result],"Push"),"")</f>
        <v>0-0</v>
      </c>
      <c r="P1062" s="90">
        <f>SUMIF(NCAA_Bets[Date],M1062,NCAA_Bets[Winnings])-SUMIF(NCAA_Bets[Date],M1062,NCAA_Bets[Risk])</f>
        <v>0</v>
      </c>
    </row>
    <row r="1063" spans="2:16" x14ac:dyDescent="0.25">
      <c r="B1063" s="101">
        <f t="shared" si="47"/>
        <v>33</v>
      </c>
      <c r="L1063" s="71">
        <f t="shared" si="49"/>
        <v>0</v>
      </c>
      <c r="M1063" s="71">
        <f t="shared" si="48"/>
        <v>0</v>
      </c>
      <c r="N1063" s="71" t="str">
        <f>IFERROR(VLOOKUP(M1063,NCAA_Bets[[Date]:[Version]],2,0),"")</f>
        <v/>
      </c>
      <c r="O1063" s="94" t="str">
        <f>COUNTIFS(NCAA_Bets[Date],M1063,NCAA_Bets[Result],"W")&amp;"-"&amp;COUNTIFS(NCAA_Bets[Date],M1063,NCAA_Bets[Result],"L")&amp;IF(COUNTIFS(NCAA_Bets[Date],M1063,NCAA_Bets[Result],"Push")&gt;0,"-"&amp;COUNTIFS(NCAA_Bets[Date],M1063,NCAA_Bets[Result],"Push"),"")</f>
        <v>0-0</v>
      </c>
      <c r="P1063" s="90">
        <f>SUMIF(NCAA_Bets[Date],M1063,NCAA_Bets[Winnings])-SUMIF(NCAA_Bets[Date],M1063,NCAA_Bets[Risk])</f>
        <v>0</v>
      </c>
    </row>
    <row r="1064" spans="2:16" x14ac:dyDescent="0.25">
      <c r="B1064" s="101">
        <f t="shared" si="47"/>
        <v>33</v>
      </c>
      <c r="L1064" s="71">
        <f t="shared" si="49"/>
        <v>0</v>
      </c>
      <c r="M1064" s="71">
        <f t="shared" si="48"/>
        <v>0</v>
      </c>
      <c r="N1064" s="71" t="str">
        <f>IFERROR(VLOOKUP(M1064,NCAA_Bets[[Date]:[Version]],2,0),"")</f>
        <v/>
      </c>
      <c r="O1064" s="94" t="str">
        <f>COUNTIFS(NCAA_Bets[Date],M1064,NCAA_Bets[Result],"W")&amp;"-"&amp;COUNTIFS(NCAA_Bets[Date],M1064,NCAA_Bets[Result],"L")&amp;IF(COUNTIFS(NCAA_Bets[Date],M1064,NCAA_Bets[Result],"Push")&gt;0,"-"&amp;COUNTIFS(NCAA_Bets[Date],M1064,NCAA_Bets[Result],"Push"),"")</f>
        <v>0-0</v>
      </c>
      <c r="P1064" s="90">
        <f>SUMIF(NCAA_Bets[Date],M1064,NCAA_Bets[Winnings])-SUMIF(NCAA_Bets[Date],M1064,NCAA_Bets[Risk])</f>
        <v>0</v>
      </c>
    </row>
    <row r="1065" spans="2:16" x14ac:dyDescent="0.25">
      <c r="B1065" s="101">
        <f t="shared" si="47"/>
        <v>33</v>
      </c>
      <c r="L1065" s="71">
        <f t="shared" si="49"/>
        <v>0</v>
      </c>
      <c r="M1065" s="71">
        <f t="shared" si="48"/>
        <v>0</v>
      </c>
      <c r="N1065" s="71" t="str">
        <f>IFERROR(VLOOKUP(M1065,NCAA_Bets[[Date]:[Version]],2,0),"")</f>
        <v/>
      </c>
      <c r="O1065" s="94" t="str">
        <f>COUNTIFS(NCAA_Bets[Date],M1065,NCAA_Bets[Result],"W")&amp;"-"&amp;COUNTIFS(NCAA_Bets[Date],M1065,NCAA_Bets[Result],"L")&amp;IF(COUNTIFS(NCAA_Bets[Date],M1065,NCAA_Bets[Result],"Push")&gt;0,"-"&amp;COUNTIFS(NCAA_Bets[Date],M1065,NCAA_Bets[Result],"Push"),"")</f>
        <v>0-0</v>
      </c>
      <c r="P1065" s="90">
        <f>SUMIF(NCAA_Bets[Date],M1065,NCAA_Bets[Winnings])-SUMIF(NCAA_Bets[Date],M1065,NCAA_Bets[Risk])</f>
        <v>0</v>
      </c>
    </row>
    <row r="1066" spans="2:16" x14ac:dyDescent="0.25">
      <c r="B1066" s="101">
        <f t="shared" si="47"/>
        <v>33</v>
      </c>
      <c r="L1066" s="71">
        <f t="shared" si="49"/>
        <v>0</v>
      </c>
      <c r="M1066" s="71">
        <f t="shared" si="48"/>
        <v>0</v>
      </c>
      <c r="N1066" s="71" t="str">
        <f>IFERROR(VLOOKUP(M1066,NCAA_Bets[[Date]:[Version]],2,0),"")</f>
        <v/>
      </c>
      <c r="O1066" s="94" t="str">
        <f>COUNTIFS(NCAA_Bets[Date],M1066,NCAA_Bets[Result],"W")&amp;"-"&amp;COUNTIFS(NCAA_Bets[Date],M1066,NCAA_Bets[Result],"L")&amp;IF(COUNTIFS(NCAA_Bets[Date],M1066,NCAA_Bets[Result],"Push")&gt;0,"-"&amp;COUNTIFS(NCAA_Bets[Date],M1066,NCAA_Bets[Result],"Push"),"")</f>
        <v>0-0</v>
      </c>
      <c r="P1066" s="90">
        <f>SUMIF(NCAA_Bets[Date],M1066,NCAA_Bets[Winnings])-SUMIF(NCAA_Bets[Date],M1066,NCAA_Bets[Risk])</f>
        <v>0</v>
      </c>
    </row>
    <row r="1067" spans="2:16" x14ac:dyDescent="0.25">
      <c r="B1067" s="101">
        <f t="shared" si="47"/>
        <v>33</v>
      </c>
      <c r="L1067" s="71">
        <f t="shared" si="49"/>
        <v>0</v>
      </c>
      <c r="M1067" s="71">
        <f t="shared" si="48"/>
        <v>0</v>
      </c>
      <c r="N1067" s="71" t="str">
        <f>IFERROR(VLOOKUP(M1067,NCAA_Bets[[Date]:[Version]],2,0),"")</f>
        <v/>
      </c>
      <c r="O1067" s="94" t="str">
        <f>COUNTIFS(NCAA_Bets[Date],M1067,NCAA_Bets[Result],"W")&amp;"-"&amp;COUNTIFS(NCAA_Bets[Date],M1067,NCAA_Bets[Result],"L")&amp;IF(COUNTIFS(NCAA_Bets[Date],M1067,NCAA_Bets[Result],"Push")&gt;0,"-"&amp;COUNTIFS(NCAA_Bets[Date],M1067,NCAA_Bets[Result],"Push"),"")</f>
        <v>0-0</v>
      </c>
      <c r="P1067" s="90">
        <f>SUMIF(NCAA_Bets[Date],M1067,NCAA_Bets[Winnings])-SUMIF(NCAA_Bets[Date],M1067,NCAA_Bets[Risk])</f>
        <v>0</v>
      </c>
    </row>
    <row r="1068" spans="2:16" x14ac:dyDescent="0.25">
      <c r="B1068" s="101">
        <f t="shared" si="47"/>
        <v>33</v>
      </c>
      <c r="L1068" s="71">
        <f t="shared" si="49"/>
        <v>0</v>
      </c>
      <c r="M1068" s="71">
        <f t="shared" si="48"/>
        <v>0</v>
      </c>
      <c r="N1068" s="71" t="str">
        <f>IFERROR(VLOOKUP(M1068,NCAA_Bets[[Date]:[Version]],2,0),"")</f>
        <v/>
      </c>
      <c r="O1068" s="94" t="str">
        <f>COUNTIFS(NCAA_Bets[Date],M1068,NCAA_Bets[Result],"W")&amp;"-"&amp;COUNTIFS(NCAA_Bets[Date],M1068,NCAA_Bets[Result],"L")&amp;IF(COUNTIFS(NCAA_Bets[Date],M1068,NCAA_Bets[Result],"Push")&gt;0,"-"&amp;COUNTIFS(NCAA_Bets[Date],M1068,NCAA_Bets[Result],"Push"),"")</f>
        <v>0-0</v>
      </c>
      <c r="P1068" s="90">
        <f>SUMIF(NCAA_Bets[Date],M1068,NCAA_Bets[Winnings])-SUMIF(NCAA_Bets[Date],M1068,NCAA_Bets[Risk])</f>
        <v>0</v>
      </c>
    </row>
    <row r="1069" spans="2:16" x14ac:dyDescent="0.25">
      <c r="B1069" s="101">
        <f t="shared" si="47"/>
        <v>33</v>
      </c>
      <c r="L1069" s="71">
        <f t="shared" si="49"/>
        <v>0</v>
      </c>
      <c r="M1069" s="71">
        <f t="shared" si="48"/>
        <v>0</v>
      </c>
      <c r="N1069" s="71" t="str">
        <f>IFERROR(VLOOKUP(M1069,NCAA_Bets[[Date]:[Version]],2,0),"")</f>
        <v/>
      </c>
      <c r="O1069" s="94" t="str">
        <f>COUNTIFS(NCAA_Bets[Date],M1069,NCAA_Bets[Result],"W")&amp;"-"&amp;COUNTIFS(NCAA_Bets[Date],M1069,NCAA_Bets[Result],"L")&amp;IF(COUNTIFS(NCAA_Bets[Date],M1069,NCAA_Bets[Result],"Push")&gt;0,"-"&amp;COUNTIFS(NCAA_Bets[Date],M1069,NCAA_Bets[Result],"Push"),"")</f>
        <v>0-0</v>
      </c>
      <c r="P1069" s="90">
        <f>SUMIF(NCAA_Bets[Date],M1069,NCAA_Bets[Winnings])-SUMIF(NCAA_Bets[Date],M1069,NCAA_Bets[Risk])</f>
        <v>0</v>
      </c>
    </row>
    <row r="1070" spans="2:16" x14ac:dyDescent="0.25">
      <c r="B1070" s="101">
        <f t="shared" si="47"/>
        <v>33</v>
      </c>
      <c r="L1070" s="71">
        <f t="shared" si="49"/>
        <v>0</v>
      </c>
      <c r="M1070" s="71">
        <f t="shared" si="48"/>
        <v>0</v>
      </c>
      <c r="N1070" s="71" t="str">
        <f>IFERROR(VLOOKUP(M1070,NCAA_Bets[[Date]:[Version]],2,0),"")</f>
        <v/>
      </c>
      <c r="O1070" s="94" t="str">
        <f>COUNTIFS(NCAA_Bets[Date],M1070,NCAA_Bets[Result],"W")&amp;"-"&amp;COUNTIFS(NCAA_Bets[Date],M1070,NCAA_Bets[Result],"L")&amp;IF(COUNTIFS(NCAA_Bets[Date],M1070,NCAA_Bets[Result],"Push")&gt;0,"-"&amp;COUNTIFS(NCAA_Bets[Date],M1070,NCAA_Bets[Result],"Push"),"")</f>
        <v>0-0</v>
      </c>
      <c r="P1070" s="90">
        <f>SUMIF(NCAA_Bets[Date],M1070,NCAA_Bets[Winnings])-SUMIF(NCAA_Bets[Date],M1070,NCAA_Bets[Risk])</f>
        <v>0</v>
      </c>
    </row>
    <row r="1071" spans="2:16" x14ac:dyDescent="0.25">
      <c r="B1071" s="101">
        <f t="shared" si="47"/>
        <v>33</v>
      </c>
      <c r="L1071" s="71">
        <f t="shared" si="49"/>
        <v>0</v>
      </c>
      <c r="M1071" s="71">
        <f t="shared" si="48"/>
        <v>0</v>
      </c>
      <c r="N1071" s="71" t="str">
        <f>IFERROR(VLOOKUP(M1071,NCAA_Bets[[Date]:[Version]],2,0),"")</f>
        <v/>
      </c>
      <c r="O1071" s="94" t="str">
        <f>COUNTIFS(NCAA_Bets[Date],M1071,NCAA_Bets[Result],"W")&amp;"-"&amp;COUNTIFS(NCAA_Bets[Date],M1071,NCAA_Bets[Result],"L")&amp;IF(COUNTIFS(NCAA_Bets[Date],M1071,NCAA_Bets[Result],"Push")&gt;0,"-"&amp;COUNTIFS(NCAA_Bets[Date],M1071,NCAA_Bets[Result],"Push"),"")</f>
        <v>0-0</v>
      </c>
      <c r="P1071" s="90">
        <f>SUMIF(NCAA_Bets[Date],M1071,NCAA_Bets[Winnings])-SUMIF(NCAA_Bets[Date],M1071,NCAA_Bets[Risk])</f>
        <v>0</v>
      </c>
    </row>
    <row r="1072" spans="2:16" x14ac:dyDescent="0.25">
      <c r="B1072" s="101">
        <f t="shared" si="47"/>
        <v>33</v>
      </c>
      <c r="L1072" s="71">
        <f t="shared" si="49"/>
        <v>0</v>
      </c>
      <c r="M1072" s="71">
        <f t="shared" si="48"/>
        <v>0</v>
      </c>
      <c r="N1072" s="71" t="str">
        <f>IFERROR(VLOOKUP(M1072,NCAA_Bets[[Date]:[Version]],2,0),"")</f>
        <v/>
      </c>
      <c r="O1072" s="94" t="str">
        <f>COUNTIFS(NCAA_Bets[Date],M1072,NCAA_Bets[Result],"W")&amp;"-"&amp;COUNTIFS(NCAA_Bets[Date],M1072,NCAA_Bets[Result],"L")&amp;IF(COUNTIFS(NCAA_Bets[Date],M1072,NCAA_Bets[Result],"Push")&gt;0,"-"&amp;COUNTIFS(NCAA_Bets[Date],M1072,NCAA_Bets[Result],"Push"),"")</f>
        <v>0-0</v>
      </c>
      <c r="P1072" s="90">
        <f>SUMIF(NCAA_Bets[Date],M1072,NCAA_Bets[Winnings])-SUMIF(NCAA_Bets[Date],M1072,NCAA_Bets[Risk])</f>
        <v>0</v>
      </c>
    </row>
    <row r="1073" spans="2:16" x14ac:dyDescent="0.25">
      <c r="B1073" s="101">
        <f t="shared" si="47"/>
        <v>33</v>
      </c>
      <c r="L1073" s="71">
        <f t="shared" si="49"/>
        <v>0</v>
      </c>
      <c r="M1073" s="71">
        <f t="shared" si="48"/>
        <v>0</v>
      </c>
      <c r="N1073" s="71" t="str">
        <f>IFERROR(VLOOKUP(M1073,NCAA_Bets[[Date]:[Version]],2,0),"")</f>
        <v/>
      </c>
      <c r="O1073" s="94" t="str">
        <f>COUNTIFS(NCAA_Bets[Date],M1073,NCAA_Bets[Result],"W")&amp;"-"&amp;COUNTIFS(NCAA_Bets[Date],M1073,NCAA_Bets[Result],"L")&amp;IF(COUNTIFS(NCAA_Bets[Date],M1073,NCAA_Bets[Result],"Push")&gt;0,"-"&amp;COUNTIFS(NCAA_Bets[Date],M1073,NCAA_Bets[Result],"Push"),"")</f>
        <v>0-0</v>
      </c>
      <c r="P1073" s="90">
        <f>SUMIF(NCAA_Bets[Date],M1073,NCAA_Bets[Winnings])-SUMIF(NCAA_Bets[Date],M1073,NCAA_Bets[Risk])</f>
        <v>0</v>
      </c>
    </row>
    <row r="1074" spans="2:16" x14ac:dyDescent="0.25">
      <c r="B1074" s="101">
        <f t="shared" si="47"/>
        <v>33</v>
      </c>
      <c r="L1074" s="71">
        <f t="shared" si="49"/>
        <v>0</v>
      </c>
      <c r="M1074" s="71">
        <f t="shared" si="48"/>
        <v>0</v>
      </c>
      <c r="N1074" s="71" t="str">
        <f>IFERROR(VLOOKUP(M1074,NCAA_Bets[[Date]:[Version]],2,0),"")</f>
        <v/>
      </c>
      <c r="O1074" s="94" t="str">
        <f>COUNTIFS(NCAA_Bets[Date],M1074,NCAA_Bets[Result],"W")&amp;"-"&amp;COUNTIFS(NCAA_Bets[Date],M1074,NCAA_Bets[Result],"L")&amp;IF(COUNTIFS(NCAA_Bets[Date],M1074,NCAA_Bets[Result],"Push")&gt;0,"-"&amp;COUNTIFS(NCAA_Bets[Date],M1074,NCAA_Bets[Result],"Push"),"")</f>
        <v>0-0</v>
      </c>
      <c r="P1074" s="90">
        <f>SUMIF(NCAA_Bets[Date],M1074,NCAA_Bets[Winnings])-SUMIF(NCAA_Bets[Date],M1074,NCAA_Bets[Risk])</f>
        <v>0</v>
      </c>
    </row>
    <row r="1075" spans="2:16" x14ac:dyDescent="0.25">
      <c r="B1075" s="101">
        <f t="shared" si="47"/>
        <v>33</v>
      </c>
      <c r="L1075" s="71">
        <f t="shared" si="49"/>
        <v>0</v>
      </c>
      <c r="M1075" s="71">
        <f t="shared" si="48"/>
        <v>0</v>
      </c>
      <c r="N1075" s="71" t="str">
        <f>IFERROR(VLOOKUP(M1075,NCAA_Bets[[Date]:[Version]],2,0),"")</f>
        <v/>
      </c>
      <c r="O1075" s="94" t="str">
        <f>COUNTIFS(NCAA_Bets[Date],M1075,NCAA_Bets[Result],"W")&amp;"-"&amp;COUNTIFS(NCAA_Bets[Date],M1075,NCAA_Bets[Result],"L")&amp;IF(COUNTIFS(NCAA_Bets[Date],M1075,NCAA_Bets[Result],"Push")&gt;0,"-"&amp;COUNTIFS(NCAA_Bets[Date],M1075,NCAA_Bets[Result],"Push"),"")</f>
        <v>0-0</v>
      </c>
      <c r="P1075" s="90">
        <f>SUMIF(NCAA_Bets[Date],M1075,NCAA_Bets[Winnings])-SUMIF(NCAA_Bets[Date],M1075,NCAA_Bets[Risk])</f>
        <v>0</v>
      </c>
    </row>
    <row r="1076" spans="2:16" x14ac:dyDescent="0.25">
      <c r="B1076" s="101">
        <f t="shared" si="47"/>
        <v>33</v>
      </c>
      <c r="L1076" s="71">
        <f t="shared" si="49"/>
        <v>0</v>
      </c>
      <c r="M1076" s="71">
        <f t="shared" si="48"/>
        <v>0</v>
      </c>
      <c r="N1076" s="71" t="str">
        <f>IFERROR(VLOOKUP(M1076,NCAA_Bets[[Date]:[Version]],2,0),"")</f>
        <v/>
      </c>
      <c r="O1076" s="94" t="str">
        <f>COUNTIFS(NCAA_Bets[Date],M1076,NCAA_Bets[Result],"W")&amp;"-"&amp;COUNTIFS(NCAA_Bets[Date],M1076,NCAA_Bets[Result],"L")&amp;IF(COUNTIFS(NCAA_Bets[Date],M1076,NCAA_Bets[Result],"Push")&gt;0,"-"&amp;COUNTIFS(NCAA_Bets[Date],M1076,NCAA_Bets[Result],"Push"),"")</f>
        <v>0-0</v>
      </c>
      <c r="P1076" s="90">
        <f>SUMIF(NCAA_Bets[Date],M1076,NCAA_Bets[Winnings])-SUMIF(NCAA_Bets[Date],M1076,NCAA_Bets[Risk])</f>
        <v>0</v>
      </c>
    </row>
    <row r="1077" spans="2:16" x14ac:dyDescent="0.25">
      <c r="B1077" s="101">
        <f t="shared" si="47"/>
        <v>33</v>
      </c>
      <c r="L1077" s="71">
        <f t="shared" si="49"/>
        <v>0</v>
      </c>
      <c r="M1077" s="71">
        <f t="shared" si="48"/>
        <v>0</v>
      </c>
      <c r="N1077" s="71" t="str">
        <f>IFERROR(VLOOKUP(M1077,NCAA_Bets[[Date]:[Version]],2,0),"")</f>
        <v/>
      </c>
      <c r="O1077" s="94" t="str">
        <f>COUNTIFS(NCAA_Bets[Date],M1077,NCAA_Bets[Result],"W")&amp;"-"&amp;COUNTIFS(NCAA_Bets[Date],M1077,NCAA_Bets[Result],"L")&amp;IF(COUNTIFS(NCAA_Bets[Date],M1077,NCAA_Bets[Result],"Push")&gt;0,"-"&amp;COUNTIFS(NCAA_Bets[Date],M1077,NCAA_Bets[Result],"Push"),"")</f>
        <v>0-0</v>
      </c>
      <c r="P1077" s="90">
        <f>SUMIF(NCAA_Bets[Date],M1077,NCAA_Bets[Winnings])-SUMIF(NCAA_Bets[Date],M1077,NCAA_Bets[Risk])</f>
        <v>0</v>
      </c>
    </row>
    <row r="1078" spans="2:16" x14ac:dyDescent="0.25">
      <c r="B1078" s="101">
        <f t="shared" si="47"/>
        <v>33</v>
      </c>
      <c r="L1078" s="71">
        <f t="shared" si="49"/>
        <v>0</v>
      </c>
      <c r="M1078" s="71">
        <f t="shared" si="48"/>
        <v>0</v>
      </c>
      <c r="N1078" s="71" t="str">
        <f>IFERROR(VLOOKUP(M1078,NCAA_Bets[[Date]:[Version]],2,0),"")</f>
        <v/>
      </c>
      <c r="O1078" s="94" t="str">
        <f>COUNTIFS(NCAA_Bets[Date],M1078,NCAA_Bets[Result],"W")&amp;"-"&amp;COUNTIFS(NCAA_Bets[Date],M1078,NCAA_Bets[Result],"L")&amp;IF(COUNTIFS(NCAA_Bets[Date],M1078,NCAA_Bets[Result],"Push")&gt;0,"-"&amp;COUNTIFS(NCAA_Bets[Date],M1078,NCAA_Bets[Result],"Push"),"")</f>
        <v>0-0</v>
      </c>
      <c r="P1078" s="90">
        <f>SUMIF(NCAA_Bets[Date],M1078,NCAA_Bets[Winnings])-SUMIF(NCAA_Bets[Date],M1078,NCAA_Bets[Risk])</f>
        <v>0</v>
      </c>
    </row>
    <row r="1079" spans="2:16" x14ac:dyDescent="0.25">
      <c r="B1079" s="101">
        <f t="shared" si="47"/>
        <v>33</v>
      </c>
      <c r="L1079" s="71">
        <f t="shared" si="49"/>
        <v>0</v>
      </c>
      <c r="M1079" s="71">
        <f t="shared" si="48"/>
        <v>0</v>
      </c>
      <c r="N1079" s="71" t="str">
        <f>IFERROR(VLOOKUP(M1079,NCAA_Bets[[Date]:[Version]],2,0),"")</f>
        <v/>
      </c>
      <c r="O1079" s="94" t="str">
        <f>COUNTIFS(NCAA_Bets[Date],M1079,NCAA_Bets[Result],"W")&amp;"-"&amp;COUNTIFS(NCAA_Bets[Date],M1079,NCAA_Bets[Result],"L")&amp;IF(COUNTIFS(NCAA_Bets[Date],M1079,NCAA_Bets[Result],"Push")&gt;0,"-"&amp;COUNTIFS(NCAA_Bets[Date],M1079,NCAA_Bets[Result],"Push"),"")</f>
        <v>0-0</v>
      </c>
      <c r="P1079" s="90">
        <f>SUMIF(NCAA_Bets[Date],M1079,NCAA_Bets[Winnings])-SUMIF(NCAA_Bets[Date],M1079,NCAA_Bets[Risk])</f>
        <v>0</v>
      </c>
    </row>
    <row r="1080" spans="2:16" x14ac:dyDescent="0.25">
      <c r="B1080" s="101">
        <f t="shared" si="47"/>
        <v>33</v>
      </c>
      <c r="L1080" s="71">
        <f t="shared" si="49"/>
        <v>0</v>
      </c>
      <c r="M1080" s="71">
        <f t="shared" si="48"/>
        <v>0</v>
      </c>
      <c r="N1080" s="71" t="str">
        <f>IFERROR(VLOOKUP(M1080,NCAA_Bets[[Date]:[Version]],2,0),"")</f>
        <v/>
      </c>
      <c r="O1080" s="94" t="str">
        <f>COUNTIFS(NCAA_Bets[Date],M1080,NCAA_Bets[Result],"W")&amp;"-"&amp;COUNTIFS(NCAA_Bets[Date],M1080,NCAA_Bets[Result],"L")&amp;IF(COUNTIFS(NCAA_Bets[Date],M1080,NCAA_Bets[Result],"Push")&gt;0,"-"&amp;COUNTIFS(NCAA_Bets[Date],M1080,NCAA_Bets[Result],"Push"),"")</f>
        <v>0-0</v>
      </c>
      <c r="P1080" s="90">
        <f>SUMIF(NCAA_Bets[Date],M1080,NCAA_Bets[Winnings])-SUMIF(NCAA_Bets[Date],M1080,NCAA_Bets[Risk])</f>
        <v>0</v>
      </c>
    </row>
    <row r="1081" spans="2:16" x14ac:dyDescent="0.25">
      <c r="B1081" s="101">
        <f t="shared" si="47"/>
        <v>33</v>
      </c>
      <c r="L1081" s="71">
        <f t="shared" si="49"/>
        <v>0</v>
      </c>
      <c r="M1081" s="71">
        <f t="shared" si="48"/>
        <v>0</v>
      </c>
      <c r="N1081" s="71" t="str">
        <f>IFERROR(VLOOKUP(M1081,NCAA_Bets[[Date]:[Version]],2,0),"")</f>
        <v/>
      </c>
      <c r="O1081" s="94" t="str">
        <f>COUNTIFS(NCAA_Bets[Date],M1081,NCAA_Bets[Result],"W")&amp;"-"&amp;COUNTIFS(NCAA_Bets[Date],M1081,NCAA_Bets[Result],"L")&amp;IF(COUNTIFS(NCAA_Bets[Date],M1081,NCAA_Bets[Result],"Push")&gt;0,"-"&amp;COUNTIFS(NCAA_Bets[Date],M1081,NCAA_Bets[Result],"Push"),"")</f>
        <v>0-0</v>
      </c>
      <c r="P1081" s="90">
        <f>SUMIF(NCAA_Bets[Date],M1081,NCAA_Bets[Winnings])-SUMIF(NCAA_Bets[Date],M1081,NCAA_Bets[Risk])</f>
        <v>0</v>
      </c>
    </row>
    <row r="1082" spans="2:16" x14ac:dyDescent="0.25">
      <c r="B1082" s="101">
        <f t="shared" si="47"/>
        <v>33</v>
      </c>
      <c r="L1082" s="71">
        <f t="shared" si="49"/>
        <v>0</v>
      </c>
      <c r="M1082" s="71">
        <f t="shared" si="48"/>
        <v>0</v>
      </c>
      <c r="N1082" s="71" t="str">
        <f>IFERROR(VLOOKUP(M1082,NCAA_Bets[[Date]:[Version]],2,0),"")</f>
        <v/>
      </c>
      <c r="O1082" s="94" t="str">
        <f>COUNTIFS(NCAA_Bets[Date],M1082,NCAA_Bets[Result],"W")&amp;"-"&amp;COUNTIFS(NCAA_Bets[Date],M1082,NCAA_Bets[Result],"L")&amp;IF(COUNTIFS(NCAA_Bets[Date],M1082,NCAA_Bets[Result],"Push")&gt;0,"-"&amp;COUNTIFS(NCAA_Bets[Date],M1082,NCAA_Bets[Result],"Push"),"")</f>
        <v>0-0</v>
      </c>
      <c r="P1082" s="90">
        <f>SUMIF(NCAA_Bets[Date],M1082,NCAA_Bets[Winnings])-SUMIF(NCAA_Bets[Date],M1082,NCAA_Bets[Risk])</f>
        <v>0</v>
      </c>
    </row>
    <row r="1083" spans="2:16" x14ac:dyDescent="0.25">
      <c r="B1083" s="101">
        <f t="shared" si="47"/>
        <v>33</v>
      </c>
      <c r="L1083" s="71">
        <f t="shared" si="49"/>
        <v>0</v>
      </c>
      <c r="M1083" s="71">
        <f t="shared" si="48"/>
        <v>0</v>
      </c>
      <c r="N1083" s="71" t="str">
        <f>IFERROR(VLOOKUP(M1083,NCAA_Bets[[Date]:[Version]],2,0),"")</f>
        <v/>
      </c>
      <c r="O1083" s="94" t="str">
        <f>COUNTIFS(NCAA_Bets[Date],M1083,NCAA_Bets[Result],"W")&amp;"-"&amp;COUNTIFS(NCAA_Bets[Date],M1083,NCAA_Bets[Result],"L")&amp;IF(COUNTIFS(NCAA_Bets[Date],M1083,NCAA_Bets[Result],"Push")&gt;0,"-"&amp;COUNTIFS(NCAA_Bets[Date],M1083,NCAA_Bets[Result],"Push"),"")</f>
        <v>0-0</v>
      </c>
      <c r="P1083" s="90">
        <f>SUMIF(NCAA_Bets[Date],M1083,NCAA_Bets[Winnings])-SUMIF(NCAA_Bets[Date],M1083,NCAA_Bets[Risk])</f>
        <v>0</v>
      </c>
    </row>
    <row r="1084" spans="2:16" x14ac:dyDescent="0.25">
      <c r="B1084" s="101">
        <f t="shared" si="47"/>
        <v>33</v>
      </c>
      <c r="L1084" s="71">
        <f t="shared" si="49"/>
        <v>0</v>
      </c>
      <c r="M1084" s="71">
        <f t="shared" si="48"/>
        <v>0</v>
      </c>
      <c r="N1084" s="71" t="str">
        <f>IFERROR(VLOOKUP(M1084,NCAA_Bets[[Date]:[Version]],2,0),"")</f>
        <v/>
      </c>
      <c r="O1084" s="94" t="str">
        <f>COUNTIFS(NCAA_Bets[Date],M1084,NCAA_Bets[Result],"W")&amp;"-"&amp;COUNTIFS(NCAA_Bets[Date],M1084,NCAA_Bets[Result],"L")&amp;IF(COUNTIFS(NCAA_Bets[Date],M1084,NCAA_Bets[Result],"Push")&gt;0,"-"&amp;COUNTIFS(NCAA_Bets[Date],M1084,NCAA_Bets[Result],"Push"),"")</f>
        <v>0-0</v>
      </c>
      <c r="P1084" s="90">
        <f>SUMIF(NCAA_Bets[Date],M1084,NCAA_Bets[Winnings])-SUMIF(NCAA_Bets[Date],M1084,NCAA_Bets[Risk])</f>
        <v>0</v>
      </c>
    </row>
    <row r="1085" spans="2:16" x14ac:dyDescent="0.25">
      <c r="B1085" s="101">
        <f t="shared" si="47"/>
        <v>33</v>
      </c>
      <c r="L1085" s="71">
        <f t="shared" si="49"/>
        <v>0</v>
      </c>
      <c r="M1085" s="71">
        <f t="shared" si="48"/>
        <v>0</v>
      </c>
      <c r="N1085" s="71" t="str">
        <f>IFERROR(VLOOKUP(M1085,NCAA_Bets[[Date]:[Version]],2,0),"")</f>
        <v/>
      </c>
      <c r="O1085" s="94" t="str">
        <f>COUNTIFS(NCAA_Bets[Date],M1085,NCAA_Bets[Result],"W")&amp;"-"&amp;COUNTIFS(NCAA_Bets[Date],M1085,NCAA_Bets[Result],"L")&amp;IF(COUNTIFS(NCAA_Bets[Date],M1085,NCAA_Bets[Result],"Push")&gt;0,"-"&amp;COUNTIFS(NCAA_Bets[Date],M1085,NCAA_Bets[Result],"Push"),"")</f>
        <v>0-0</v>
      </c>
      <c r="P1085" s="90">
        <f>SUMIF(NCAA_Bets[Date],M1085,NCAA_Bets[Winnings])-SUMIF(NCAA_Bets[Date],M1085,NCAA_Bets[Risk])</f>
        <v>0</v>
      </c>
    </row>
    <row r="1086" spans="2:16" x14ac:dyDescent="0.25">
      <c r="B1086" s="101">
        <f t="shared" si="47"/>
        <v>33</v>
      </c>
      <c r="L1086" s="71">
        <f t="shared" si="49"/>
        <v>0</v>
      </c>
      <c r="M1086" s="71">
        <f t="shared" si="48"/>
        <v>0</v>
      </c>
      <c r="N1086" s="71" t="str">
        <f>IFERROR(VLOOKUP(M1086,NCAA_Bets[[Date]:[Version]],2,0),"")</f>
        <v/>
      </c>
      <c r="O1086" s="94" t="str">
        <f>COUNTIFS(NCAA_Bets[Date],M1086,NCAA_Bets[Result],"W")&amp;"-"&amp;COUNTIFS(NCAA_Bets[Date],M1086,NCAA_Bets[Result],"L")&amp;IF(COUNTIFS(NCAA_Bets[Date],M1086,NCAA_Bets[Result],"Push")&gt;0,"-"&amp;COUNTIFS(NCAA_Bets[Date],M1086,NCAA_Bets[Result],"Push"),"")</f>
        <v>0-0</v>
      </c>
      <c r="P1086" s="90">
        <f>SUMIF(NCAA_Bets[Date],M1086,NCAA_Bets[Winnings])-SUMIF(NCAA_Bets[Date],M1086,NCAA_Bets[Risk])</f>
        <v>0</v>
      </c>
    </row>
    <row r="1087" spans="2:16" x14ac:dyDescent="0.25">
      <c r="B1087" s="101">
        <f t="shared" si="47"/>
        <v>33</v>
      </c>
      <c r="L1087" s="71">
        <f t="shared" si="49"/>
        <v>0</v>
      </c>
      <c r="M1087" s="71">
        <f t="shared" si="48"/>
        <v>0</v>
      </c>
      <c r="N1087" s="71" t="str">
        <f>IFERROR(VLOOKUP(M1087,NCAA_Bets[[Date]:[Version]],2,0),"")</f>
        <v/>
      </c>
      <c r="O1087" s="94" t="str">
        <f>COUNTIFS(NCAA_Bets[Date],M1087,NCAA_Bets[Result],"W")&amp;"-"&amp;COUNTIFS(NCAA_Bets[Date],M1087,NCAA_Bets[Result],"L")&amp;IF(COUNTIFS(NCAA_Bets[Date],M1087,NCAA_Bets[Result],"Push")&gt;0,"-"&amp;COUNTIFS(NCAA_Bets[Date],M1087,NCAA_Bets[Result],"Push"),"")</f>
        <v>0-0</v>
      </c>
      <c r="P1087" s="90">
        <f>SUMIF(NCAA_Bets[Date],M1087,NCAA_Bets[Winnings])-SUMIF(NCAA_Bets[Date],M1087,NCAA_Bets[Risk])</f>
        <v>0</v>
      </c>
    </row>
    <row r="1088" spans="2:16" x14ac:dyDescent="0.25">
      <c r="B1088" s="101">
        <f t="shared" si="47"/>
        <v>33</v>
      </c>
      <c r="L1088" s="71">
        <f t="shared" si="49"/>
        <v>0</v>
      </c>
      <c r="M1088" s="71">
        <f t="shared" si="48"/>
        <v>0</v>
      </c>
      <c r="N1088" s="71" t="str">
        <f>IFERROR(VLOOKUP(M1088,NCAA_Bets[[Date]:[Version]],2,0),"")</f>
        <v/>
      </c>
      <c r="O1088" s="94" t="str">
        <f>COUNTIFS(NCAA_Bets[Date],M1088,NCAA_Bets[Result],"W")&amp;"-"&amp;COUNTIFS(NCAA_Bets[Date],M1088,NCAA_Bets[Result],"L")&amp;IF(COUNTIFS(NCAA_Bets[Date],M1088,NCAA_Bets[Result],"Push")&gt;0,"-"&amp;COUNTIFS(NCAA_Bets[Date],M1088,NCAA_Bets[Result],"Push"),"")</f>
        <v>0-0</v>
      </c>
      <c r="P1088" s="90">
        <f>SUMIF(NCAA_Bets[Date],M1088,NCAA_Bets[Winnings])-SUMIF(NCAA_Bets[Date],M1088,NCAA_Bets[Risk])</f>
        <v>0</v>
      </c>
    </row>
    <row r="1089" spans="2:16" x14ac:dyDescent="0.25">
      <c r="B1089" s="101">
        <f t="shared" si="47"/>
        <v>33</v>
      </c>
      <c r="L1089" s="71">
        <f t="shared" si="49"/>
        <v>0</v>
      </c>
      <c r="M1089" s="71">
        <f t="shared" si="48"/>
        <v>0</v>
      </c>
      <c r="N1089" s="71" t="str">
        <f>IFERROR(VLOOKUP(M1089,NCAA_Bets[[Date]:[Version]],2,0),"")</f>
        <v/>
      </c>
      <c r="O1089" s="94" t="str">
        <f>COUNTIFS(NCAA_Bets[Date],M1089,NCAA_Bets[Result],"W")&amp;"-"&amp;COUNTIFS(NCAA_Bets[Date],M1089,NCAA_Bets[Result],"L")&amp;IF(COUNTIFS(NCAA_Bets[Date],M1089,NCAA_Bets[Result],"Push")&gt;0,"-"&amp;COUNTIFS(NCAA_Bets[Date],M1089,NCAA_Bets[Result],"Push"),"")</f>
        <v>0-0</v>
      </c>
      <c r="P1089" s="90">
        <f>SUMIF(NCAA_Bets[Date],M1089,NCAA_Bets[Winnings])-SUMIF(NCAA_Bets[Date],M1089,NCAA_Bets[Risk])</f>
        <v>0</v>
      </c>
    </row>
    <row r="1090" spans="2:16" x14ac:dyDescent="0.25">
      <c r="B1090" s="101">
        <f t="shared" si="47"/>
        <v>33</v>
      </c>
      <c r="L1090" s="71">
        <f t="shared" si="49"/>
        <v>0</v>
      </c>
      <c r="M1090" s="71">
        <f t="shared" si="48"/>
        <v>0</v>
      </c>
      <c r="N1090" s="71" t="str">
        <f>IFERROR(VLOOKUP(M1090,NCAA_Bets[[Date]:[Version]],2,0),"")</f>
        <v/>
      </c>
      <c r="O1090" s="94" t="str">
        <f>COUNTIFS(NCAA_Bets[Date],M1090,NCAA_Bets[Result],"W")&amp;"-"&amp;COUNTIFS(NCAA_Bets[Date],M1090,NCAA_Bets[Result],"L")&amp;IF(COUNTIFS(NCAA_Bets[Date],M1090,NCAA_Bets[Result],"Push")&gt;0,"-"&amp;COUNTIFS(NCAA_Bets[Date],M1090,NCAA_Bets[Result],"Push"),"")</f>
        <v>0-0</v>
      </c>
      <c r="P1090" s="90">
        <f>SUMIF(NCAA_Bets[Date],M1090,NCAA_Bets[Winnings])-SUMIF(NCAA_Bets[Date],M1090,NCAA_Bets[Risk])</f>
        <v>0</v>
      </c>
    </row>
    <row r="1091" spans="2:16" x14ac:dyDescent="0.25">
      <c r="B1091" s="101">
        <f t="shared" si="47"/>
        <v>33</v>
      </c>
      <c r="L1091" s="71">
        <f t="shared" si="49"/>
        <v>0</v>
      </c>
      <c r="M1091" s="71">
        <f t="shared" si="48"/>
        <v>0</v>
      </c>
      <c r="N1091" s="71" t="str">
        <f>IFERROR(VLOOKUP(M1091,NCAA_Bets[[Date]:[Version]],2,0),"")</f>
        <v/>
      </c>
      <c r="O1091" s="94" t="str">
        <f>COUNTIFS(NCAA_Bets[Date],M1091,NCAA_Bets[Result],"W")&amp;"-"&amp;COUNTIFS(NCAA_Bets[Date],M1091,NCAA_Bets[Result],"L")&amp;IF(COUNTIFS(NCAA_Bets[Date],M1091,NCAA_Bets[Result],"Push")&gt;0,"-"&amp;COUNTIFS(NCAA_Bets[Date],M1091,NCAA_Bets[Result],"Push"),"")</f>
        <v>0-0</v>
      </c>
      <c r="P1091" s="90">
        <f>SUMIF(NCAA_Bets[Date],M1091,NCAA_Bets[Winnings])-SUMIF(NCAA_Bets[Date],M1091,NCAA_Bets[Risk])</f>
        <v>0</v>
      </c>
    </row>
    <row r="1092" spans="2:16" x14ac:dyDescent="0.25">
      <c r="B1092" s="101">
        <f t="shared" si="47"/>
        <v>33</v>
      </c>
      <c r="L1092" s="71">
        <f t="shared" si="49"/>
        <v>0</v>
      </c>
      <c r="M1092" s="71">
        <f t="shared" si="48"/>
        <v>0</v>
      </c>
      <c r="N1092" s="71" t="str">
        <f>IFERROR(VLOOKUP(M1092,NCAA_Bets[[Date]:[Version]],2,0),"")</f>
        <v/>
      </c>
      <c r="O1092" s="94" t="str">
        <f>COUNTIFS(NCAA_Bets[Date],M1092,NCAA_Bets[Result],"W")&amp;"-"&amp;COUNTIFS(NCAA_Bets[Date],M1092,NCAA_Bets[Result],"L")&amp;IF(COUNTIFS(NCAA_Bets[Date],M1092,NCAA_Bets[Result],"Push")&gt;0,"-"&amp;COUNTIFS(NCAA_Bets[Date],M1092,NCAA_Bets[Result],"Push"),"")</f>
        <v>0-0</v>
      </c>
      <c r="P1092" s="90">
        <f>SUMIF(NCAA_Bets[Date],M1092,NCAA_Bets[Winnings])-SUMIF(NCAA_Bets[Date],M1092,NCAA_Bets[Risk])</f>
        <v>0</v>
      </c>
    </row>
    <row r="1093" spans="2:16" x14ac:dyDescent="0.25">
      <c r="B1093" s="101">
        <f t="shared" si="47"/>
        <v>33</v>
      </c>
      <c r="L1093" s="71">
        <f t="shared" si="49"/>
        <v>0</v>
      </c>
      <c r="M1093" s="71">
        <f t="shared" si="48"/>
        <v>0</v>
      </c>
      <c r="N1093" s="71" t="str">
        <f>IFERROR(VLOOKUP(M1093,NCAA_Bets[[Date]:[Version]],2,0),"")</f>
        <v/>
      </c>
      <c r="O1093" s="94" t="str">
        <f>COUNTIFS(NCAA_Bets[Date],M1093,NCAA_Bets[Result],"W")&amp;"-"&amp;COUNTIFS(NCAA_Bets[Date],M1093,NCAA_Bets[Result],"L")&amp;IF(COUNTIFS(NCAA_Bets[Date],M1093,NCAA_Bets[Result],"Push")&gt;0,"-"&amp;COUNTIFS(NCAA_Bets[Date],M1093,NCAA_Bets[Result],"Push"),"")</f>
        <v>0-0</v>
      </c>
      <c r="P1093" s="90">
        <f>SUMIF(NCAA_Bets[Date],M1093,NCAA_Bets[Winnings])-SUMIF(NCAA_Bets[Date],M1093,NCAA_Bets[Risk])</f>
        <v>0</v>
      </c>
    </row>
    <row r="1094" spans="2:16" x14ac:dyDescent="0.25">
      <c r="B1094" s="101">
        <f t="shared" ref="B1094:B1157" si="50">IF(C1094=C1093,B1093,B1093+1)</f>
        <v>33</v>
      </c>
      <c r="L1094" s="71">
        <f t="shared" si="49"/>
        <v>0</v>
      </c>
      <c r="M1094" s="71">
        <f t="shared" si="48"/>
        <v>0</v>
      </c>
      <c r="N1094" s="71" t="str">
        <f>IFERROR(VLOOKUP(M1094,NCAA_Bets[[Date]:[Version]],2,0),"")</f>
        <v/>
      </c>
      <c r="O1094" s="94" t="str">
        <f>COUNTIFS(NCAA_Bets[Date],M1094,NCAA_Bets[Result],"W")&amp;"-"&amp;COUNTIFS(NCAA_Bets[Date],M1094,NCAA_Bets[Result],"L")&amp;IF(COUNTIFS(NCAA_Bets[Date],M1094,NCAA_Bets[Result],"Push")&gt;0,"-"&amp;COUNTIFS(NCAA_Bets[Date],M1094,NCAA_Bets[Result],"Push"),"")</f>
        <v>0-0</v>
      </c>
      <c r="P1094" s="90">
        <f>SUMIF(NCAA_Bets[Date],M1094,NCAA_Bets[Winnings])-SUMIF(NCAA_Bets[Date],M1094,NCAA_Bets[Risk])</f>
        <v>0</v>
      </c>
    </row>
    <row r="1095" spans="2:16" x14ac:dyDescent="0.25">
      <c r="B1095" s="101">
        <f t="shared" si="50"/>
        <v>33</v>
      </c>
      <c r="L1095" s="71">
        <f t="shared" si="49"/>
        <v>0</v>
      </c>
      <c r="M1095" s="71">
        <f t="shared" si="48"/>
        <v>0</v>
      </c>
      <c r="N1095" s="71" t="str">
        <f>IFERROR(VLOOKUP(M1095,NCAA_Bets[[Date]:[Version]],2,0),"")</f>
        <v/>
      </c>
      <c r="O1095" s="94" t="str">
        <f>COUNTIFS(NCAA_Bets[Date],M1095,NCAA_Bets[Result],"W")&amp;"-"&amp;COUNTIFS(NCAA_Bets[Date],M1095,NCAA_Bets[Result],"L")&amp;IF(COUNTIFS(NCAA_Bets[Date],M1095,NCAA_Bets[Result],"Push")&gt;0,"-"&amp;COUNTIFS(NCAA_Bets[Date],M1095,NCAA_Bets[Result],"Push"),"")</f>
        <v>0-0</v>
      </c>
      <c r="P1095" s="90">
        <f>SUMIF(NCAA_Bets[Date],M1095,NCAA_Bets[Winnings])-SUMIF(NCAA_Bets[Date],M1095,NCAA_Bets[Risk])</f>
        <v>0</v>
      </c>
    </row>
    <row r="1096" spans="2:16" x14ac:dyDescent="0.25">
      <c r="B1096" s="101">
        <f t="shared" si="50"/>
        <v>33</v>
      </c>
      <c r="L1096" s="71">
        <f t="shared" si="49"/>
        <v>0</v>
      </c>
      <c r="M1096" s="71">
        <f t="shared" si="48"/>
        <v>0</v>
      </c>
      <c r="N1096" s="71" t="str">
        <f>IFERROR(VLOOKUP(M1096,NCAA_Bets[[Date]:[Version]],2,0),"")</f>
        <v/>
      </c>
      <c r="O1096" s="94" t="str">
        <f>COUNTIFS(NCAA_Bets[Date],M1096,NCAA_Bets[Result],"W")&amp;"-"&amp;COUNTIFS(NCAA_Bets[Date],M1096,NCAA_Bets[Result],"L")&amp;IF(COUNTIFS(NCAA_Bets[Date],M1096,NCAA_Bets[Result],"Push")&gt;0,"-"&amp;COUNTIFS(NCAA_Bets[Date],M1096,NCAA_Bets[Result],"Push"),"")</f>
        <v>0-0</v>
      </c>
      <c r="P1096" s="90">
        <f>SUMIF(NCAA_Bets[Date],M1096,NCAA_Bets[Winnings])-SUMIF(NCAA_Bets[Date],M1096,NCAA_Bets[Risk])</f>
        <v>0</v>
      </c>
    </row>
    <row r="1097" spans="2:16" x14ac:dyDescent="0.25">
      <c r="B1097" s="101">
        <f t="shared" si="50"/>
        <v>33</v>
      </c>
      <c r="L1097" s="71">
        <f t="shared" si="49"/>
        <v>0</v>
      </c>
      <c r="M1097" s="71">
        <f t="shared" si="48"/>
        <v>0</v>
      </c>
      <c r="N1097" s="71" t="str">
        <f>IFERROR(VLOOKUP(M1097,NCAA_Bets[[Date]:[Version]],2,0),"")</f>
        <v/>
      </c>
      <c r="O1097" s="94" t="str">
        <f>COUNTIFS(NCAA_Bets[Date],M1097,NCAA_Bets[Result],"W")&amp;"-"&amp;COUNTIFS(NCAA_Bets[Date],M1097,NCAA_Bets[Result],"L")&amp;IF(COUNTIFS(NCAA_Bets[Date],M1097,NCAA_Bets[Result],"Push")&gt;0,"-"&amp;COUNTIFS(NCAA_Bets[Date],M1097,NCAA_Bets[Result],"Push"),"")</f>
        <v>0-0</v>
      </c>
      <c r="P1097" s="90">
        <f>SUMIF(NCAA_Bets[Date],M1097,NCAA_Bets[Winnings])-SUMIF(NCAA_Bets[Date],M1097,NCAA_Bets[Risk])</f>
        <v>0</v>
      </c>
    </row>
    <row r="1098" spans="2:16" x14ac:dyDescent="0.25">
      <c r="B1098" s="101">
        <f t="shared" si="50"/>
        <v>33</v>
      </c>
      <c r="L1098" s="71">
        <f t="shared" si="49"/>
        <v>0</v>
      </c>
      <c r="M1098" s="71">
        <f t="shared" si="48"/>
        <v>0</v>
      </c>
      <c r="N1098" s="71" t="str">
        <f>IFERROR(VLOOKUP(M1098,NCAA_Bets[[Date]:[Version]],2,0),"")</f>
        <v/>
      </c>
      <c r="O1098" s="94" t="str">
        <f>COUNTIFS(NCAA_Bets[Date],M1098,NCAA_Bets[Result],"W")&amp;"-"&amp;COUNTIFS(NCAA_Bets[Date],M1098,NCAA_Bets[Result],"L")&amp;IF(COUNTIFS(NCAA_Bets[Date],M1098,NCAA_Bets[Result],"Push")&gt;0,"-"&amp;COUNTIFS(NCAA_Bets[Date],M1098,NCAA_Bets[Result],"Push"),"")</f>
        <v>0-0</v>
      </c>
      <c r="P1098" s="90">
        <f>SUMIF(NCAA_Bets[Date],M1098,NCAA_Bets[Winnings])-SUMIF(NCAA_Bets[Date],M1098,NCAA_Bets[Risk])</f>
        <v>0</v>
      </c>
    </row>
    <row r="1099" spans="2:16" x14ac:dyDescent="0.25">
      <c r="B1099" s="101">
        <f t="shared" si="50"/>
        <v>33</v>
      </c>
      <c r="L1099" s="71">
        <f t="shared" si="49"/>
        <v>0</v>
      </c>
      <c r="M1099" s="71">
        <f t="shared" si="48"/>
        <v>0</v>
      </c>
      <c r="N1099" s="71" t="str">
        <f>IFERROR(VLOOKUP(M1099,NCAA_Bets[[Date]:[Version]],2,0),"")</f>
        <v/>
      </c>
      <c r="O1099" s="94" t="str">
        <f>COUNTIFS(NCAA_Bets[Date],M1099,NCAA_Bets[Result],"W")&amp;"-"&amp;COUNTIFS(NCAA_Bets[Date],M1099,NCAA_Bets[Result],"L")&amp;IF(COUNTIFS(NCAA_Bets[Date],M1099,NCAA_Bets[Result],"Push")&gt;0,"-"&amp;COUNTIFS(NCAA_Bets[Date],M1099,NCAA_Bets[Result],"Push"),"")</f>
        <v>0-0</v>
      </c>
      <c r="P1099" s="90">
        <f>SUMIF(NCAA_Bets[Date],M1099,NCAA_Bets[Winnings])-SUMIF(NCAA_Bets[Date],M1099,NCAA_Bets[Risk])</f>
        <v>0</v>
      </c>
    </row>
    <row r="1100" spans="2:16" x14ac:dyDescent="0.25">
      <c r="B1100" s="101">
        <f t="shared" si="50"/>
        <v>33</v>
      </c>
      <c r="L1100" s="71">
        <f t="shared" si="49"/>
        <v>0</v>
      </c>
      <c r="M1100" s="71">
        <f t="shared" si="48"/>
        <v>0</v>
      </c>
      <c r="N1100" s="71" t="str">
        <f>IFERROR(VLOOKUP(M1100,NCAA_Bets[[Date]:[Version]],2,0),"")</f>
        <v/>
      </c>
      <c r="O1100" s="94" t="str">
        <f>COUNTIFS(NCAA_Bets[Date],M1100,NCAA_Bets[Result],"W")&amp;"-"&amp;COUNTIFS(NCAA_Bets[Date],M1100,NCAA_Bets[Result],"L")&amp;IF(COUNTIFS(NCAA_Bets[Date],M1100,NCAA_Bets[Result],"Push")&gt;0,"-"&amp;COUNTIFS(NCAA_Bets[Date],M1100,NCAA_Bets[Result],"Push"),"")</f>
        <v>0-0</v>
      </c>
      <c r="P1100" s="90">
        <f>SUMIF(NCAA_Bets[Date],M1100,NCAA_Bets[Winnings])-SUMIF(NCAA_Bets[Date],M1100,NCAA_Bets[Risk])</f>
        <v>0</v>
      </c>
    </row>
    <row r="1101" spans="2:16" x14ac:dyDescent="0.25">
      <c r="B1101" s="101">
        <f t="shared" si="50"/>
        <v>33</v>
      </c>
      <c r="L1101" s="71">
        <f t="shared" si="49"/>
        <v>0</v>
      </c>
      <c r="M1101" s="71">
        <f t="shared" si="48"/>
        <v>0</v>
      </c>
      <c r="N1101" s="71" t="str">
        <f>IFERROR(VLOOKUP(M1101,NCAA_Bets[[Date]:[Version]],2,0),"")</f>
        <v/>
      </c>
      <c r="O1101" s="94" t="str">
        <f>COUNTIFS(NCAA_Bets[Date],M1101,NCAA_Bets[Result],"W")&amp;"-"&amp;COUNTIFS(NCAA_Bets[Date],M1101,NCAA_Bets[Result],"L")&amp;IF(COUNTIFS(NCAA_Bets[Date],M1101,NCAA_Bets[Result],"Push")&gt;0,"-"&amp;COUNTIFS(NCAA_Bets[Date],M1101,NCAA_Bets[Result],"Push"),"")</f>
        <v>0-0</v>
      </c>
      <c r="P1101" s="90">
        <f>SUMIF(NCAA_Bets[Date],M1101,NCAA_Bets[Winnings])-SUMIF(NCAA_Bets[Date],M1101,NCAA_Bets[Risk])</f>
        <v>0</v>
      </c>
    </row>
    <row r="1102" spans="2:16" x14ac:dyDescent="0.25">
      <c r="B1102" s="101">
        <f t="shared" si="50"/>
        <v>33</v>
      </c>
      <c r="L1102" s="71">
        <f t="shared" si="49"/>
        <v>0</v>
      </c>
      <c r="M1102" s="71">
        <f t="shared" si="48"/>
        <v>0</v>
      </c>
      <c r="N1102" s="71" t="str">
        <f>IFERROR(VLOOKUP(M1102,NCAA_Bets[[Date]:[Version]],2,0),"")</f>
        <v/>
      </c>
      <c r="O1102" s="94" t="str">
        <f>COUNTIFS(NCAA_Bets[Date],M1102,NCAA_Bets[Result],"W")&amp;"-"&amp;COUNTIFS(NCAA_Bets[Date],M1102,NCAA_Bets[Result],"L")&amp;IF(COUNTIFS(NCAA_Bets[Date],M1102,NCAA_Bets[Result],"Push")&gt;0,"-"&amp;COUNTIFS(NCAA_Bets[Date],M1102,NCAA_Bets[Result],"Push"),"")</f>
        <v>0-0</v>
      </c>
      <c r="P1102" s="90">
        <f>SUMIF(NCAA_Bets[Date],M1102,NCAA_Bets[Winnings])-SUMIF(NCAA_Bets[Date],M1102,NCAA_Bets[Risk])</f>
        <v>0</v>
      </c>
    </row>
    <row r="1103" spans="2:16" x14ac:dyDescent="0.25">
      <c r="B1103" s="101">
        <f t="shared" si="50"/>
        <v>33</v>
      </c>
      <c r="L1103" s="71">
        <f t="shared" si="49"/>
        <v>0</v>
      </c>
      <c r="M1103" s="71">
        <f t="shared" si="48"/>
        <v>0</v>
      </c>
      <c r="N1103" s="71" t="str">
        <f>IFERROR(VLOOKUP(M1103,NCAA_Bets[[Date]:[Version]],2,0),"")</f>
        <v/>
      </c>
      <c r="O1103" s="94" t="str">
        <f>COUNTIFS(NCAA_Bets[Date],M1103,NCAA_Bets[Result],"W")&amp;"-"&amp;COUNTIFS(NCAA_Bets[Date],M1103,NCAA_Bets[Result],"L")&amp;IF(COUNTIFS(NCAA_Bets[Date],M1103,NCAA_Bets[Result],"Push")&gt;0,"-"&amp;COUNTIFS(NCAA_Bets[Date],M1103,NCAA_Bets[Result],"Push"),"")</f>
        <v>0-0</v>
      </c>
      <c r="P1103" s="90">
        <f>SUMIF(NCAA_Bets[Date],M1103,NCAA_Bets[Winnings])-SUMIF(NCAA_Bets[Date],M1103,NCAA_Bets[Risk])</f>
        <v>0</v>
      </c>
    </row>
    <row r="1104" spans="2:16" x14ac:dyDescent="0.25">
      <c r="B1104" s="101">
        <f t="shared" si="50"/>
        <v>33</v>
      </c>
      <c r="L1104" s="71">
        <f t="shared" si="49"/>
        <v>0</v>
      </c>
      <c r="M1104" s="71">
        <f t="shared" si="48"/>
        <v>0</v>
      </c>
      <c r="N1104" s="71" t="str">
        <f>IFERROR(VLOOKUP(M1104,NCAA_Bets[[Date]:[Version]],2,0),"")</f>
        <v/>
      </c>
      <c r="O1104" s="94" t="str">
        <f>COUNTIFS(NCAA_Bets[Date],M1104,NCAA_Bets[Result],"W")&amp;"-"&amp;COUNTIFS(NCAA_Bets[Date],M1104,NCAA_Bets[Result],"L")&amp;IF(COUNTIFS(NCAA_Bets[Date],M1104,NCAA_Bets[Result],"Push")&gt;0,"-"&amp;COUNTIFS(NCAA_Bets[Date],M1104,NCAA_Bets[Result],"Push"),"")</f>
        <v>0-0</v>
      </c>
      <c r="P1104" s="90">
        <f>SUMIF(NCAA_Bets[Date],M1104,NCAA_Bets[Winnings])-SUMIF(NCAA_Bets[Date],M1104,NCAA_Bets[Risk])</f>
        <v>0</v>
      </c>
    </row>
    <row r="1105" spans="2:16" x14ac:dyDescent="0.25">
      <c r="B1105" s="101">
        <f t="shared" si="50"/>
        <v>33</v>
      </c>
      <c r="L1105" s="71">
        <f t="shared" si="49"/>
        <v>0</v>
      </c>
      <c r="M1105" s="71">
        <f t="shared" si="48"/>
        <v>0</v>
      </c>
      <c r="N1105" s="71" t="str">
        <f>IFERROR(VLOOKUP(M1105,NCAA_Bets[[Date]:[Version]],2,0),"")</f>
        <v/>
      </c>
      <c r="O1105" s="94" t="str">
        <f>COUNTIFS(NCAA_Bets[Date],M1105,NCAA_Bets[Result],"W")&amp;"-"&amp;COUNTIFS(NCAA_Bets[Date],M1105,NCAA_Bets[Result],"L")&amp;IF(COUNTIFS(NCAA_Bets[Date],M1105,NCAA_Bets[Result],"Push")&gt;0,"-"&amp;COUNTIFS(NCAA_Bets[Date],M1105,NCAA_Bets[Result],"Push"),"")</f>
        <v>0-0</v>
      </c>
      <c r="P1105" s="90">
        <f>SUMIF(NCAA_Bets[Date],M1105,NCAA_Bets[Winnings])-SUMIF(NCAA_Bets[Date],M1105,NCAA_Bets[Risk])</f>
        <v>0</v>
      </c>
    </row>
    <row r="1106" spans="2:16" x14ac:dyDescent="0.25">
      <c r="B1106" s="101">
        <f t="shared" si="50"/>
        <v>33</v>
      </c>
      <c r="L1106" s="71">
        <f t="shared" si="49"/>
        <v>0</v>
      </c>
      <c r="M1106" s="71">
        <f t="shared" si="48"/>
        <v>0</v>
      </c>
      <c r="N1106" s="71" t="str">
        <f>IFERROR(VLOOKUP(M1106,NCAA_Bets[[Date]:[Version]],2,0),"")</f>
        <v/>
      </c>
      <c r="O1106" s="94" t="str">
        <f>COUNTIFS(NCAA_Bets[Date],M1106,NCAA_Bets[Result],"W")&amp;"-"&amp;COUNTIFS(NCAA_Bets[Date],M1106,NCAA_Bets[Result],"L")&amp;IF(COUNTIFS(NCAA_Bets[Date],M1106,NCAA_Bets[Result],"Push")&gt;0,"-"&amp;COUNTIFS(NCAA_Bets[Date],M1106,NCAA_Bets[Result],"Push"),"")</f>
        <v>0-0</v>
      </c>
      <c r="P1106" s="90">
        <f>SUMIF(NCAA_Bets[Date],M1106,NCAA_Bets[Winnings])-SUMIF(NCAA_Bets[Date],M1106,NCAA_Bets[Risk])</f>
        <v>0</v>
      </c>
    </row>
    <row r="1107" spans="2:16" x14ac:dyDescent="0.25">
      <c r="B1107" s="101">
        <f t="shared" si="50"/>
        <v>33</v>
      </c>
      <c r="L1107" s="71">
        <f t="shared" si="49"/>
        <v>0</v>
      </c>
      <c r="M1107" s="71">
        <f t="shared" si="48"/>
        <v>0</v>
      </c>
      <c r="N1107" s="71" t="str">
        <f>IFERROR(VLOOKUP(M1107,NCAA_Bets[[Date]:[Version]],2,0),"")</f>
        <v/>
      </c>
      <c r="O1107" s="94" t="str">
        <f>COUNTIFS(NCAA_Bets[Date],M1107,NCAA_Bets[Result],"W")&amp;"-"&amp;COUNTIFS(NCAA_Bets[Date],M1107,NCAA_Bets[Result],"L")&amp;IF(COUNTIFS(NCAA_Bets[Date],M1107,NCAA_Bets[Result],"Push")&gt;0,"-"&amp;COUNTIFS(NCAA_Bets[Date],M1107,NCAA_Bets[Result],"Push"),"")</f>
        <v>0-0</v>
      </c>
      <c r="P1107" s="90">
        <f>SUMIF(NCAA_Bets[Date],M1107,NCAA_Bets[Winnings])-SUMIF(NCAA_Bets[Date],M1107,NCAA_Bets[Risk])</f>
        <v>0</v>
      </c>
    </row>
    <row r="1108" spans="2:16" x14ac:dyDescent="0.25">
      <c r="B1108" s="101">
        <f t="shared" si="50"/>
        <v>33</v>
      </c>
      <c r="L1108" s="71">
        <f t="shared" si="49"/>
        <v>0</v>
      </c>
      <c r="M1108" s="71">
        <f t="shared" si="48"/>
        <v>0</v>
      </c>
      <c r="N1108" s="71" t="str">
        <f>IFERROR(VLOOKUP(M1108,NCAA_Bets[[Date]:[Version]],2,0),"")</f>
        <v/>
      </c>
      <c r="O1108" s="94" t="str">
        <f>COUNTIFS(NCAA_Bets[Date],M1108,NCAA_Bets[Result],"W")&amp;"-"&amp;COUNTIFS(NCAA_Bets[Date],M1108,NCAA_Bets[Result],"L")&amp;IF(COUNTIFS(NCAA_Bets[Date],M1108,NCAA_Bets[Result],"Push")&gt;0,"-"&amp;COUNTIFS(NCAA_Bets[Date],M1108,NCAA_Bets[Result],"Push"),"")</f>
        <v>0-0</v>
      </c>
      <c r="P1108" s="90">
        <f>SUMIF(NCAA_Bets[Date],M1108,NCAA_Bets[Winnings])-SUMIF(NCAA_Bets[Date],M1108,NCAA_Bets[Risk])</f>
        <v>0</v>
      </c>
    </row>
    <row r="1109" spans="2:16" x14ac:dyDescent="0.25">
      <c r="B1109" s="101">
        <f t="shared" si="50"/>
        <v>33</v>
      </c>
      <c r="L1109" s="71">
        <f t="shared" si="49"/>
        <v>0</v>
      </c>
      <c r="M1109" s="71">
        <f t="shared" si="48"/>
        <v>0</v>
      </c>
      <c r="N1109" s="71" t="str">
        <f>IFERROR(VLOOKUP(M1109,NCAA_Bets[[Date]:[Version]],2,0),"")</f>
        <v/>
      </c>
      <c r="O1109" s="94" t="str">
        <f>COUNTIFS(NCAA_Bets[Date],M1109,NCAA_Bets[Result],"W")&amp;"-"&amp;COUNTIFS(NCAA_Bets[Date],M1109,NCAA_Bets[Result],"L")&amp;IF(COUNTIFS(NCAA_Bets[Date],M1109,NCAA_Bets[Result],"Push")&gt;0,"-"&amp;COUNTIFS(NCAA_Bets[Date],M1109,NCAA_Bets[Result],"Push"),"")</f>
        <v>0-0</v>
      </c>
      <c r="P1109" s="90">
        <f>SUMIF(NCAA_Bets[Date],M1109,NCAA_Bets[Winnings])-SUMIF(NCAA_Bets[Date],M1109,NCAA_Bets[Risk])</f>
        <v>0</v>
      </c>
    </row>
    <row r="1110" spans="2:16" x14ac:dyDescent="0.25">
      <c r="B1110" s="101">
        <f t="shared" si="50"/>
        <v>33</v>
      </c>
      <c r="L1110" s="71">
        <f t="shared" si="49"/>
        <v>0</v>
      </c>
      <c r="M1110" s="71">
        <f t="shared" si="48"/>
        <v>0</v>
      </c>
      <c r="N1110" s="71" t="str">
        <f>IFERROR(VLOOKUP(M1110,NCAA_Bets[[Date]:[Version]],2,0),"")</f>
        <v/>
      </c>
      <c r="O1110" s="94" t="str">
        <f>COUNTIFS(NCAA_Bets[Date],M1110,NCAA_Bets[Result],"W")&amp;"-"&amp;COUNTIFS(NCAA_Bets[Date],M1110,NCAA_Bets[Result],"L")&amp;IF(COUNTIFS(NCAA_Bets[Date],M1110,NCAA_Bets[Result],"Push")&gt;0,"-"&amp;COUNTIFS(NCAA_Bets[Date],M1110,NCAA_Bets[Result],"Push"),"")</f>
        <v>0-0</v>
      </c>
      <c r="P1110" s="90">
        <f>SUMIF(NCAA_Bets[Date],M1110,NCAA_Bets[Winnings])-SUMIF(NCAA_Bets[Date],M1110,NCAA_Bets[Risk])</f>
        <v>0</v>
      </c>
    </row>
    <row r="1111" spans="2:16" x14ac:dyDescent="0.25">
      <c r="B1111" s="101">
        <f t="shared" si="50"/>
        <v>33</v>
      </c>
      <c r="L1111" s="71">
        <f t="shared" si="49"/>
        <v>0</v>
      </c>
      <c r="M1111" s="71">
        <f t="shared" si="48"/>
        <v>0</v>
      </c>
      <c r="N1111" s="71" t="str">
        <f>IFERROR(VLOOKUP(M1111,NCAA_Bets[[Date]:[Version]],2,0),"")</f>
        <v/>
      </c>
      <c r="O1111" s="94" t="str">
        <f>COUNTIFS(NCAA_Bets[Date],M1111,NCAA_Bets[Result],"W")&amp;"-"&amp;COUNTIFS(NCAA_Bets[Date],M1111,NCAA_Bets[Result],"L")&amp;IF(COUNTIFS(NCAA_Bets[Date],M1111,NCAA_Bets[Result],"Push")&gt;0,"-"&amp;COUNTIFS(NCAA_Bets[Date],M1111,NCAA_Bets[Result],"Push"),"")</f>
        <v>0-0</v>
      </c>
      <c r="P1111" s="90">
        <f>SUMIF(NCAA_Bets[Date],M1111,NCAA_Bets[Winnings])-SUMIF(NCAA_Bets[Date],M1111,NCAA_Bets[Risk])</f>
        <v>0</v>
      </c>
    </row>
    <row r="1112" spans="2:16" x14ac:dyDescent="0.25">
      <c r="B1112" s="101">
        <f t="shared" si="50"/>
        <v>33</v>
      </c>
      <c r="L1112" s="71">
        <f t="shared" si="49"/>
        <v>0</v>
      </c>
      <c r="M1112" s="71">
        <f t="shared" si="48"/>
        <v>0</v>
      </c>
      <c r="N1112" s="71" t="str">
        <f>IFERROR(VLOOKUP(M1112,NCAA_Bets[[Date]:[Version]],2,0),"")</f>
        <v/>
      </c>
      <c r="O1112" s="94" t="str">
        <f>COUNTIFS(NCAA_Bets[Date],M1112,NCAA_Bets[Result],"W")&amp;"-"&amp;COUNTIFS(NCAA_Bets[Date],M1112,NCAA_Bets[Result],"L")&amp;IF(COUNTIFS(NCAA_Bets[Date],M1112,NCAA_Bets[Result],"Push")&gt;0,"-"&amp;COUNTIFS(NCAA_Bets[Date],M1112,NCAA_Bets[Result],"Push"),"")</f>
        <v>0-0</v>
      </c>
      <c r="P1112" s="90">
        <f>SUMIF(NCAA_Bets[Date],M1112,NCAA_Bets[Winnings])-SUMIF(NCAA_Bets[Date],M1112,NCAA_Bets[Risk])</f>
        <v>0</v>
      </c>
    </row>
    <row r="1113" spans="2:16" x14ac:dyDescent="0.25">
      <c r="B1113" s="101">
        <f t="shared" si="50"/>
        <v>33</v>
      </c>
      <c r="L1113" s="71">
        <f t="shared" si="49"/>
        <v>0</v>
      </c>
      <c r="M1113" s="71">
        <f t="shared" si="48"/>
        <v>0</v>
      </c>
      <c r="N1113" s="71" t="str">
        <f>IFERROR(VLOOKUP(M1113,NCAA_Bets[[Date]:[Version]],2,0),"")</f>
        <v/>
      </c>
      <c r="O1113" s="94" t="str">
        <f>COUNTIFS(NCAA_Bets[Date],M1113,NCAA_Bets[Result],"W")&amp;"-"&amp;COUNTIFS(NCAA_Bets[Date],M1113,NCAA_Bets[Result],"L")&amp;IF(COUNTIFS(NCAA_Bets[Date],M1113,NCAA_Bets[Result],"Push")&gt;0,"-"&amp;COUNTIFS(NCAA_Bets[Date],M1113,NCAA_Bets[Result],"Push"),"")</f>
        <v>0-0</v>
      </c>
      <c r="P1113" s="90">
        <f>SUMIF(NCAA_Bets[Date],M1113,NCAA_Bets[Winnings])-SUMIF(NCAA_Bets[Date],M1113,NCAA_Bets[Risk])</f>
        <v>0</v>
      </c>
    </row>
    <row r="1114" spans="2:16" x14ac:dyDescent="0.25">
      <c r="B1114" s="101">
        <f t="shared" si="50"/>
        <v>33</v>
      </c>
      <c r="L1114" s="71">
        <f t="shared" si="49"/>
        <v>0</v>
      </c>
      <c r="M1114" s="71">
        <f t="shared" ref="M1114:M1177" si="51">IFERROR(VLOOKUP(ROW()-4,B:C,2,0),0)</f>
        <v>0</v>
      </c>
      <c r="N1114" s="71" t="str">
        <f>IFERROR(VLOOKUP(M1114,NCAA_Bets[[Date]:[Version]],2,0),"")</f>
        <v/>
      </c>
      <c r="O1114" s="94" t="str">
        <f>COUNTIFS(NCAA_Bets[Date],M1114,NCAA_Bets[Result],"W")&amp;"-"&amp;COUNTIFS(NCAA_Bets[Date],M1114,NCAA_Bets[Result],"L")&amp;IF(COUNTIFS(NCAA_Bets[Date],M1114,NCAA_Bets[Result],"Push")&gt;0,"-"&amp;COUNTIFS(NCAA_Bets[Date],M1114,NCAA_Bets[Result],"Push"),"")</f>
        <v>0-0</v>
      </c>
      <c r="P1114" s="90">
        <f>SUMIF(NCAA_Bets[Date],M1114,NCAA_Bets[Winnings])-SUMIF(NCAA_Bets[Date],M1114,NCAA_Bets[Risk])</f>
        <v>0</v>
      </c>
    </row>
    <row r="1115" spans="2:16" x14ac:dyDescent="0.25">
      <c r="B1115" s="101">
        <f t="shared" si="50"/>
        <v>33</v>
      </c>
      <c r="L1115" s="71">
        <f t="shared" si="49"/>
        <v>0</v>
      </c>
      <c r="M1115" s="71">
        <f t="shared" si="51"/>
        <v>0</v>
      </c>
      <c r="N1115" s="71" t="str">
        <f>IFERROR(VLOOKUP(M1115,NCAA_Bets[[Date]:[Version]],2,0),"")</f>
        <v/>
      </c>
      <c r="O1115" s="94" t="str">
        <f>COUNTIFS(NCAA_Bets[Date],M1115,NCAA_Bets[Result],"W")&amp;"-"&amp;COUNTIFS(NCAA_Bets[Date],M1115,NCAA_Bets[Result],"L")&amp;IF(COUNTIFS(NCAA_Bets[Date],M1115,NCAA_Bets[Result],"Push")&gt;0,"-"&amp;COUNTIFS(NCAA_Bets[Date],M1115,NCAA_Bets[Result],"Push"),"")</f>
        <v>0-0</v>
      </c>
      <c r="P1115" s="90">
        <f>SUMIF(NCAA_Bets[Date],M1115,NCAA_Bets[Winnings])-SUMIF(NCAA_Bets[Date],M1115,NCAA_Bets[Risk])</f>
        <v>0</v>
      </c>
    </row>
    <row r="1116" spans="2:16" x14ac:dyDescent="0.25">
      <c r="B1116" s="101">
        <f t="shared" si="50"/>
        <v>33</v>
      </c>
      <c r="L1116" s="71">
        <f t="shared" si="49"/>
        <v>0</v>
      </c>
      <c r="M1116" s="71">
        <f t="shared" si="51"/>
        <v>0</v>
      </c>
      <c r="N1116" s="71" t="str">
        <f>IFERROR(VLOOKUP(M1116,NCAA_Bets[[Date]:[Version]],2,0),"")</f>
        <v/>
      </c>
      <c r="O1116" s="94" t="str">
        <f>COUNTIFS(NCAA_Bets[Date],M1116,NCAA_Bets[Result],"W")&amp;"-"&amp;COUNTIFS(NCAA_Bets[Date],M1116,NCAA_Bets[Result],"L")&amp;IF(COUNTIFS(NCAA_Bets[Date],M1116,NCAA_Bets[Result],"Push")&gt;0,"-"&amp;COUNTIFS(NCAA_Bets[Date],M1116,NCAA_Bets[Result],"Push"),"")</f>
        <v>0-0</v>
      </c>
      <c r="P1116" s="90">
        <f>SUMIF(NCAA_Bets[Date],M1116,NCAA_Bets[Winnings])-SUMIF(NCAA_Bets[Date],M1116,NCAA_Bets[Risk])</f>
        <v>0</v>
      </c>
    </row>
    <row r="1117" spans="2:16" x14ac:dyDescent="0.25">
      <c r="B1117" s="101">
        <f t="shared" si="50"/>
        <v>33</v>
      </c>
      <c r="L1117" s="71">
        <f t="shared" si="49"/>
        <v>0</v>
      </c>
      <c r="M1117" s="71">
        <f t="shared" si="51"/>
        <v>0</v>
      </c>
      <c r="N1117" s="71" t="str">
        <f>IFERROR(VLOOKUP(M1117,NCAA_Bets[[Date]:[Version]],2,0),"")</f>
        <v/>
      </c>
      <c r="O1117" s="94" t="str">
        <f>COUNTIFS(NCAA_Bets[Date],M1117,NCAA_Bets[Result],"W")&amp;"-"&amp;COUNTIFS(NCAA_Bets[Date],M1117,NCAA_Bets[Result],"L")&amp;IF(COUNTIFS(NCAA_Bets[Date],M1117,NCAA_Bets[Result],"Push")&gt;0,"-"&amp;COUNTIFS(NCAA_Bets[Date],M1117,NCAA_Bets[Result],"Push"),"")</f>
        <v>0-0</v>
      </c>
      <c r="P1117" s="90">
        <f>SUMIF(NCAA_Bets[Date],M1117,NCAA_Bets[Winnings])-SUMIF(NCAA_Bets[Date],M1117,NCAA_Bets[Risk])</f>
        <v>0</v>
      </c>
    </row>
    <row r="1118" spans="2:16" x14ac:dyDescent="0.25">
      <c r="B1118" s="101">
        <f t="shared" si="50"/>
        <v>33</v>
      </c>
      <c r="L1118" s="71">
        <f t="shared" si="49"/>
        <v>0</v>
      </c>
      <c r="M1118" s="71">
        <f t="shared" si="51"/>
        <v>0</v>
      </c>
      <c r="N1118" s="71" t="str">
        <f>IFERROR(VLOOKUP(M1118,NCAA_Bets[[Date]:[Version]],2,0),"")</f>
        <v/>
      </c>
      <c r="O1118" s="94" t="str">
        <f>COUNTIFS(NCAA_Bets[Date],M1118,NCAA_Bets[Result],"W")&amp;"-"&amp;COUNTIFS(NCAA_Bets[Date],M1118,NCAA_Bets[Result],"L")&amp;IF(COUNTIFS(NCAA_Bets[Date],M1118,NCAA_Bets[Result],"Push")&gt;0,"-"&amp;COUNTIFS(NCAA_Bets[Date],M1118,NCAA_Bets[Result],"Push"),"")</f>
        <v>0-0</v>
      </c>
      <c r="P1118" s="90">
        <f>SUMIF(NCAA_Bets[Date],M1118,NCAA_Bets[Winnings])-SUMIF(NCAA_Bets[Date],M1118,NCAA_Bets[Risk])</f>
        <v>0</v>
      </c>
    </row>
    <row r="1119" spans="2:16" x14ac:dyDescent="0.25">
      <c r="B1119" s="101">
        <f t="shared" si="50"/>
        <v>33</v>
      </c>
      <c r="L1119" s="71">
        <f t="shared" si="49"/>
        <v>0</v>
      </c>
      <c r="M1119" s="71">
        <f t="shared" si="51"/>
        <v>0</v>
      </c>
      <c r="N1119" s="71" t="str">
        <f>IFERROR(VLOOKUP(M1119,NCAA_Bets[[Date]:[Version]],2,0),"")</f>
        <v/>
      </c>
      <c r="O1119" s="94" t="str">
        <f>COUNTIFS(NCAA_Bets[Date],M1119,NCAA_Bets[Result],"W")&amp;"-"&amp;COUNTIFS(NCAA_Bets[Date],M1119,NCAA_Bets[Result],"L")&amp;IF(COUNTIFS(NCAA_Bets[Date],M1119,NCAA_Bets[Result],"Push")&gt;0,"-"&amp;COUNTIFS(NCAA_Bets[Date],M1119,NCAA_Bets[Result],"Push"),"")</f>
        <v>0-0</v>
      </c>
      <c r="P1119" s="90">
        <f>SUMIF(NCAA_Bets[Date],M1119,NCAA_Bets[Winnings])-SUMIF(NCAA_Bets[Date],M1119,NCAA_Bets[Risk])</f>
        <v>0</v>
      </c>
    </row>
    <row r="1120" spans="2:16" x14ac:dyDescent="0.25">
      <c r="B1120" s="101">
        <f t="shared" si="50"/>
        <v>33</v>
      </c>
      <c r="L1120" s="71">
        <f t="shared" si="49"/>
        <v>0</v>
      </c>
      <c r="M1120" s="71">
        <f t="shared" si="51"/>
        <v>0</v>
      </c>
      <c r="N1120" s="71" t="str">
        <f>IFERROR(VLOOKUP(M1120,NCAA_Bets[[Date]:[Version]],2,0),"")</f>
        <v/>
      </c>
      <c r="O1120" s="94" t="str">
        <f>COUNTIFS(NCAA_Bets[Date],M1120,NCAA_Bets[Result],"W")&amp;"-"&amp;COUNTIFS(NCAA_Bets[Date],M1120,NCAA_Bets[Result],"L")&amp;IF(COUNTIFS(NCAA_Bets[Date],M1120,NCAA_Bets[Result],"Push")&gt;0,"-"&amp;COUNTIFS(NCAA_Bets[Date],M1120,NCAA_Bets[Result],"Push"),"")</f>
        <v>0-0</v>
      </c>
      <c r="P1120" s="90">
        <f>SUMIF(NCAA_Bets[Date],M1120,NCAA_Bets[Winnings])-SUMIF(NCAA_Bets[Date],M1120,NCAA_Bets[Risk])</f>
        <v>0</v>
      </c>
    </row>
    <row r="1121" spans="2:16" x14ac:dyDescent="0.25">
      <c r="B1121" s="101">
        <f t="shared" si="50"/>
        <v>33</v>
      </c>
      <c r="L1121" s="71">
        <f t="shared" si="49"/>
        <v>0</v>
      </c>
      <c r="M1121" s="71">
        <f t="shared" si="51"/>
        <v>0</v>
      </c>
      <c r="N1121" s="71" t="str">
        <f>IFERROR(VLOOKUP(M1121,NCAA_Bets[[Date]:[Version]],2,0),"")</f>
        <v/>
      </c>
      <c r="O1121" s="94" t="str">
        <f>COUNTIFS(NCAA_Bets[Date],M1121,NCAA_Bets[Result],"W")&amp;"-"&amp;COUNTIFS(NCAA_Bets[Date],M1121,NCAA_Bets[Result],"L")&amp;IF(COUNTIFS(NCAA_Bets[Date],M1121,NCAA_Bets[Result],"Push")&gt;0,"-"&amp;COUNTIFS(NCAA_Bets[Date],M1121,NCAA_Bets[Result],"Push"),"")</f>
        <v>0-0</v>
      </c>
      <c r="P1121" s="90">
        <f>SUMIF(NCAA_Bets[Date],M1121,NCAA_Bets[Winnings])-SUMIF(NCAA_Bets[Date],M1121,NCAA_Bets[Risk])</f>
        <v>0</v>
      </c>
    </row>
    <row r="1122" spans="2:16" x14ac:dyDescent="0.25">
      <c r="B1122" s="101">
        <f t="shared" si="50"/>
        <v>33</v>
      </c>
      <c r="L1122" s="71">
        <f t="shared" si="49"/>
        <v>0</v>
      </c>
      <c r="M1122" s="71">
        <f t="shared" si="51"/>
        <v>0</v>
      </c>
      <c r="N1122" s="71" t="str">
        <f>IFERROR(VLOOKUP(M1122,NCAA_Bets[[Date]:[Version]],2,0),"")</f>
        <v/>
      </c>
      <c r="O1122" s="94" t="str">
        <f>COUNTIFS(NCAA_Bets[Date],M1122,NCAA_Bets[Result],"W")&amp;"-"&amp;COUNTIFS(NCAA_Bets[Date],M1122,NCAA_Bets[Result],"L")&amp;IF(COUNTIFS(NCAA_Bets[Date],M1122,NCAA_Bets[Result],"Push")&gt;0,"-"&amp;COUNTIFS(NCAA_Bets[Date],M1122,NCAA_Bets[Result],"Push"),"")</f>
        <v>0-0</v>
      </c>
      <c r="P1122" s="90">
        <f>SUMIF(NCAA_Bets[Date],M1122,NCAA_Bets[Winnings])-SUMIF(NCAA_Bets[Date],M1122,NCAA_Bets[Risk])</f>
        <v>0</v>
      </c>
    </row>
    <row r="1123" spans="2:16" x14ac:dyDescent="0.25">
      <c r="B1123" s="101">
        <f t="shared" si="50"/>
        <v>33</v>
      </c>
      <c r="L1123" s="71">
        <f t="shared" si="49"/>
        <v>0</v>
      </c>
      <c r="M1123" s="71">
        <f t="shared" si="51"/>
        <v>0</v>
      </c>
      <c r="N1123" s="71" t="str">
        <f>IFERROR(VLOOKUP(M1123,NCAA_Bets[[Date]:[Version]],2,0),"")</f>
        <v/>
      </c>
      <c r="O1123" s="94" t="str">
        <f>COUNTIFS(NCAA_Bets[Date],M1123,NCAA_Bets[Result],"W")&amp;"-"&amp;COUNTIFS(NCAA_Bets[Date],M1123,NCAA_Bets[Result],"L")&amp;IF(COUNTIFS(NCAA_Bets[Date],M1123,NCAA_Bets[Result],"Push")&gt;0,"-"&amp;COUNTIFS(NCAA_Bets[Date],M1123,NCAA_Bets[Result],"Push"),"")</f>
        <v>0-0</v>
      </c>
      <c r="P1123" s="90">
        <f>SUMIF(NCAA_Bets[Date],M1123,NCAA_Bets[Winnings])-SUMIF(NCAA_Bets[Date],M1123,NCAA_Bets[Risk])</f>
        <v>0</v>
      </c>
    </row>
    <row r="1124" spans="2:16" x14ac:dyDescent="0.25">
      <c r="B1124" s="101">
        <f t="shared" si="50"/>
        <v>33</v>
      </c>
      <c r="L1124" s="71">
        <f t="shared" ref="L1124:L1187" si="52">IFERROR(VLOOKUP(ROW()-4,B:C,2,0),0)</f>
        <v>0</v>
      </c>
      <c r="M1124" s="71">
        <f t="shared" si="51"/>
        <v>0</v>
      </c>
      <c r="N1124" s="71" t="str">
        <f>IFERROR(VLOOKUP(M1124,NCAA_Bets[[Date]:[Version]],2,0),"")</f>
        <v/>
      </c>
      <c r="O1124" s="94" t="str">
        <f>COUNTIFS(NCAA_Bets[Date],M1124,NCAA_Bets[Result],"W")&amp;"-"&amp;COUNTIFS(NCAA_Bets[Date],M1124,NCAA_Bets[Result],"L")&amp;IF(COUNTIFS(NCAA_Bets[Date],M1124,NCAA_Bets[Result],"Push")&gt;0,"-"&amp;COUNTIFS(NCAA_Bets[Date],M1124,NCAA_Bets[Result],"Push"),"")</f>
        <v>0-0</v>
      </c>
      <c r="P1124" s="90">
        <f>SUMIF(NCAA_Bets[Date],M1124,NCAA_Bets[Winnings])-SUMIF(NCAA_Bets[Date],M1124,NCAA_Bets[Risk])</f>
        <v>0</v>
      </c>
    </row>
    <row r="1125" spans="2:16" x14ac:dyDescent="0.25">
      <c r="B1125" s="101">
        <f t="shared" si="50"/>
        <v>33</v>
      </c>
      <c r="L1125" s="71">
        <f t="shared" si="52"/>
        <v>0</v>
      </c>
      <c r="M1125" s="71">
        <f t="shared" si="51"/>
        <v>0</v>
      </c>
      <c r="N1125" s="71" t="str">
        <f>IFERROR(VLOOKUP(M1125,NCAA_Bets[[Date]:[Version]],2,0),"")</f>
        <v/>
      </c>
      <c r="O1125" s="94" t="str">
        <f>COUNTIFS(NCAA_Bets[Date],M1125,NCAA_Bets[Result],"W")&amp;"-"&amp;COUNTIFS(NCAA_Bets[Date],M1125,NCAA_Bets[Result],"L")&amp;IF(COUNTIFS(NCAA_Bets[Date],M1125,NCAA_Bets[Result],"Push")&gt;0,"-"&amp;COUNTIFS(NCAA_Bets[Date],M1125,NCAA_Bets[Result],"Push"),"")</f>
        <v>0-0</v>
      </c>
      <c r="P1125" s="90">
        <f>SUMIF(NCAA_Bets[Date],M1125,NCAA_Bets[Winnings])-SUMIF(NCAA_Bets[Date],M1125,NCAA_Bets[Risk])</f>
        <v>0</v>
      </c>
    </row>
    <row r="1126" spans="2:16" x14ac:dyDescent="0.25">
      <c r="B1126" s="101">
        <f t="shared" si="50"/>
        <v>33</v>
      </c>
      <c r="L1126" s="71">
        <f t="shared" si="52"/>
        <v>0</v>
      </c>
      <c r="M1126" s="71">
        <f t="shared" si="51"/>
        <v>0</v>
      </c>
      <c r="N1126" s="71" t="str">
        <f>IFERROR(VLOOKUP(M1126,NCAA_Bets[[Date]:[Version]],2,0),"")</f>
        <v/>
      </c>
      <c r="O1126" s="94" t="str">
        <f>COUNTIFS(NCAA_Bets[Date],M1126,NCAA_Bets[Result],"W")&amp;"-"&amp;COUNTIFS(NCAA_Bets[Date],M1126,NCAA_Bets[Result],"L")&amp;IF(COUNTIFS(NCAA_Bets[Date],M1126,NCAA_Bets[Result],"Push")&gt;0,"-"&amp;COUNTIFS(NCAA_Bets[Date],M1126,NCAA_Bets[Result],"Push"),"")</f>
        <v>0-0</v>
      </c>
      <c r="P1126" s="90">
        <f>SUMIF(NCAA_Bets[Date],M1126,NCAA_Bets[Winnings])-SUMIF(NCAA_Bets[Date],M1126,NCAA_Bets[Risk])</f>
        <v>0</v>
      </c>
    </row>
    <row r="1127" spans="2:16" x14ac:dyDescent="0.25">
      <c r="B1127" s="101">
        <f t="shared" si="50"/>
        <v>33</v>
      </c>
      <c r="L1127" s="71">
        <f t="shared" si="52"/>
        <v>0</v>
      </c>
      <c r="M1127" s="71">
        <f t="shared" si="51"/>
        <v>0</v>
      </c>
      <c r="N1127" s="71" t="str">
        <f>IFERROR(VLOOKUP(M1127,NCAA_Bets[[Date]:[Version]],2,0),"")</f>
        <v/>
      </c>
      <c r="O1127" s="94" t="str">
        <f>COUNTIFS(NCAA_Bets[Date],M1127,NCAA_Bets[Result],"W")&amp;"-"&amp;COUNTIFS(NCAA_Bets[Date],M1127,NCAA_Bets[Result],"L")&amp;IF(COUNTIFS(NCAA_Bets[Date],M1127,NCAA_Bets[Result],"Push")&gt;0,"-"&amp;COUNTIFS(NCAA_Bets[Date],M1127,NCAA_Bets[Result],"Push"),"")</f>
        <v>0-0</v>
      </c>
      <c r="P1127" s="90">
        <f>SUMIF(NCAA_Bets[Date],M1127,NCAA_Bets[Winnings])-SUMIF(NCAA_Bets[Date],M1127,NCAA_Bets[Risk])</f>
        <v>0</v>
      </c>
    </row>
    <row r="1128" spans="2:16" x14ac:dyDescent="0.25">
      <c r="B1128" s="101">
        <f t="shared" si="50"/>
        <v>33</v>
      </c>
      <c r="L1128" s="71">
        <f t="shared" si="52"/>
        <v>0</v>
      </c>
      <c r="M1128" s="71">
        <f t="shared" si="51"/>
        <v>0</v>
      </c>
      <c r="N1128" s="71" t="str">
        <f>IFERROR(VLOOKUP(M1128,NCAA_Bets[[Date]:[Version]],2,0),"")</f>
        <v/>
      </c>
      <c r="O1128" s="94" t="str">
        <f>COUNTIFS(NCAA_Bets[Date],M1128,NCAA_Bets[Result],"W")&amp;"-"&amp;COUNTIFS(NCAA_Bets[Date],M1128,NCAA_Bets[Result],"L")&amp;IF(COUNTIFS(NCAA_Bets[Date],M1128,NCAA_Bets[Result],"Push")&gt;0,"-"&amp;COUNTIFS(NCAA_Bets[Date],M1128,NCAA_Bets[Result],"Push"),"")</f>
        <v>0-0</v>
      </c>
      <c r="P1128" s="90">
        <f>SUMIF(NCAA_Bets[Date],M1128,NCAA_Bets[Winnings])-SUMIF(NCAA_Bets[Date],M1128,NCAA_Bets[Risk])</f>
        <v>0</v>
      </c>
    </row>
    <row r="1129" spans="2:16" x14ac:dyDescent="0.25">
      <c r="B1129" s="101">
        <f t="shared" si="50"/>
        <v>33</v>
      </c>
      <c r="L1129" s="71">
        <f t="shared" si="52"/>
        <v>0</v>
      </c>
      <c r="M1129" s="71">
        <f t="shared" si="51"/>
        <v>0</v>
      </c>
      <c r="N1129" s="71" t="str">
        <f>IFERROR(VLOOKUP(M1129,NCAA_Bets[[Date]:[Version]],2,0),"")</f>
        <v/>
      </c>
      <c r="O1129" s="94" t="str">
        <f>COUNTIFS(NCAA_Bets[Date],M1129,NCAA_Bets[Result],"W")&amp;"-"&amp;COUNTIFS(NCAA_Bets[Date],M1129,NCAA_Bets[Result],"L")&amp;IF(COUNTIFS(NCAA_Bets[Date],M1129,NCAA_Bets[Result],"Push")&gt;0,"-"&amp;COUNTIFS(NCAA_Bets[Date],M1129,NCAA_Bets[Result],"Push"),"")</f>
        <v>0-0</v>
      </c>
      <c r="P1129" s="90">
        <f>SUMIF(NCAA_Bets[Date],M1129,NCAA_Bets[Winnings])-SUMIF(NCAA_Bets[Date],M1129,NCAA_Bets[Risk])</f>
        <v>0</v>
      </c>
    </row>
    <row r="1130" spans="2:16" x14ac:dyDescent="0.25">
      <c r="B1130" s="101">
        <f t="shared" si="50"/>
        <v>33</v>
      </c>
      <c r="L1130" s="71">
        <f t="shared" si="52"/>
        <v>0</v>
      </c>
      <c r="M1130" s="71">
        <f t="shared" si="51"/>
        <v>0</v>
      </c>
      <c r="N1130" s="71" t="str">
        <f>IFERROR(VLOOKUP(M1130,NCAA_Bets[[Date]:[Version]],2,0),"")</f>
        <v/>
      </c>
      <c r="O1130" s="94" t="str">
        <f>COUNTIFS(NCAA_Bets[Date],M1130,NCAA_Bets[Result],"W")&amp;"-"&amp;COUNTIFS(NCAA_Bets[Date],M1130,NCAA_Bets[Result],"L")&amp;IF(COUNTIFS(NCAA_Bets[Date],M1130,NCAA_Bets[Result],"Push")&gt;0,"-"&amp;COUNTIFS(NCAA_Bets[Date],M1130,NCAA_Bets[Result],"Push"),"")</f>
        <v>0-0</v>
      </c>
      <c r="P1130" s="90">
        <f>SUMIF(NCAA_Bets[Date],M1130,NCAA_Bets[Winnings])-SUMIF(NCAA_Bets[Date],M1130,NCAA_Bets[Risk])</f>
        <v>0</v>
      </c>
    </row>
    <row r="1131" spans="2:16" x14ac:dyDescent="0.25">
      <c r="B1131" s="101">
        <f t="shared" si="50"/>
        <v>33</v>
      </c>
      <c r="L1131" s="71">
        <f t="shared" si="52"/>
        <v>0</v>
      </c>
      <c r="M1131" s="71">
        <f t="shared" si="51"/>
        <v>0</v>
      </c>
      <c r="N1131" s="71" t="str">
        <f>IFERROR(VLOOKUP(M1131,NCAA_Bets[[Date]:[Version]],2,0),"")</f>
        <v/>
      </c>
      <c r="O1131" s="94" t="str">
        <f>COUNTIFS(NCAA_Bets[Date],M1131,NCAA_Bets[Result],"W")&amp;"-"&amp;COUNTIFS(NCAA_Bets[Date],M1131,NCAA_Bets[Result],"L")&amp;IF(COUNTIFS(NCAA_Bets[Date],M1131,NCAA_Bets[Result],"Push")&gt;0,"-"&amp;COUNTIFS(NCAA_Bets[Date],M1131,NCAA_Bets[Result],"Push"),"")</f>
        <v>0-0</v>
      </c>
      <c r="P1131" s="90">
        <f>SUMIF(NCAA_Bets[Date],M1131,NCAA_Bets[Winnings])-SUMIF(NCAA_Bets[Date],M1131,NCAA_Bets[Risk])</f>
        <v>0</v>
      </c>
    </row>
    <row r="1132" spans="2:16" x14ac:dyDescent="0.25">
      <c r="B1132" s="101">
        <f t="shared" si="50"/>
        <v>33</v>
      </c>
      <c r="L1132" s="71">
        <f t="shared" si="52"/>
        <v>0</v>
      </c>
      <c r="M1132" s="71">
        <f t="shared" si="51"/>
        <v>0</v>
      </c>
      <c r="N1132" s="71" t="str">
        <f>IFERROR(VLOOKUP(M1132,NCAA_Bets[[Date]:[Version]],2,0),"")</f>
        <v/>
      </c>
      <c r="O1132" s="94" t="str">
        <f>COUNTIFS(NCAA_Bets[Date],M1132,NCAA_Bets[Result],"W")&amp;"-"&amp;COUNTIFS(NCAA_Bets[Date],M1132,NCAA_Bets[Result],"L")&amp;IF(COUNTIFS(NCAA_Bets[Date],M1132,NCAA_Bets[Result],"Push")&gt;0,"-"&amp;COUNTIFS(NCAA_Bets[Date],M1132,NCAA_Bets[Result],"Push"),"")</f>
        <v>0-0</v>
      </c>
      <c r="P1132" s="90">
        <f>SUMIF(NCAA_Bets[Date],M1132,NCAA_Bets[Winnings])-SUMIF(NCAA_Bets[Date],M1132,NCAA_Bets[Risk])</f>
        <v>0</v>
      </c>
    </row>
    <row r="1133" spans="2:16" x14ac:dyDescent="0.25">
      <c r="B1133" s="101">
        <f t="shared" si="50"/>
        <v>33</v>
      </c>
      <c r="L1133" s="71">
        <f t="shared" si="52"/>
        <v>0</v>
      </c>
      <c r="M1133" s="71">
        <f t="shared" si="51"/>
        <v>0</v>
      </c>
      <c r="N1133" s="71" t="str">
        <f>IFERROR(VLOOKUP(M1133,NCAA_Bets[[Date]:[Version]],2,0),"")</f>
        <v/>
      </c>
      <c r="O1133" s="94" t="str">
        <f>COUNTIFS(NCAA_Bets[Date],M1133,NCAA_Bets[Result],"W")&amp;"-"&amp;COUNTIFS(NCAA_Bets[Date],M1133,NCAA_Bets[Result],"L")&amp;IF(COUNTIFS(NCAA_Bets[Date],M1133,NCAA_Bets[Result],"Push")&gt;0,"-"&amp;COUNTIFS(NCAA_Bets[Date],M1133,NCAA_Bets[Result],"Push"),"")</f>
        <v>0-0</v>
      </c>
      <c r="P1133" s="90">
        <f>SUMIF(NCAA_Bets[Date],M1133,NCAA_Bets[Winnings])-SUMIF(NCAA_Bets[Date],M1133,NCAA_Bets[Risk])</f>
        <v>0</v>
      </c>
    </row>
    <row r="1134" spans="2:16" x14ac:dyDescent="0.25">
      <c r="B1134" s="101">
        <f t="shared" si="50"/>
        <v>33</v>
      </c>
      <c r="L1134" s="71">
        <f t="shared" si="52"/>
        <v>0</v>
      </c>
      <c r="M1134" s="71">
        <f t="shared" si="51"/>
        <v>0</v>
      </c>
      <c r="N1134" s="71" t="str">
        <f>IFERROR(VLOOKUP(M1134,NCAA_Bets[[Date]:[Version]],2,0),"")</f>
        <v/>
      </c>
      <c r="O1134" s="94" t="str">
        <f>COUNTIFS(NCAA_Bets[Date],M1134,NCAA_Bets[Result],"W")&amp;"-"&amp;COUNTIFS(NCAA_Bets[Date],M1134,NCAA_Bets[Result],"L")&amp;IF(COUNTIFS(NCAA_Bets[Date],M1134,NCAA_Bets[Result],"Push")&gt;0,"-"&amp;COUNTIFS(NCAA_Bets[Date],M1134,NCAA_Bets[Result],"Push"),"")</f>
        <v>0-0</v>
      </c>
      <c r="P1134" s="90">
        <f>SUMIF(NCAA_Bets[Date],M1134,NCAA_Bets[Winnings])-SUMIF(NCAA_Bets[Date],M1134,NCAA_Bets[Risk])</f>
        <v>0</v>
      </c>
    </row>
    <row r="1135" spans="2:16" x14ac:dyDescent="0.25">
      <c r="B1135" s="101">
        <f t="shared" si="50"/>
        <v>33</v>
      </c>
      <c r="L1135" s="71">
        <f t="shared" si="52"/>
        <v>0</v>
      </c>
      <c r="M1135" s="71">
        <f t="shared" si="51"/>
        <v>0</v>
      </c>
      <c r="N1135" s="71" t="str">
        <f>IFERROR(VLOOKUP(M1135,NCAA_Bets[[Date]:[Version]],2,0),"")</f>
        <v/>
      </c>
      <c r="O1135" s="94" t="str">
        <f>COUNTIFS(NCAA_Bets[Date],M1135,NCAA_Bets[Result],"W")&amp;"-"&amp;COUNTIFS(NCAA_Bets[Date],M1135,NCAA_Bets[Result],"L")&amp;IF(COUNTIFS(NCAA_Bets[Date],M1135,NCAA_Bets[Result],"Push")&gt;0,"-"&amp;COUNTIFS(NCAA_Bets[Date],M1135,NCAA_Bets[Result],"Push"),"")</f>
        <v>0-0</v>
      </c>
      <c r="P1135" s="90">
        <f>SUMIF(NCAA_Bets[Date],M1135,NCAA_Bets[Winnings])-SUMIF(NCAA_Bets[Date],M1135,NCAA_Bets[Risk])</f>
        <v>0</v>
      </c>
    </row>
    <row r="1136" spans="2:16" x14ac:dyDescent="0.25">
      <c r="B1136" s="101">
        <f t="shared" si="50"/>
        <v>33</v>
      </c>
      <c r="L1136" s="71">
        <f t="shared" si="52"/>
        <v>0</v>
      </c>
      <c r="M1136" s="71">
        <f t="shared" si="51"/>
        <v>0</v>
      </c>
      <c r="N1136" s="71" t="str">
        <f>IFERROR(VLOOKUP(M1136,NCAA_Bets[[Date]:[Version]],2,0),"")</f>
        <v/>
      </c>
      <c r="O1136" s="94" t="str">
        <f>COUNTIFS(NCAA_Bets[Date],M1136,NCAA_Bets[Result],"W")&amp;"-"&amp;COUNTIFS(NCAA_Bets[Date],M1136,NCAA_Bets[Result],"L")&amp;IF(COUNTIFS(NCAA_Bets[Date],M1136,NCAA_Bets[Result],"Push")&gt;0,"-"&amp;COUNTIFS(NCAA_Bets[Date],M1136,NCAA_Bets[Result],"Push"),"")</f>
        <v>0-0</v>
      </c>
      <c r="P1136" s="90">
        <f>SUMIF(NCAA_Bets[Date],M1136,NCAA_Bets[Winnings])-SUMIF(NCAA_Bets[Date],M1136,NCAA_Bets[Risk])</f>
        <v>0</v>
      </c>
    </row>
    <row r="1137" spans="2:16" x14ac:dyDescent="0.25">
      <c r="B1137" s="101">
        <f t="shared" si="50"/>
        <v>33</v>
      </c>
      <c r="L1137" s="71">
        <f t="shared" si="52"/>
        <v>0</v>
      </c>
      <c r="M1137" s="71">
        <f t="shared" si="51"/>
        <v>0</v>
      </c>
      <c r="N1137" s="71" t="str">
        <f>IFERROR(VLOOKUP(M1137,NCAA_Bets[[Date]:[Version]],2,0),"")</f>
        <v/>
      </c>
      <c r="O1137" s="94" t="str">
        <f>COUNTIFS(NCAA_Bets[Date],M1137,NCAA_Bets[Result],"W")&amp;"-"&amp;COUNTIFS(NCAA_Bets[Date],M1137,NCAA_Bets[Result],"L")&amp;IF(COUNTIFS(NCAA_Bets[Date],M1137,NCAA_Bets[Result],"Push")&gt;0,"-"&amp;COUNTIFS(NCAA_Bets[Date],M1137,NCAA_Bets[Result],"Push"),"")</f>
        <v>0-0</v>
      </c>
      <c r="P1137" s="90">
        <f>SUMIF(NCAA_Bets[Date],M1137,NCAA_Bets[Winnings])-SUMIF(NCAA_Bets[Date],M1137,NCAA_Bets[Risk])</f>
        <v>0</v>
      </c>
    </row>
    <row r="1138" spans="2:16" x14ac:dyDescent="0.25">
      <c r="B1138" s="101">
        <f t="shared" si="50"/>
        <v>33</v>
      </c>
      <c r="L1138" s="71">
        <f t="shared" si="52"/>
        <v>0</v>
      </c>
      <c r="M1138" s="71">
        <f t="shared" si="51"/>
        <v>0</v>
      </c>
      <c r="N1138" s="71" t="str">
        <f>IFERROR(VLOOKUP(M1138,NCAA_Bets[[Date]:[Version]],2,0),"")</f>
        <v/>
      </c>
      <c r="O1138" s="94" t="str">
        <f>COUNTIFS(NCAA_Bets[Date],M1138,NCAA_Bets[Result],"W")&amp;"-"&amp;COUNTIFS(NCAA_Bets[Date],M1138,NCAA_Bets[Result],"L")&amp;IF(COUNTIFS(NCAA_Bets[Date],M1138,NCAA_Bets[Result],"Push")&gt;0,"-"&amp;COUNTIFS(NCAA_Bets[Date],M1138,NCAA_Bets[Result],"Push"),"")</f>
        <v>0-0</v>
      </c>
      <c r="P1138" s="90">
        <f>SUMIF(NCAA_Bets[Date],M1138,NCAA_Bets[Winnings])-SUMIF(NCAA_Bets[Date],M1138,NCAA_Bets[Risk])</f>
        <v>0</v>
      </c>
    </row>
    <row r="1139" spans="2:16" x14ac:dyDescent="0.25">
      <c r="B1139" s="101">
        <f t="shared" si="50"/>
        <v>33</v>
      </c>
      <c r="L1139" s="71">
        <f t="shared" si="52"/>
        <v>0</v>
      </c>
      <c r="M1139" s="71">
        <f t="shared" si="51"/>
        <v>0</v>
      </c>
      <c r="N1139" s="71" t="str">
        <f>IFERROR(VLOOKUP(M1139,NCAA_Bets[[Date]:[Version]],2,0),"")</f>
        <v/>
      </c>
      <c r="O1139" s="94" t="str">
        <f>COUNTIFS(NCAA_Bets[Date],M1139,NCAA_Bets[Result],"W")&amp;"-"&amp;COUNTIFS(NCAA_Bets[Date],M1139,NCAA_Bets[Result],"L")&amp;IF(COUNTIFS(NCAA_Bets[Date],M1139,NCAA_Bets[Result],"Push")&gt;0,"-"&amp;COUNTIFS(NCAA_Bets[Date],M1139,NCAA_Bets[Result],"Push"),"")</f>
        <v>0-0</v>
      </c>
      <c r="P1139" s="90">
        <f>SUMIF(NCAA_Bets[Date],M1139,NCAA_Bets[Winnings])-SUMIF(NCAA_Bets[Date],M1139,NCAA_Bets[Risk])</f>
        <v>0</v>
      </c>
    </row>
    <row r="1140" spans="2:16" x14ac:dyDescent="0.25">
      <c r="B1140" s="101">
        <f t="shared" si="50"/>
        <v>33</v>
      </c>
      <c r="L1140" s="71">
        <f t="shared" si="52"/>
        <v>0</v>
      </c>
      <c r="M1140" s="71">
        <f t="shared" si="51"/>
        <v>0</v>
      </c>
      <c r="N1140" s="71" t="str">
        <f>IFERROR(VLOOKUP(M1140,NCAA_Bets[[Date]:[Version]],2,0),"")</f>
        <v/>
      </c>
      <c r="O1140" s="94" t="str">
        <f>COUNTIFS(NCAA_Bets[Date],M1140,NCAA_Bets[Result],"W")&amp;"-"&amp;COUNTIFS(NCAA_Bets[Date],M1140,NCAA_Bets[Result],"L")&amp;IF(COUNTIFS(NCAA_Bets[Date],M1140,NCAA_Bets[Result],"Push")&gt;0,"-"&amp;COUNTIFS(NCAA_Bets[Date],M1140,NCAA_Bets[Result],"Push"),"")</f>
        <v>0-0</v>
      </c>
      <c r="P1140" s="90">
        <f>SUMIF(NCAA_Bets[Date],M1140,NCAA_Bets[Winnings])-SUMIF(NCAA_Bets[Date],M1140,NCAA_Bets[Risk])</f>
        <v>0</v>
      </c>
    </row>
    <row r="1141" spans="2:16" x14ac:dyDescent="0.25">
      <c r="B1141" s="101">
        <f t="shared" si="50"/>
        <v>33</v>
      </c>
      <c r="L1141" s="71">
        <f t="shared" si="52"/>
        <v>0</v>
      </c>
      <c r="M1141" s="71">
        <f t="shared" si="51"/>
        <v>0</v>
      </c>
      <c r="N1141" s="71" t="str">
        <f>IFERROR(VLOOKUP(M1141,NCAA_Bets[[Date]:[Version]],2,0),"")</f>
        <v/>
      </c>
      <c r="O1141" s="94" t="str">
        <f>COUNTIFS(NCAA_Bets[Date],M1141,NCAA_Bets[Result],"W")&amp;"-"&amp;COUNTIFS(NCAA_Bets[Date],M1141,NCAA_Bets[Result],"L")&amp;IF(COUNTIFS(NCAA_Bets[Date],M1141,NCAA_Bets[Result],"Push")&gt;0,"-"&amp;COUNTIFS(NCAA_Bets[Date],M1141,NCAA_Bets[Result],"Push"),"")</f>
        <v>0-0</v>
      </c>
      <c r="P1141" s="90">
        <f>SUMIF(NCAA_Bets[Date],M1141,NCAA_Bets[Winnings])-SUMIF(NCAA_Bets[Date],M1141,NCAA_Bets[Risk])</f>
        <v>0</v>
      </c>
    </row>
    <row r="1142" spans="2:16" x14ac:dyDescent="0.25">
      <c r="B1142" s="101">
        <f t="shared" si="50"/>
        <v>33</v>
      </c>
      <c r="L1142" s="71">
        <f t="shared" si="52"/>
        <v>0</v>
      </c>
      <c r="M1142" s="71">
        <f t="shared" si="51"/>
        <v>0</v>
      </c>
      <c r="N1142" s="71" t="str">
        <f>IFERROR(VLOOKUP(M1142,NCAA_Bets[[Date]:[Version]],2,0),"")</f>
        <v/>
      </c>
      <c r="O1142" s="94" t="str">
        <f>COUNTIFS(NCAA_Bets[Date],M1142,NCAA_Bets[Result],"W")&amp;"-"&amp;COUNTIFS(NCAA_Bets[Date],M1142,NCAA_Bets[Result],"L")&amp;IF(COUNTIFS(NCAA_Bets[Date],M1142,NCAA_Bets[Result],"Push")&gt;0,"-"&amp;COUNTIFS(NCAA_Bets[Date],M1142,NCAA_Bets[Result],"Push"),"")</f>
        <v>0-0</v>
      </c>
      <c r="P1142" s="90">
        <f>SUMIF(NCAA_Bets[Date],M1142,NCAA_Bets[Winnings])-SUMIF(NCAA_Bets[Date],M1142,NCAA_Bets[Risk])</f>
        <v>0</v>
      </c>
    </row>
    <row r="1143" spans="2:16" x14ac:dyDescent="0.25">
      <c r="B1143" s="101">
        <f t="shared" si="50"/>
        <v>33</v>
      </c>
      <c r="L1143" s="71">
        <f t="shared" si="52"/>
        <v>0</v>
      </c>
      <c r="M1143" s="71">
        <f t="shared" si="51"/>
        <v>0</v>
      </c>
      <c r="N1143" s="71" t="str">
        <f>IFERROR(VLOOKUP(M1143,NCAA_Bets[[Date]:[Version]],2,0),"")</f>
        <v/>
      </c>
      <c r="O1143" s="94" t="str">
        <f>COUNTIFS(NCAA_Bets[Date],M1143,NCAA_Bets[Result],"W")&amp;"-"&amp;COUNTIFS(NCAA_Bets[Date],M1143,NCAA_Bets[Result],"L")&amp;IF(COUNTIFS(NCAA_Bets[Date],M1143,NCAA_Bets[Result],"Push")&gt;0,"-"&amp;COUNTIFS(NCAA_Bets[Date],M1143,NCAA_Bets[Result],"Push"),"")</f>
        <v>0-0</v>
      </c>
      <c r="P1143" s="90">
        <f>SUMIF(NCAA_Bets[Date],M1143,NCAA_Bets[Winnings])-SUMIF(NCAA_Bets[Date],M1143,NCAA_Bets[Risk])</f>
        <v>0</v>
      </c>
    </row>
    <row r="1144" spans="2:16" x14ac:dyDescent="0.25">
      <c r="B1144" s="101">
        <f t="shared" si="50"/>
        <v>33</v>
      </c>
      <c r="L1144" s="71">
        <f t="shared" si="52"/>
        <v>0</v>
      </c>
      <c r="M1144" s="71">
        <f t="shared" si="51"/>
        <v>0</v>
      </c>
      <c r="N1144" s="71" t="str">
        <f>IFERROR(VLOOKUP(M1144,NCAA_Bets[[Date]:[Version]],2,0),"")</f>
        <v/>
      </c>
      <c r="O1144" s="94" t="str">
        <f>COUNTIFS(NCAA_Bets[Date],M1144,NCAA_Bets[Result],"W")&amp;"-"&amp;COUNTIFS(NCAA_Bets[Date],M1144,NCAA_Bets[Result],"L")&amp;IF(COUNTIFS(NCAA_Bets[Date],M1144,NCAA_Bets[Result],"Push")&gt;0,"-"&amp;COUNTIFS(NCAA_Bets[Date],M1144,NCAA_Bets[Result],"Push"),"")</f>
        <v>0-0</v>
      </c>
      <c r="P1144" s="90">
        <f>SUMIF(NCAA_Bets[Date],M1144,NCAA_Bets[Winnings])-SUMIF(NCAA_Bets[Date],M1144,NCAA_Bets[Risk])</f>
        <v>0</v>
      </c>
    </row>
    <row r="1145" spans="2:16" x14ac:dyDescent="0.25">
      <c r="B1145" s="101">
        <f t="shared" si="50"/>
        <v>33</v>
      </c>
      <c r="L1145" s="71">
        <f t="shared" si="52"/>
        <v>0</v>
      </c>
      <c r="M1145" s="71">
        <f t="shared" si="51"/>
        <v>0</v>
      </c>
      <c r="N1145" s="71" t="str">
        <f>IFERROR(VLOOKUP(M1145,NCAA_Bets[[Date]:[Version]],2,0),"")</f>
        <v/>
      </c>
      <c r="O1145" s="94" t="str">
        <f>COUNTIFS(NCAA_Bets[Date],M1145,NCAA_Bets[Result],"W")&amp;"-"&amp;COUNTIFS(NCAA_Bets[Date],M1145,NCAA_Bets[Result],"L")&amp;IF(COUNTIFS(NCAA_Bets[Date],M1145,NCAA_Bets[Result],"Push")&gt;0,"-"&amp;COUNTIFS(NCAA_Bets[Date],M1145,NCAA_Bets[Result],"Push"),"")</f>
        <v>0-0</v>
      </c>
      <c r="P1145" s="90">
        <f>SUMIF(NCAA_Bets[Date],M1145,NCAA_Bets[Winnings])-SUMIF(NCAA_Bets[Date],M1145,NCAA_Bets[Risk])</f>
        <v>0</v>
      </c>
    </row>
    <row r="1146" spans="2:16" x14ac:dyDescent="0.25">
      <c r="B1146" s="101">
        <f t="shared" si="50"/>
        <v>33</v>
      </c>
      <c r="L1146" s="71">
        <f t="shared" si="52"/>
        <v>0</v>
      </c>
      <c r="M1146" s="71">
        <f t="shared" si="51"/>
        <v>0</v>
      </c>
      <c r="N1146" s="71" t="str">
        <f>IFERROR(VLOOKUP(M1146,NCAA_Bets[[Date]:[Version]],2,0),"")</f>
        <v/>
      </c>
      <c r="O1146" s="94" t="str">
        <f>COUNTIFS(NCAA_Bets[Date],M1146,NCAA_Bets[Result],"W")&amp;"-"&amp;COUNTIFS(NCAA_Bets[Date],M1146,NCAA_Bets[Result],"L")&amp;IF(COUNTIFS(NCAA_Bets[Date],M1146,NCAA_Bets[Result],"Push")&gt;0,"-"&amp;COUNTIFS(NCAA_Bets[Date],M1146,NCAA_Bets[Result],"Push"),"")</f>
        <v>0-0</v>
      </c>
      <c r="P1146" s="90">
        <f>SUMIF(NCAA_Bets[Date],M1146,NCAA_Bets[Winnings])-SUMIF(NCAA_Bets[Date],M1146,NCAA_Bets[Risk])</f>
        <v>0</v>
      </c>
    </row>
    <row r="1147" spans="2:16" x14ac:dyDescent="0.25">
      <c r="B1147" s="101">
        <f t="shared" si="50"/>
        <v>33</v>
      </c>
      <c r="L1147" s="71">
        <f t="shared" si="52"/>
        <v>0</v>
      </c>
      <c r="M1147" s="71">
        <f t="shared" si="51"/>
        <v>0</v>
      </c>
      <c r="N1147" s="71" t="str">
        <f>IFERROR(VLOOKUP(M1147,NCAA_Bets[[Date]:[Version]],2,0),"")</f>
        <v/>
      </c>
      <c r="O1147" s="94" t="str">
        <f>COUNTIFS(NCAA_Bets[Date],M1147,NCAA_Bets[Result],"W")&amp;"-"&amp;COUNTIFS(NCAA_Bets[Date],M1147,NCAA_Bets[Result],"L")&amp;IF(COUNTIFS(NCAA_Bets[Date],M1147,NCAA_Bets[Result],"Push")&gt;0,"-"&amp;COUNTIFS(NCAA_Bets[Date],M1147,NCAA_Bets[Result],"Push"),"")</f>
        <v>0-0</v>
      </c>
      <c r="P1147" s="90">
        <f>SUMIF(NCAA_Bets[Date],M1147,NCAA_Bets[Winnings])-SUMIF(NCAA_Bets[Date],M1147,NCAA_Bets[Risk])</f>
        <v>0</v>
      </c>
    </row>
    <row r="1148" spans="2:16" x14ac:dyDescent="0.25">
      <c r="B1148" s="101">
        <f t="shared" si="50"/>
        <v>33</v>
      </c>
      <c r="L1148" s="71">
        <f t="shared" si="52"/>
        <v>0</v>
      </c>
      <c r="M1148" s="71">
        <f t="shared" si="51"/>
        <v>0</v>
      </c>
      <c r="N1148" s="71" t="str">
        <f>IFERROR(VLOOKUP(M1148,NCAA_Bets[[Date]:[Version]],2,0),"")</f>
        <v/>
      </c>
      <c r="O1148" s="94" t="str">
        <f>COUNTIFS(NCAA_Bets[Date],M1148,NCAA_Bets[Result],"W")&amp;"-"&amp;COUNTIFS(NCAA_Bets[Date],M1148,NCAA_Bets[Result],"L")&amp;IF(COUNTIFS(NCAA_Bets[Date],M1148,NCAA_Bets[Result],"Push")&gt;0,"-"&amp;COUNTIFS(NCAA_Bets[Date],M1148,NCAA_Bets[Result],"Push"),"")</f>
        <v>0-0</v>
      </c>
      <c r="P1148" s="90">
        <f>SUMIF(NCAA_Bets[Date],M1148,NCAA_Bets[Winnings])-SUMIF(NCAA_Bets[Date],M1148,NCAA_Bets[Risk])</f>
        <v>0</v>
      </c>
    </row>
    <row r="1149" spans="2:16" x14ac:dyDescent="0.25">
      <c r="B1149" s="101">
        <f t="shared" si="50"/>
        <v>33</v>
      </c>
      <c r="L1149" s="71">
        <f t="shared" si="52"/>
        <v>0</v>
      </c>
      <c r="M1149" s="71">
        <f t="shared" si="51"/>
        <v>0</v>
      </c>
      <c r="N1149" s="71" t="str">
        <f>IFERROR(VLOOKUP(M1149,NCAA_Bets[[Date]:[Version]],2,0),"")</f>
        <v/>
      </c>
      <c r="O1149" s="94" t="str">
        <f>COUNTIFS(NCAA_Bets[Date],M1149,NCAA_Bets[Result],"W")&amp;"-"&amp;COUNTIFS(NCAA_Bets[Date],M1149,NCAA_Bets[Result],"L")&amp;IF(COUNTIFS(NCAA_Bets[Date],M1149,NCAA_Bets[Result],"Push")&gt;0,"-"&amp;COUNTIFS(NCAA_Bets[Date],M1149,NCAA_Bets[Result],"Push"),"")</f>
        <v>0-0</v>
      </c>
      <c r="P1149" s="90">
        <f>SUMIF(NCAA_Bets[Date],M1149,NCAA_Bets[Winnings])-SUMIF(NCAA_Bets[Date],M1149,NCAA_Bets[Risk])</f>
        <v>0</v>
      </c>
    </row>
    <row r="1150" spans="2:16" x14ac:dyDescent="0.25">
      <c r="B1150" s="101">
        <f t="shared" si="50"/>
        <v>33</v>
      </c>
      <c r="L1150" s="71">
        <f t="shared" si="52"/>
        <v>0</v>
      </c>
      <c r="M1150" s="71">
        <f t="shared" si="51"/>
        <v>0</v>
      </c>
      <c r="N1150" s="71" t="str">
        <f>IFERROR(VLOOKUP(M1150,NCAA_Bets[[Date]:[Version]],2,0),"")</f>
        <v/>
      </c>
      <c r="O1150" s="94" t="str">
        <f>COUNTIFS(NCAA_Bets[Date],M1150,NCAA_Bets[Result],"W")&amp;"-"&amp;COUNTIFS(NCAA_Bets[Date],M1150,NCAA_Bets[Result],"L")&amp;IF(COUNTIFS(NCAA_Bets[Date],M1150,NCAA_Bets[Result],"Push")&gt;0,"-"&amp;COUNTIFS(NCAA_Bets[Date],M1150,NCAA_Bets[Result],"Push"),"")</f>
        <v>0-0</v>
      </c>
      <c r="P1150" s="90">
        <f>SUMIF(NCAA_Bets[Date],M1150,NCAA_Bets[Winnings])-SUMIF(NCAA_Bets[Date],M1150,NCAA_Bets[Risk])</f>
        <v>0</v>
      </c>
    </row>
    <row r="1151" spans="2:16" x14ac:dyDescent="0.25">
      <c r="B1151" s="101">
        <f t="shared" si="50"/>
        <v>33</v>
      </c>
      <c r="L1151" s="71">
        <f t="shared" si="52"/>
        <v>0</v>
      </c>
      <c r="M1151" s="71">
        <f t="shared" si="51"/>
        <v>0</v>
      </c>
      <c r="N1151" s="71" t="str">
        <f>IFERROR(VLOOKUP(M1151,NCAA_Bets[[Date]:[Version]],2,0),"")</f>
        <v/>
      </c>
      <c r="O1151" s="94" t="str">
        <f>COUNTIFS(NCAA_Bets[Date],M1151,NCAA_Bets[Result],"W")&amp;"-"&amp;COUNTIFS(NCAA_Bets[Date],M1151,NCAA_Bets[Result],"L")&amp;IF(COUNTIFS(NCAA_Bets[Date],M1151,NCAA_Bets[Result],"Push")&gt;0,"-"&amp;COUNTIFS(NCAA_Bets[Date],M1151,NCAA_Bets[Result],"Push"),"")</f>
        <v>0-0</v>
      </c>
      <c r="P1151" s="90">
        <f>SUMIF(NCAA_Bets[Date],M1151,NCAA_Bets[Winnings])-SUMIF(NCAA_Bets[Date],M1151,NCAA_Bets[Risk])</f>
        <v>0</v>
      </c>
    </row>
    <row r="1152" spans="2:16" x14ac:dyDescent="0.25">
      <c r="B1152" s="101">
        <f t="shared" si="50"/>
        <v>33</v>
      </c>
      <c r="L1152" s="71">
        <f t="shared" si="52"/>
        <v>0</v>
      </c>
      <c r="M1152" s="71">
        <f t="shared" si="51"/>
        <v>0</v>
      </c>
      <c r="N1152" s="71" t="str">
        <f>IFERROR(VLOOKUP(M1152,NCAA_Bets[[Date]:[Version]],2,0),"")</f>
        <v/>
      </c>
      <c r="O1152" s="94" t="str">
        <f>COUNTIFS(NCAA_Bets[Date],M1152,NCAA_Bets[Result],"W")&amp;"-"&amp;COUNTIFS(NCAA_Bets[Date],M1152,NCAA_Bets[Result],"L")&amp;IF(COUNTIFS(NCAA_Bets[Date],M1152,NCAA_Bets[Result],"Push")&gt;0,"-"&amp;COUNTIFS(NCAA_Bets[Date],M1152,NCAA_Bets[Result],"Push"),"")</f>
        <v>0-0</v>
      </c>
      <c r="P1152" s="90">
        <f>SUMIF(NCAA_Bets[Date],M1152,NCAA_Bets[Winnings])-SUMIF(NCAA_Bets[Date],M1152,NCAA_Bets[Risk])</f>
        <v>0</v>
      </c>
    </row>
    <row r="1153" spans="2:16" x14ac:dyDescent="0.25">
      <c r="B1153" s="101">
        <f t="shared" si="50"/>
        <v>33</v>
      </c>
      <c r="L1153" s="71">
        <f t="shared" si="52"/>
        <v>0</v>
      </c>
      <c r="M1153" s="71">
        <f t="shared" si="51"/>
        <v>0</v>
      </c>
      <c r="N1153" s="71" t="str">
        <f>IFERROR(VLOOKUP(M1153,NCAA_Bets[[Date]:[Version]],2,0),"")</f>
        <v/>
      </c>
      <c r="O1153" s="94" t="str">
        <f>COUNTIFS(NCAA_Bets[Date],M1153,NCAA_Bets[Result],"W")&amp;"-"&amp;COUNTIFS(NCAA_Bets[Date],M1153,NCAA_Bets[Result],"L")&amp;IF(COUNTIFS(NCAA_Bets[Date],M1153,NCAA_Bets[Result],"Push")&gt;0,"-"&amp;COUNTIFS(NCAA_Bets[Date],M1153,NCAA_Bets[Result],"Push"),"")</f>
        <v>0-0</v>
      </c>
      <c r="P1153" s="90">
        <f>SUMIF(NCAA_Bets[Date],M1153,NCAA_Bets[Winnings])-SUMIF(NCAA_Bets[Date],M1153,NCAA_Bets[Risk])</f>
        <v>0</v>
      </c>
    </row>
    <row r="1154" spans="2:16" x14ac:dyDescent="0.25">
      <c r="B1154" s="101">
        <f t="shared" si="50"/>
        <v>33</v>
      </c>
      <c r="L1154" s="71">
        <f t="shared" si="52"/>
        <v>0</v>
      </c>
      <c r="M1154" s="71">
        <f t="shared" si="51"/>
        <v>0</v>
      </c>
      <c r="N1154" s="71" t="str">
        <f>IFERROR(VLOOKUP(M1154,NCAA_Bets[[Date]:[Version]],2,0),"")</f>
        <v/>
      </c>
      <c r="O1154" s="94" t="str">
        <f>COUNTIFS(NCAA_Bets[Date],M1154,NCAA_Bets[Result],"W")&amp;"-"&amp;COUNTIFS(NCAA_Bets[Date],M1154,NCAA_Bets[Result],"L")&amp;IF(COUNTIFS(NCAA_Bets[Date],M1154,NCAA_Bets[Result],"Push")&gt;0,"-"&amp;COUNTIFS(NCAA_Bets[Date],M1154,NCAA_Bets[Result],"Push"),"")</f>
        <v>0-0</v>
      </c>
      <c r="P1154" s="90">
        <f>SUMIF(NCAA_Bets[Date],M1154,NCAA_Bets[Winnings])-SUMIF(NCAA_Bets[Date],M1154,NCAA_Bets[Risk])</f>
        <v>0</v>
      </c>
    </row>
    <row r="1155" spans="2:16" x14ac:dyDescent="0.25">
      <c r="B1155" s="101">
        <f t="shared" si="50"/>
        <v>33</v>
      </c>
      <c r="L1155" s="71">
        <f t="shared" si="52"/>
        <v>0</v>
      </c>
      <c r="M1155" s="71">
        <f t="shared" si="51"/>
        <v>0</v>
      </c>
      <c r="N1155" s="71" t="str">
        <f>IFERROR(VLOOKUP(M1155,NCAA_Bets[[Date]:[Version]],2,0),"")</f>
        <v/>
      </c>
      <c r="O1155" s="94" t="str">
        <f>COUNTIFS(NCAA_Bets[Date],M1155,NCAA_Bets[Result],"W")&amp;"-"&amp;COUNTIFS(NCAA_Bets[Date],M1155,NCAA_Bets[Result],"L")&amp;IF(COUNTIFS(NCAA_Bets[Date],M1155,NCAA_Bets[Result],"Push")&gt;0,"-"&amp;COUNTIFS(NCAA_Bets[Date],M1155,NCAA_Bets[Result],"Push"),"")</f>
        <v>0-0</v>
      </c>
      <c r="P1155" s="90">
        <f>SUMIF(NCAA_Bets[Date],M1155,NCAA_Bets[Winnings])-SUMIF(NCAA_Bets[Date],M1155,NCAA_Bets[Risk])</f>
        <v>0</v>
      </c>
    </row>
    <row r="1156" spans="2:16" x14ac:dyDescent="0.25">
      <c r="B1156" s="101">
        <f t="shared" si="50"/>
        <v>33</v>
      </c>
      <c r="L1156" s="71">
        <f t="shared" si="52"/>
        <v>0</v>
      </c>
      <c r="M1156" s="71">
        <f t="shared" si="51"/>
        <v>0</v>
      </c>
      <c r="N1156" s="71" t="str">
        <f>IFERROR(VLOOKUP(M1156,NCAA_Bets[[Date]:[Version]],2,0),"")</f>
        <v/>
      </c>
      <c r="O1156" s="94" t="str">
        <f>COUNTIFS(NCAA_Bets[Date],M1156,NCAA_Bets[Result],"W")&amp;"-"&amp;COUNTIFS(NCAA_Bets[Date],M1156,NCAA_Bets[Result],"L")&amp;IF(COUNTIFS(NCAA_Bets[Date],M1156,NCAA_Bets[Result],"Push")&gt;0,"-"&amp;COUNTIFS(NCAA_Bets[Date],M1156,NCAA_Bets[Result],"Push"),"")</f>
        <v>0-0</v>
      </c>
      <c r="P1156" s="90">
        <f>SUMIF(NCAA_Bets[Date],M1156,NCAA_Bets[Winnings])-SUMIF(NCAA_Bets[Date],M1156,NCAA_Bets[Risk])</f>
        <v>0</v>
      </c>
    </row>
    <row r="1157" spans="2:16" x14ac:dyDescent="0.25">
      <c r="B1157" s="101">
        <f t="shared" si="50"/>
        <v>33</v>
      </c>
      <c r="L1157" s="71">
        <f t="shared" si="52"/>
        <v>0</v>
      </c>
      <c r="M1157" s="71">
        <f t="shared" si="51"/>
        <v>0</v>
      </c>
      <c r="N1157" s="71" t="str">
        <f>IFERROR(VLOOKUP(M1157,NCAA_Bets[[Date]:[Version]],2,0),"")</f>
        <v/>
      </c>
      <c r="O1157" s="94" t="str">
        <f>COUNTIFS(NCAA_Bets[Date],M1157,NCAA_Bets[Result],"W")&amp;"-"&amp;COUNTIFS(NCAA_Bets[Date],M1157,NCAA_Bets[Result],"L")&amp;IF(COUNTIFS(NCAA_Bets[Date],M1157,NCAA_Bets[Result],"Push")&gt;0,"-"&amp;COUNTIFS(NCAA_Bets[Date],M1157,NCAA_Bets[Result],"Push"),"")</f>
        <v>0-0</v>
      </c>
      <c r="P1157" s="90">
        <f>SUMIF(NCAA_Bets[Date],M1157,NCAA_Bets[Winnings])-SUMIF(NCAA_Bets[Date],M1157,NCAA_Bets[Risk])</f>
        <v>0</v>
      </c>
    </row>
    <row r="1158" spans="2:16" x14ac:dyDescent="0.25">
      <c r="B1158" s="101">
        <f t="shared" ref="B1158:B1221" si="53">IF(C1158=C1157,B1157,B1157+1)</f>
        <v>33</v>
      </c>
      <c r="L1158" s="71">
        <f t="shared" si="52"/>
        <v>0</v>
      </c>
      <c r="M1158" s="71">
        <f t="shared" si="51"/>
        <v>0</v>
      </c>
      <c r="N1158" s="71" t="str">
        <f>IFERROR(VLOOKUP(M1158,NCAA_Bets[[Date]:[Version]],2,0),"")</f>
        <v/>
      </c>
      <c r="O1158" s="94" t="str">
        <f>COUNTIFS(NCAA_Bets[Date],M1158,NCAA_Bets[Result],"W")&amp;"-"&amp;COUNTIFS(NCAA_Bets[Date],M1158,NCAA_Bets[Result],"L")&amp;IF(COUNTIFS(NCAA_Bets[Date],M1158,NCAA_Bets[Result],"Push")&gt;0,"-"&amp;COUNTIFS(NCAA_Bets[Date],M1158,NCAA_Bets[Result],"Push"),"")</f>
        <v>0-0</v>
      </c>
      <c r="P1158" s="90">
        <f>SUMIF(NCAA_Bets[Date],M1158,NCAA_Bets[Winnings])-SUMIF(NCAA_Bets[Date],M1158,NCAA_Bets[Risk])</f>
        <v>0</v>
      </c>
    </row>
    <row r="1159" spans="2:16" x14ac:dyDescent="0.25">
      <c r="B1159" s="101">
        <f t="shared" si="53"/>
        <v>33</v>
      </c>
      <c r="L1159" s="71">
        <f t="shared" si="52"/>
        <v>0</v>
      </c>
      <c r="M1159" s="71">
        <f t="shared" si="51"/>
        <v>0</v>
      </c>
      <c r="N1159" s="71" t="str">
        <f>IFERROR(VLOOKUP(M1159,NCAA_Bets[[Date]:[Version]],2,0),"")</f>
        <v/>
      </c>
      <c r="O1159" s="94" t="str">
        <f>COUNTIFS(NCAA_Bets[Date],M1159,NCAA_Bets[Result],"W")&amp;"-"&amp;COUNTIFS(NCAA_Bets[Date],M1159,NCAA_Bets[Result],"L")&amp;IF(COUNTIFS(NCAA_Bets[Date],M1159,NCAA_Bets[Result],"Push")&gt;0,"-"&amp;COUNTIFS(NCAA_Bets[Date],M1159,NCAA_Bets[Result],"Push"),"")</f>
        <v>0-0</v>
      </c>
      <c r="P1159" s="90">
        <f>SUMIF(NCAA_Bets[Date],M1159,NCAA_Bets[Winnings])-SUMIF(NCAA_Bets[Date],M1159,NCAA_Bets[Risk])</f>
        <v>0</v>
      </c>
    </row>
    <row r="1160" spans="2:16" x14ac:dyDescent="0.25">
      <c r="B1160" s="101">
        <f t="shared" si="53"/>
        <v>33</v>
      </c>
      <c r="L1160" s="71">
        <f t="shared" si="52"/>
        <v>0</v>
      </c>
      <c r="M1160" s="71">
        <f t="shared" si="51"/>
        <v>0</v>
      </c>
      <c r="N1160" s="71" t="str">
        <f>IFERROR(VLOOKUP(M1160,NCAA_Bets[[Date]:[Version]],2,0),"")</f>
        <v/>
      </c>
      <c r="O1160" s="94" t="str">
        <f>COUNTIFS(NCAA_Bets[Date],M1160,NCAA_Bets[Result],"W")&amp;"-"&amp;COUNTIFS(NCAA_Bets[Date],M1160,NCAA_Bets[Result],"L")&amp;IF(COUNTIFS(NCAA_Bets[Date],M1160,NCAA_Bets[Result],"Push")&gt;0,"-"&amp;COUNTIFS(NCAA_Bets[Date],M1160,NCAA_Bets[Result],"Push"),"")</f>
        <v>0-0</v>
      </c>
      <c r="P1160" s="90">
        <f>SUMIF(NCAA_Bets[Date],M1160,NCAA_Bets[Winnings])-SUMIF(NCAA_Bets[Date],M1160,NCAA_Bets[Risk])</f>
        <v>0</v>
      </c>
    </row>
    <row r="1161" spans="2:16" x14ac:dyDescent="0.25">
      <c r="B1161" s="101">
        <f t="shared" si="53"/>
        <v>33</v>
      </c>
      <c r="L1161" s="71">
        <f t="shared" si="52"/>
        <v>0</v>
      </c>
      <c r="M1161" s="71">
        <f t="shared" si="51"/>
        <v>0</v>
      </c>
      <c r="N1161" s="71" t="str">
        <f>IFERROR(VLOOKUP(M1161,NCAA_Bets[[Date]:[Version]],2,0),"")</f>
        <v/>
      </c>
      <c r="O1161" s="94" t="str">
        <f>COUNTIFS(NCAA_Bets[Date],M1161,NCAA_Bets[Result],"W")&amp;"-"&amp;COUNTIFS(NCAA_Bets[Date],M1161,NCAA_Bets[Result],"L")&amp;IF(COUNTIFS(NCAA_Bets[Date],M1161,NCAA_Bets[Result],"Push")&gt;0,"-"&amp;COUNTIFS(NCAA_Bets[Date],M1161,NCAA_Bets[Result],"Push"),"")</f>
        <v>0-0</v>
      </c>
      <c r="P1161" s="90">
        <f>SUMIF(NCAA_Bets[Date],M1161,NCAA_Bets[Winnings])-SUMIF(NCAA_Bets[Date],M1161,NCAA_Bets[Risk])</f>
        <v>0</v>
      </c>
    </row>
    <row r="1162" spans="2:16" x14ac:dyDescent="0.25">
      <c r="B1162" s="101">
        <f t="shared" si="53"/>
        <v>33</v>
      </c>
      <c r="L1162" s="71">
        <f t="shared" si="52"/>
        <v>0</v>
      </c>
      <c r="M1162" s="71">
        <f t="shared" si="51"/>
        <v>0</v>
      </c>
      <c r="N1162" s="71" t="str">
        <f>IFERROR(VLOOKUP(M1162,NCAA_Bets[[Date]:[Version]],2,0),"")</f>
        <v/>
      </c>
      <c r="O1162" s="94" t="str">
        <f>COUNTIFS(NCAA_Bets[Date],M1162,NCAA_Bets[Result],"W")&amp;"-"&amp;COUNTIFS(NCAA_Bets[Date],M1162,NCAA_Bets[Result],"L")&amp;IF(COUNTIFS(NCAA_Bets[Date],M1162,NCAA_Bets[Result],"Push")&gt;0,"-"&amp;COUNTIFS(NCAA_Bets[Date],M1162,NCAA_Bets[Result],"Push"),"")</f>
        <v>0-0</v>
      </c>
      <c r="P1162" s="90">
        <f>SUMIF(NCAA_Bets[Date],M1162,NCAA_Bets[Winnings])-SUMIF(NCAA_Bets[Date],M1162,NCAA_Bets[Risk])</f>
        <v>0</v>
      </c>
    </row>
    <row r="1163" spans="2:16" x14ac:dyDescent="0.25">
      <c r="B1163" s="101">
        <f t="shared" si="53"/>
        <v>33</v>
      </c>
      <c r="L1163" s="71">
        <f t="shared" si="52"/>
        <v>0</v>
      </c>
      <c r="M1163" s="71">
        <f t="shared" si="51"/>
        <v>0</v>
      </c>
      <c r="N1163" s="71" t="str">
        <f>IFERROR(VLOOKUP(M1163,NCAA_Bets[[Date]:[Version]],2,0),"")</f>
        <v/>
      </c>
      <c r="O1163" s="94" t="str">
        <f>COUNTIFS(NCAA_Bets[Date],M1163,NCAA_Bets[Result],"W")&amp;"-"&amp;COUNTIFS(NCAA_Bets[Date],M1163,NCAA_Bets[Result],"L")&amp;IF(COUNTIFS(NCAA_Bets[Date],M1163,NCAA_Bets[Result],"Push")&gt;0,"-"&amp;COUNTIFS(NCAA_Bets[Date],M1163,NCAA_Bets[Result],"Push"),"")</f>
        <v>0-0</v>
      </c>
      <c r="P1163" s="90">
        <f>SUMIF(NCAA_Bets[Date],M1163,NCAA_Bets[Winnings])-SUMIF(NCAA_Bets[Date],M1163,NCAA_Bets[Risk])</f>
        <v>0</v>
      </c>
    </row>
    <row r="1164" spans="2:16" x14ac:dyDescent="0.25">
      <c r="B1164" s="101">
        <f t="shared" si="53"/>
        <v>33</v>
      </c>
      <c r="L1164" s="71">
        <f t="shared" si="52"/>
        <v>0</v>
      </c>
      <c r="M1164" s="71">
        <f t="shared" si="51"/>
        <v>0</v>
      </c>
      <c r="N1164" s="71" t="str">
        <f>IFERROR(VLOOKUP(M1164,NCAA_Bets[[Date]:[Version]],2,0),"")</f>
        <v/>
      </c>
      <c r="O1164" s="94" t="str">
        <f>COUNTIFS(NCAA_Bets[Date],M1164,NCAA_Bets[Result],"W")&amp;"-"&amp;COUNTIFS(NCAA_Bets[Date],M1164,NCAA_Bets[Result],"L")&amp;IF(COUNTIFS(NCAA_Bets[Date],M1164,NCAA_Bets[Result],"Push")&gt;0,"-"&amp;COUNTIFS(NCAA_Bets[Date],M1164,NCAA_Bets[Result],"Push"),"")</f>
        <v>0-0</v>
      </c>
      <c r="P1164" s="90">
        <f>SUMIF(NCAA_Bets[Date],M1164,NCAA_Bets[Winnings])-SUMIF(NCAA_Bets[Date],M1164,NCAA_Bets[Risk])</f>
        <v>0</v>
      </c>
    </row>
    <row r="1165" spans="2:16" x14ac:dyDescent="0.25">
      <c r="B1165" s="101">
        <f t="shared" si="53"/>
        <v>33</v>
      </c>
      <c r="L1165" s="71">
        <f t="shared" si="52"/>
        <v>0</v>
      </c>
      <c r="M1165" s="71">
        <f t="shared" si="51"/>
        <v>0</v>
      </c>
      <c r="N1165" s="71" t="str">
        <f>IFERROR(VLOOKUP(M1165,NCAA_Bets[[Date]:[Version]],2,0),"")</f>
        <v/>
      </c>
      <c r="O1165" s="94" t="str">
        <f>COUNTIFS(NCAA_Bets[Date],M1165,NCAA_Bets[Result],"W")&amp;"-"&amp;COUNTIFS(NCAA_Bets[Date],M1165,NCAA_Bets[Result],"L")&amp;IF(COUNTIFS(NCAA_Bets[Date],M1165,NCAA_Bets[Result],"Push")&gt;0,"-"&amp;COUNTIFS(NCAA_Bets[Date],M1165,NCAA_Bets[Result],"Push"),"")</f>
        <v>0-0</v>
      </c>
      <c r="P1165" s="90">
        <f>SUMIF(NCAA_Bets[Date],M1165,NCAA_Bets[Winnings])-SUMIF(NCAA_Bets[Date],M1165,NCAA_Bets[Risk])</f>
        <v>0</v>
      </c>
    </row>
    <row r="1166" spans="2:16" x14ac:dyDescent="0.25">
      <c r="B1166" s="101">
        <f t="shared" si="53"/>
        <v>33</v>
      </c>
      <c r="L1166" s="71">
        <f t="shared" si="52"/>
        <v>0</v>
      </c>
      <c r="M1166" s="71">
        <f t="shared" si="51"/>
        <v>0</v>
      </c>
      <c r="N1166" s="71" t="str">
        <f>IFERROR(VLOOKUP(M1166,NCAA_Bets[[Date]:[Version]],2,0),"")</f>
        <v/>
      </c>
      <c r="O1166" s="94" t="str">
        <f>COUNTIFS(NCAA_Bets[Date],M1166,NCAA_Bets[Result],"W")&amp;"-"&amp;COUNTIFS(NCAA_Bets[Date],M1166,NCAA_Bets[Result],"L")&amp;IF(COUNTIFS(NCAA_Bets[Date],M1166,NCAA_Bets[Result],"Push")&gt;0,"-"&amp;COUNTIFS(NCAA_Bets[Date],M1166,NCAA_Bets[Result],"Push"),"")</f>
        <v>0-0</v>
      </c>
      <c r="P1166" s="90">
        <f>SUMIF(NCAA_Bets[Date],M1166,NCAA_Bets[Winnings])-SUMIF(NCAA_Bets[Date],M1166,NCAA_Bets[Risk])</f>
        <v>0</v>
      </c>
    </row>
    <row r="1167" spans="2:16" x14ac:dyDescent="0.25">
      <c r="B1167" s="101">
        <f t="shared" si="53"/>
        <v>33</v>
      </c>
      <c r="L1167" s="71">
        <f t="shared" si="52"/>
        <v>0</v>
      </c>
      <c r="M1167" s="71">
        <f t="shared" si="51"/>
        <v>0</v>
      </c>
      <c r="N1167" s="71" t="str">
        <f>IFERROR(VLOOKUP(M1167,NCAA_Bets[[Date]:[Version]],2,0),"")</f>
        <v/>
      </c>
      <c r="O1167" s="94" t="str">
        <f>COUNTIFS(NCAA_Bets[Date],M1167,NCAA_Bets[Result],"W")&amp;"-"&amp;COUNTIFS(NCAA_Bets[Date],M1167,NCAA_Bets[Result],"L")&amp;IF(COUNTIFS(NCAA_Bets[Date],M1167,NCAA_Bets[Result],"Push")&gt;0,"-"&amp;COUNTIFS(NCAA_Bets[Date],M1167,NCAA_Bets[Result],"Push"),"")</f>
        <v>0-0</v>
      </c>
      <c r="P1167" s="90">
        <f>SUMIF(NCAA_Bets[Date],M1167,NCAA_Bets[Winnings])-SUMIF(NCAA_Bets[Date],M1167,NCAA_Bets[Risk])</f>
        <v>0</v>
      </c>
    </row>
    <row r="1168" spans="2:16" x14ac:dyDescent="0.25">
      <c r="B1168" s="101">
        <f t="shared" si="53"/>
        <v>33</v>
      </c>
      <c r="L1168" s="71">
        <f t="shared" si="52"/>
        <v>0</v>
      </c>
      <c r="M1168" s="71">
        <f t="shared" si="51"/>
        <v>0</v>
      </c>
      <c r="N1168" s="71" t="str">
        <f>IFERROR(VLOOKUP(M1168,NCAA_Bets[[Date]:[Version]],2,0),"")</f>
        <v/>
      </c>
      <c r="O1168" s="94" t="str">
        <f>COUNTIFS(NCAA_Bets[Date],M1168,NCAA_Bets[Result],"W")&amp;"-"&amp;COUNTIFS(NCAA_Bets[Date],M1168,NCAA_Bets[Result],"L")&amp;IF(COUNTIFS(NCAA_Bets[Date],M1168,NCAA_Bets[Result],"Push")&gt;0,"-"&amp;COUNTIFS(NCAA_Bets[Date],M1168,NCAA_Bets[Result],"Push"),"")</f>
        <v>0-0</v>
      </c>
      <c r="P1168" s="90">
        <f>SUMIF(NCAA_Bets[Date],M1168,NCAA_Bets[Winnings])-SUMIF(NCAA_Bets[Date],M1168,NCAA_Bets[Risk])</f>
        <v>0</v>
      </c>
    </row>
    <row r="1169" spans="2:16" x14ac:dyDescent="0.25">
      <c r="B1169" s="101">
        <f t="shared" si="53"/>
        <v>33</v>
      </c>
      <c r="L1169" s="71">
        <f t="shared" si="52"/>
        <v>0</v>
      </c>
      <c r="M1169" s="71">
        <f t="shared" si="51"/>
        <v>0</v>
      </c>
      <c r="N1169" s="71" t="str">
        <f>IFERROR(VLOOKUP(M1169,NCAA_Bets[[Date]:[Version]],2,0),"")</f>
        <v/>
      </c>
      <c r="O1169" s="94" t="str">
        <f>COUNTIFS(NCAA_Bets[Date],M1169,NCAA_Bets[Result],"W")&amp;"-"&amp;COUNTIFS(NCAA_Bets[Date],M1169,NCAA_Bets[Result],"L")&amp;IF(COUNTIFS(NCAA_Bets[Date],M1169,NCAA_Bets[Result],"Push")&gt;0,"-"&amp;COUNTIFS(NCAA_Bets[Date],M1169,NCAA_Bets[Result],"Push"),"")</f>
        <v>0-0</v>
      </c>
      <c r="P1169" s="90">
        <f>SUMIF(NCAA_Bets[Date],M1169,NCAA_Bets[Winnings])-SUMIF(NCAA_Bets[Date],M1169,NCAA_Bets[Risk])</f>
        <v>0</v>
      </c>
    </row>
    <row r="1170" spans="2:16" x14ac:dyDescent="0.25">
      <c r="B1170" s="101">
        <f t="shared" si="53"/>
        <v>33</v>
      </c>
      <c r="L1170" s="71">
        <f t="shared" si="52"/>
        <v>0</v>
      </c>
      <c r="M1170" s="71">
        <f t="shared" si="51"/>
        <v>0</v>
      </c>
      <c r="N1170" s="71" t="str">
        <f>IFERROR(VLOOKUP(M1170,NCAA_Bets[[Date]:[Version]],2,0),"")</f>
        <v/>
      </c>
      <c r="O1170" s="94" t="str">
        <f>COUNTIFS(NCAA_Bets[Date],M1170,NCAA_Bets[Result],"W")&amp;"-"&amp;COUNTIFS(NCAA_Bets[Date],M1170,NCAA_Bets[Result],"L")&amp;IF(COUNTIFS(NCAA_Bets[Date],M1170,NCAA_Bets[Result],"Push")&gt;0,"-"&amp;COUNTIFS(NCAA_Bets[Date],M1170,NCAA_Bets[Result],"Push"),"")</f>
        <v>0-0</v>
      </c>
      <c r="P1170" s="90">
        <f>SUMIF(NCAA_Bets[Date],M1170,NCAA_Bets[Winnings])-SUMIF(NCAA_Bets[Date],M1170,NCAA_Bets[Risk])</f>
        <v>0</v>
      </c>
    </row>
    <row r="1171" spans="2:16" x14ac:dyDescent="0.25">
      <c r="B1171" s="101">
        <f t="shared" si="53"/>
        <v>33</v>
      </c>
      <c r="L1171" s="71">
        <f t="shared" si="52"/>
        <v>0</v>
      </c>
      <c r="M1171" s="71">
        <f t="shared" si="51"/>
        <v>0</v>
      </c>
      <c r="N1171" s="71" t="str">
        <f>IFERROR(VLOOKUP(M1171,NCAA_Bets[[Date]:[Version]],2,0),"")</f>
        <v/>
      </c>
      <c r="O1171" s="94" t="str">
        <f>COUNTIFS(NCAA_Bets[Date],M1171,NCAA_Bets[Result],"W")&amp;"-"&amp;COUNTIFS(NCAA_Bets[Date],M1171,NCAA_Bets[Result],"L")&amp;IF(COUNTIFS(NCAA_Bets[Date],M1171,NCAA_Bets[Result],"Push")&gt;0,"-"&amp;COUNTIFS(NCAA_Bets[Date],M1171,NCAA_Bets[Result],"Push"),"")</f>
        <v>0-0</v>
      </c>
      <c r="P1171" s="90">
        <f>SUMIF(NCAA_Bets[Date],M1171,NCAA_Bets[Winnings])-SUMIF(NCAA_Bets[Date],M1171,NCAA_Bets[Risk])</f>
        <v>0</v>
      </c>
    </row>
    <row r="1172" spans="2:16" x14ac:dyDescent="0.25">
      <c r="B1172" s="101">
        <f t="shared" si="53"/>
        <v>33</v>
      </c>
      <c r="L1172" s="71">
        <f t="shared" si="52"/>
        <v>0</v>
      </c>
      <c r="M1172" s="71">
        <f t="shared" si="51"/>
        <v>0</v>
      </c>
      <c r="N1172" s="71" t="str">
        <f>IFERROR(VLOOKUP(M1172,NCAA_Bets[[Date]:[Version]],2,0),"")</f>
        <v/>
      </c>
      <c r="O1172" s="94" t="str">
        <f>COUNTIFS(NCAA_Bets[Date],M1172,NCAA_Bets[Result],"W")&amp;"-"&amp;COUNTIFS(NCAA_Bets[Date],M1172,NCAA_Bets[Result],"L")&amp;IF(COUNTIFS(NCAA_Bets[Date],M1172,NCAA_Bets[Result],"Push")&gt;0,"-"&amp;COUNTIFS(NCAA_Bets[Date],M1172,NCAA_Bets[Result],"Push"),"")</f>
        <v>0-0</v>
      </c>
      <c r="P1172" s="90">
        <f>SUMIF(NCAA_Bets[Date],M1172,NCAA_Bets[Winnings])-SUMIF(NCAA_Bets[Date],M1172,NCAA_Bets[Risk])</f>
        <v>0</v>
      </c>
    </row>
    <row r="1173" spans="2:16" x14ac:dyDescent="0.25">
      <c r="B1173" s="101">
        <f t="shared" si="53"/>
        <v>33</v>
      </c>
      <c r="L1173" s="71">
        <f t="shared" si="52"/>
        <v>0</v>
      </c>
      <c r="M1173" s="71">
        <f t="shared" si="51"/>
        <v>0</v>
      </c>
      <c r="N1173" s="71" t="str">
        <f>IFERROR(VLOOKUP(M1173,NCAA_Bets[[Date]:[Version]],2,0),"")</f>
        <v/>
      </c>
      <c r="O1173" s="94" t="str">
        <f>COUNTIFS(NCAA_Bets[Date],M1173,NCAA_Bets[Result],"W")&amp;"-"&amp;COUNTIFS(NCAA_Bets[Date],M1173,NCAA_Bets[Result],"L")&amp;IF(COUNTIFS(NCAA_Bets[Date],M1173,NCAA_Bets[Result],"Push")&gt;0,"-"&amp;COUNTIFS(NCAA_Bets[Date],M1173,NCAA_Bets[Result],"Push"),"")</f>
        <v>0-0</v>
      </c>
      <c r="P1173" s="90">
        <f>SUMIF(NCAA_Bets[Date],M1173,NCAA_Bets[Winnings])-SUMIF(NCAA_Bets[Date],M1173,NCAA_Bets[Risk])</f>
        <v>0</v>
      </c>
    </row>
    <row r="1174" spans="2:16" x14ac:dyDescent="0.25">
      <c r="B1174" s="101">
        <f t="shared" si="53"/>
        <v>33</v>
      </c>
      <c r="L1174" s="71">
        <f t="shared" si="52"/>
        <v>0</v>
      </c>
      <c r="M1174" s="71">
        <f t="shared" si="51"/>
        <v>0</v>
      </c>
      <c r="N1174" s="71" t="str">
        <f>IFERROR(VLOOKUP(M1174,NCAA_Bets[[Date]:[Version]],2,0),"")</f>
        <v/>
      </c>
      <c r="O1174" s="94" t="str">
        <f>COUNTIFS(NCAA_Bets[Date],M1174,NCAA_Bets[Result],"W")&amp;"-"&amp;COUNTIFS(NCAA_Bets[Date],M1174,NCAA_Bets[Result],"L")&amp;IF(COUNTIFS(NCAA_Bets[Date],M1174,NCAA_Bets[Result],"Push")&gt;0,"-"&amp;COUNTIFS(NCAA_Bets[Date],M1174,NCAA_Bets[Result],"Push"),"")</f>
        <v>0-0</v>
      </c>
      <c r="P1174" s="90">
        <f>SUMIF(NCAA_Bets[Date],M1174,NCAA_Bets[Winnings])-SUMIF(NCAA_Bets[Date],M1174,NCAA_Bets[Risk])</f>
        <v>0</v>
      </c>
    </row>
    <row r="1175" spans="2:16" x14ac:dyDescent="0.25">
      <c r="B1175" s="101">
        <f t="shared" si="53"/>
        <v>33</v>
      </c>
      <c r="L1175" s="71">
        <f t="shared" si="52"/>
        <v>0</v>
      </c>
      <c r="M1175" s="71">
        <f t="shared" si="51"/>
        <v>0</v>
      </c>
      <c r="N1175" s="71" t="str">
        <f>IFERROR(VLOOKUP(M1175,NCAA_Bets[[Date]:[Version]],2,0),"")</f>
        <v/>
      </c>
      <c r="O1175" s="94" t="str">
        <f>COUNTIFS(NCAA_Bets[Date],M1175,NCAA_Bets[Result],"W")&amp;"-"&amp;COUNTIFS(NCAA_Bets[Date],M1175,NCAA_Bets[Result],"L")&amp;IF(COUNTIFS(NCAA_Bets[Date],M1175,NCAA_Bets[Result],"Push")&gt;0,"-"&amp;COUNTIFS(NCAA_Bets[Date],M1175,NCAA_Bets[Result],"Push"),"")</f>
        <v>0-0</v>
      </c>
      <c r="P1175" s="90">
        <f>SUMIF(NCAA_Bets[Date],M1175,NCAA_Bets[Winnings])-SUMIF(NCAA_Bets[Date],M1175,NCAA_Bets[Risk])</f>
        <v>0</v>
      </c>
    </row>
    <row r="1176" spans="2:16" x14ac:dyDescent="0.25">
      <c r="B1176" s="101">
        <f t="shared" si="53"/>
        <v>33</v>
      </c>
      <c r="L1176" s="71">
        <f t="shared" si="52"/>
        <v>0</v>
      </c>
      <c r="M1176" s="71">
        <f t="shared" si="51"/>
        <v>0</v>
      </c>
      <c r="N1176" s="71" t="str">
        <f>IFERROR(VLOOKUP(M1176,NCAA_Bets[[Date]:[Version]],2,0),"")</f>
        <v/>
      </c>
      <c r="O1176" s="94" t="str">
        <f>COUNTIFS(NCAA_Bets[Date],M1176,NCAA_Bets[Result],"W")&amp;"-"&amp;COUNTIFS(NCAA_Bets[Date],M1176,NCAA_Bets[Result],"L")&amp;IF(COUNTIFS(NCAA_Bets[Date],M1176,NCAA_Bets[Result],"Push")&gt;0,"-"&amp;COUNTIFS(NCAA_Bets[Date],M1176,NCAA_Bets[Result],"Push"),"")</f>
        <v>0-0</v>
      </c>
      <c r="P1176" s="90">
        <f>SUMIF(NCAA_Bets[Date],M1176,NCAA_Bets[Winnings])-SUMIF(NCAA_Bets[Date],M1176,NCAA_Bets[Risk])</f>
        <v>0</v>
      </c>
    </row>
    <row r="1177" spans="2:16" x14ac:dyDescent="0.25">
      <c r="B1177" s="101">
        <f t="shared" si="53"/>
        <v>33</v>
      </c>
      <c r="L1177" s="71">
        <f t="shared" si="52"/>
        <v>0</v>
      </c>
      <c r="M1177" s="71">
        <f t="shared" si="51"/>
        <v>0</v>
      </c>
      <c r="N1177" s="71" t="str">
        <f>IFERROR(VLOOKUP(M1177,NCAA_Bets[[Date]:[Version]],2,0),"")</f>
        <v/>
      </c>
      <c r="O1177" s="94" t="str">
        <f>COUNTIFS(NCAA_Bets[Date],M1177,NCAA_Bets[Result],"W")&amp;"-"&amp;COUNTIFS(NCAA_Bets[Date],M1177,NCAA_Bets[Result],"L")&amp;IF(COUNTIFS(NCAA_Bets[Date],M1177,NCAA_Bets[Result],"Push")&gt;0,"-"&amp;COUNTIFS(NCAA_Bets[Date],M1177,NCAA_Bets[Result],"Push"),"")</f>
        <v>0-0</v>
      </c>
      <c r="P1177" s="90">
        <f>SUMIF(NCAA_Bets[Date],M1177,NCAA_Bets[Winnings])-SUMIF(NCAA_Bets[Date],M1177,NCAA_Bets[Risk])</f>
        <v>0</v>
      </c>
    </row>
    <row r="1178" spans="2:16" x14ac:dyDescent="0.25">
      <c r="B1178" s="101">
        <f t="shared" si="53"/>
        <v>33</v>
      </c>
      <c r="L1178" s="71">
        <f t="shared" si="52"/>
        <v>0</v>
      </c>
      <c r="M1178" s="71">
        <f t="shared" ref="M1178:M1241" si="54">IFERROR(VLOOKUP(ROW()-4,B:C,2,0),0)</f>
        <v>0</v>
      </c>
      <c r="N1178" s="71" t="str">
        <f>IFERROR(VLOOKUP(M1178,NCAA_Bets[[Date]:[Version]],2,0),"")</f>
        <v/>
      </c>
      <c r="O1178" s="94" t="str">
        <f>COUNTIFS(NCAA_Bets[Date],M1178,NCAA_Bets[Result],"W")&amp;"-"&amp;COUNTIFS(NCAA_Bets[Date],M1178,NCAA_Bets[Result],"L")&amp;IF(COUNTIFS(NCAA_Bets[Date],M1178,NCAA_Bets[Result],"Push")&gt;0,"-"&amp;COUNTIFS(NCAA_Bets[Date],M1178,NCAA_Bets[Result],"Push"),"")</f>
        <v>0-0</v>
      </c>
      <c r="P1178" s="90">
        <f>SUMIF(NCAA_Bets[Date],M1178,NCAA_Bets[Winnings])-SUMIF(NCAA_Bets[Date],M1178,NCAA_Bets[Risk])</f>
        <v>0</v>
      </c>
    </row>
    <row r="1179" spans="2:16" x14ac:dyDescent="0.25">
      <c r="B1179" s="101">
        <f t="shared" si="53"/>
        <v>33</v>
      </c>
      <c r="L1179" s="71">
        <f t="shared" si="52"/>
        <v>0</v>
      </c>
      <c r="M1179" s="71">
        <f t="shared" si="54"/>
        <v>0</v>
      </c>
      <c r="N1179" s="71" t="str">
        <f>IFERROR(VLOOKUP(M1179,NCAA_Bets[[Date]:[Version]],2,0),"")</f>
        <v/>
      </c>
      <c r="O1179" s="94" t="str">
        <f>COUNTIFS(NCAA_Bets[Date],M1179,NCAA_Bets[Result],"W")&amp;"-"&amp;COUNTIFS(NCAA_Bets[Date],M1179,NCAA_Bets[Result],"L")&amp;IF(COUNTIFS(NCAA_Bets[Date],M1179,NCAA_Bets[Result],"Push")&gt;0,"-"&amp;COUNTIFS(NCAA_Bets[Date],M1179,NCAA_Bets[Result],"Push"),"")</f>
        <v>0-0</v>
      </c>
      <c r="P1179" s="90">
        <f>SUMIF(NCAA_Bets[Date],M1179,NCAA_Bets[Winnings])-SUMIF(NCAA_Bets[Date],M1179,NCAA_Bets[Risk])</f>
        <v>0</v>
      </c>
    </row>
    <row r="1180" spans="2:16" x14ac:dyDescent="0.25">
      <c r="B1180" s="101">
        <f t="shared" si="53"/>
        <v>33</v>
      </c>
      <c r="L1180" s="71">
        <f t="shared" si="52"/>
        <v>0</v>
      </c>
      <c r="M1180" s="71">
        <f t="shared" si="54"/>
        <v>0</v>
      </c>
      <c r="N1180" s="71" t="str">
        <f>IFERROR(VLOOKUP(M1180,NCAA_Bets[[Date]:[Version]],2,0),"")</f>
        <v/>
      </c>
      <c r="O1180" s="94" t="str">
        <f>COUNTIFS(NCAA_Bets[Date],M1180,NCAA_Bets[Result],"W")&amp;"-"&amp;COUNTIFS(NCAA_Bets[Date],M1180,NCAA_Bets[Result],"L")&amp;IF(COUNTIFS(NCAA_Bets[Date],M1180,NCAA_Bets[Result],"Push")&gt;0,"-"&amp;COUNTIFS(NCAA_Bets[Date],M1180,NCAA_Bets[Result],"Push"),"")</f>
        <v>0-0</v>
      </c>
      <c r="P1180" s="90">
        <f>SUMIF(NCAA_Bets[Date],M1180,NCAA_Bets[Winnings])-SUMIF(NCAA_Bets[Date],M1180,NCAA_Bets[Risk])</f>
        <v>0</v>
      </c>
    </row>
    <row r="1181" spans="2:16" x14ac:dyDescent="0.25">
      <c r="B1181" s="101">
        <f t="shared" si="53"/>
        <v>33</v>
      </c>
      <c r="L1181" s="71">
        <f t="shared" si="52"/>
        <v>0</v>
      </c>
      <c r="M1181" s="71">
        <f t="shared" si="54"/>
        <v>0</v>
      </c>
      <c r="N1181" s="71" t="str">
        <f>IFERROR(VLOOKUP(M1181,NCAA_Bets[[Date]:[Version]],2,0),"")</f>
        <v/>
      </c>
      <c r="O1181" s="94" t="str">
        <f>COUNTIFS(NCAA_Bets[Date],M1181,NCAA_Bets[Result],"W")&amp;"-"&amp;COUNTIFS(NCAA_Bets[Date],M1181,NCAA_Bets[Result],"L")&amp;IF(COUNTIFS(NCAA_Bets[Date],M1181,NCAA_Bets[Result],"Push")&gt;0,"-"&amp;COUNTIFS(NCAA_Bets[Date],M1181,NCAA_Bets[Result],"Push"),"")</f>
        <v>0-0</v>
      </c>
      <c r="P1181" s="90">
        <f>SUMIF(NCAA_Bets[Date],M1181,NCAA_Bets[Winnings])-SUMIF(NCAA_Bets[Date],M1181,NCAA_Bets[Risk])</f>
        <v>0</v>
      </c>
    </row>
    <row r="1182" spans="2:16" x14ac:dyDescent="0.25">
      <c r="B1182" s="101">
        <f t="shared" si="53"/>
        <v>33</v>
      </c>
      <c r="L1182" s="71">
        <f t="shared" si="52"/>
        <v>0</v>
      </c>
      <c r="M1182" s="71">
        <f t="shared" si="54"/>
        <v>0</v>
      </c>
      <c r="N1182" s="71" t="str">
        <f>IFERROR(VLOOKUP(M1182,NCAA_Bets[[Date]:[Version]],2,0),"")</f>
        <v/>
      </c>
      <c r="O1182" s="94" t="str">
        <f>COUNTIFS(NCAA_Bets[Date],M1182,NCAA_Bets[Result],"W")&amp;"-"&amp;COUNTIFS(NCAA_Bets[Date],M1182,NCAA_Bets[Result],"L")&amp;IF(COUNTIFS(NCAA_Bets[Date],M1182,NCAA_Bets[Result],"Push")&gt;0,"-"&amp;COUNTIFS(NCAA_Bets[Date],M1182,NCAA_Bets[Result],"Push"),"")</f>
        <v>0-0</v>
      </c>
      <c r="P1182" s="90">
        <f>SUMIF(NCAA_Bets[Date],M1182,NCAA_Bets[Winnings])-SUMIF(NCAA_Bets[Date],M1182,NCAA_Bets[Risk])</f>
        <v>0</v>
      </c>
    </row>
    <row r="1183" spans="2:16" x14ac:dyDescent="0.25">
      <c r="B1183" s="101">
        <f t="shared" si="53"/>
        <v>33</v>
      </c>
      <c r="L1183" s="71">
        <f t="shared" si="52"/>
        <v>0</v>
      </c>
      <c r="M1183" s="71">
        <f t="shared" si="54"/>
        <v>0</v>
      </c>
      <c r="N1183" s="71" t="str">
        <f>IFERROR(VLOOKUP(M1183,NCAA_Bets[[Date]:[Version]],2,0),"")</f>
        <v/>
      </c>
      <c r="O1183" s="94" t="str">
        <f>COUNTIFS(NCAA_Bets[Date],M1183,NCAA_Bets[Result],"W")&amp;"-"&amp;COUNTIFS(NCAA_Bets[Date],M1183,NCAA_Bets[Result],"L")&amp;IF(COUNTIFS(NCAA_Bets[Date],M1183,NCAA_Bets[Result],"Push")&gt;0,"-"&amp;COUNTIFS(NCAA_Bets[Date],M1183,NCAA_Bets[Result],"Push"),"")</f>
        <v>0-0</v>
      </c>
      <c r="P1183" s="90">
        <f>SUMIF(NCAA_Bets[Date],M1183,NCAA_Bets[Winnings])-SUMIF(NCAA_Bets[Date],M1183,NCAA_Bets[Risk])</f>
        <v>0</v>
      </c>
    </row>
    <row r="1184" spans="2:16" x14ac:dyDescent="0.25">
      <c r="B1184" s="101">
        <f t="shared" si="53"/>
        <v>33</v>
      </c>
      <c r="L1184" s="71">
        <f t="shared" si="52"/>
        <v>0</v>
      </c>
      <c r="M1184" s="71">
        <f t="shared" si="54"/>
        <v>0</v>
      </c>
      <c r="N1184" s="71" t="str">
        <f>IFERROR(VLOOKUP(M1184,NCAA_Bets[[Date]:[Version]],2,0),"")</f>
        <v/>
      </c>
      <c r="O1184" s="94" t="str">
        <f>COUNTIFS(NCAA_Bets[Date],M1184,NCAA_Bets[Result],"W")&amp;"-"&amp;COUNTIFS(NCAA_Bets[Date],M1184,NCAA_Bets[Result],"L")&amp;IF(COUNTIFS(NCAA_Bets[Date],M1184,NCAA_Bets[Result],"Push")&gt;0,"-"&amp;COUNTIFS(NCAA_Bets[Date],M1184,NCAA_Bets[Result],"Push"),"")</f>
        <v>0-0</v>
      </c>
      <c r="P1184" s="90">
        <f>SUMIF(NCAA_Bets[Date],M1184,NCAA_Bets[Winnings])-SUMIF(NCAA_Bets[Date],M1184,NCAA_Bets[Risk])</f>
        <v>0</v>
      </c>
    </row>
    <row r="1185" spans="2:16" x14ac:dyDescent="0.25">
      <c r="B1185" s="101">
        <f t="shared" si="53"/>
        <v>33</v>
      </c>
      <c r="L1185" s="71">
        <f t="shared" si="52"/>
        <v>0</v>
      </c>
      <c r="M1185" s="71">
        <f t="shared" si="54"/>
        <v>0</v>
      </c>
      <c r="N1185" s="71" t="str">
        <f>IFERROR(VLOOKUP(M1185,NCAA_Bets[[Date]:[Version]],2,0),"")</f>
        <v/>
      </c>
      <c r="O1185" s="94" t="str">
        <f>COUNTIFS(NCAA_Bets[Date],M1185,NCAA_Bets[Result],"W")&amp;"-"&amp;COUNTIFS(NCAA_Bets[Date],M1185,NCAA_Bets[Result],"L")&amp;IF(COUNTIFS(NCAA_Bets[Date],M1185,NCAA_Bets[Result],"Push")&gt;0,"-"&amp;COUNTIFS(NCAA_Bets[Date],M1185,NCAA_Bets[Result],"Push"),"")</f>
        <v>0-0</v>
      </c>
      <c r="P1185" s="90">
        <f>SUMIF(NCAA_Bets[Date],M1185,NCAA_Bets[Winnings])-SUMIF(NCAA_Bets[Date],M1185,NCAA_Bets[Risk])</f>
        <v>0</v>
      </c>
    </row>
    <row r="1186" spans="2:16" x14ac:dyDescent="0.25">
      <c r="B1186" s="101">
        <f t="shared" si="53"/>
        <v>33</v>
      </c>
      <c r="L1186" s="71">
        <f t="shared" si="52"/>
        <v>0</v>
      </c>
      <c r="M1186" s="71">
        <f t="shared" si="54"/>
        <v>0</v>
      </c>
      <c r="N1186" s="71" t="str">
        <f>IFERROR(VLOOKUP(M1186,NCAA_Bets[[Date]:[Version]],2,0),"")</f>
        <v/>
      </c>
      <c r="O1186" s="94" t="str">
        <f>COUNTIFS(NCAA_Bets[Date],M1186,NCAA_Bets[Result],"W")&amp;"-"&amp;COUNTIFS(NCAA_Bets[Date],M1186,NCAA_Bets[Result],"L")&amp;IF(COUNTIFS(NCAA_Bets[Date],M1186,NCAA_Bets[Result],"Push")&gt;0,"-"&amp;COUNTIFS(NCAA_Bets[Date],M1186,NCAA_Bets[Result],"Push"),"")</f>
        <v>0-0</v>
      </c>
      <c r="P1186" s="90">
        <f>SUMIF(NCAA_Bets[Date],M1186,NCAA_Bets[Winnings])-SUMIF(NCAA_Bets[Date],M1186,NCAA_Bets[Risk])</f>
        <v>0</v>
      </c>
    </row>
    <row r="1187" spans="2:16" x14ac:dyDescent="0.25">
      <c r="B1187" s="101">
        <f t="shared" si="53"/>
        <v>33</v>
      </c>
      <c r="L1187" s="71">
        <f t="shared" si="52"/>
        <v>0</v>
      </c>
      <c r="M1187" s="71">
        <f t="shared" si="54"/>
        <v>0</v>
      </c>
      <c r="N1187" s="71" t="str">
        <f>IFERROR(VLOOKUP(M1187,NCAA_Bets[[Date]:[Version]],2,0),"")</f>
        <v/>
      </c>
      <c r="O1187" s="94" t="str">
        <f>COUNTIFS(NCAA_Bets[Date],M1187,NCAA_Bets[Result],"W")&amp;"-"&amp;COUNTIFS(NCAA_Bets[Date],M1187,NCAA_Bets[Result],"L")&amp;IF(COUNTIFS(NCAA_Bets[Date],M1187,NCAA_Bets[Result],"Push")&gt;0,"-"&amp;COUNTIFS(NCAA_Bets[Date],M1187,NCAA_Bets[Result],"Push"),"")</f>
        <v>0-0</v>
      </c>
      <c r="P1187" s="90">
        <f>SUMIF(NCAA_Bets[Date],M1187,NCAA_Bets[Winnings])-SUMIF(NCAA_Bets[Date],M1187,NCAA_Bets[Risk])</f>
        <v>0</v>
      </c>
    </row>
    <row r="1188" spans="2:16" x14ac:dyDescent="0.25">
      <c r="B1188" s="101">
        <f t="shared" si="53"/>
        <v>33</v>
      </c>
      <c r="L1188" s="71">
        <f t="shared" ref="L1188:L1251" si="55">IFERROR(VLOOKUP(ROW()-4,B:C,2,0),0)</f>
        <v>0</v>
      </c>
      <c r="M1188" s="71">
        <f t="shared" si="54"/>
        <v>0</v>
      </c>
      <c r="N1188" s="71" t="str">
        <f>IFERROR(VLOOKUP(M1188,NCAA_Bets[[Date]:[Version]],2,0),"")</f>
        <v/>
      </c>
      <c r="O1188" s="94" t="str">
        <f>COUNTIFS(NCAA_Bets[Date],M1188,NCAA_Bets[Result],"W")&amp;"-"&amp;COUNTIFS(NCAA_Bets[Date],M1188,NCAA_Bets[Result],"L")&amp;IF(COUNTIFS(NCAA_Bets[Date],M1188,NCAA_Bets[Result],"Push")&gt;0,"-"&amp;COUNTIFS(NCAA_Bets[Date],M1188,NCAA_Bets[Result],"Push"),"")</f>
        <v>0-0</v>
      </c>
      <c r="P1188" s="90">
        <f>SUMIF(NCAA_Bets[Date],M1188,NCAA_Bets[Winnings])-SUMIF(NCAA_Bets[Date],M1188,NCAA_Bets[Risk])</f>
        <v>0</v>
      </c>
    </row>
    <row r="1189" spans="2:16" x14ac:dyDescent="0.25">
      <c r="B1189" s="101">
        <f t="shared" si="53"/>
        <v>33</v>
      </c>
      <c r="L1189" s="71">
        <f t="shared" si="55"/>
        <v>0</v>
      </c>
      <c r="M1189" s="71">
        <f t="shared" si="54"/>
        <v>0</v>
      </c>
      <c r="N1189" s="71" t="str">
        <f>IFERROR(VLOOKUP(M1189,NCAA_Bets[[Date]:[Version]],2,0),"")</f>
        <v/>
      </c>
      <c r="O1189" s="94" t="str">
        <f>COUNTIFS(NCAA_Bets[Date],M1189,NCAA_Bets[Result],"W")&amp;"-"&amp;COUNTIFS(NCAA_Bets[Date],M1189,NCAA_Bets[Result],"L")&amp;IF(COUNTIFS(NCAA_Bets[Date],M1189,NCAA_Bets[Result],"Push")&gt;0,"-"&amp;COUNTIFS(NCAA_Bets[Date],M1189,NCAA_Bets[Result],"Push"),"")</f>
        <v>0-0</v>
      </c>
      <c r="P1189" s="90">
        <f>SUMIF(NCAA_Bets[Date],M1189,NCAA_Bets[Winnings])-SUMIF(NCAA_Bets[Date],M1189,NCAA_Bets[Risk])</f>
        <v>0</v>
      </c>
    </row>
    <row r="1190" spans="2:16" x14ac:dyDescent="0.25">
      <c r="B1190" s="101">
        <f t="shared" si="53"/>
        <v>33</v>
      </c>
      <c r="L1190" s="71">
        <f t="shared" si="55"/>
        <v>0</v>
      </c>
      <c r="M1190" s="71">
        <f t="shared" si="54"/>
        <v>0</v>
      </c>
      <c r="N1190" s="71" t="str">
        <f>IFERROR(VLOOKUP(M1190,NCAA_Bets[[Date]:[Version]],2,0),"")</f>
        <v/>
      </c>
      <c r="O1190" s="94" t="str">
        <f>COUNTIFS(NCAA_Bets[Date],M1190,NCAA_Bets[Result],"W")&amp;"-"&amp;COUNTIFS(NCAA_Bets[Date],M1190,NCAA_Bets[Result],"L")&amp;IF(COUNTIFS(NCAA_Bets[Date],M1190,NCAA_Bets[Result],"Push")&gt;0,"-"&amp;COUNTIFS(NCAA_Bets[Date],M1190,NCAA_Bets[Result],"Push"),"")</f>
        <v>0-0</v>
      </c>
      <c r="P1190" s="90">
        <f>SUMIF(NCAA_Bets[Date],M1190,NCAA_Bets[Winnings])-SUMIF(NCAA_Bets[Date],M1190,NCAA_Bets[Risk])</f>
        <v>0</v>
      </c>
    </row>
    <row r="1191" spans="2:16" x14ac:dyDescent="0.25">
      <c r="B1191" s="101">
        <f t="shared" si="53"/>
        <v>33</v>
      </c>
      <c r="L1191" s="71">
        <f t="shared" si="55"/>
        <v>0</v>
      </c>
      <c r="M1191" s="71">
        <f t="shared" si="54"/>
        <v>0</v>
      </c>
      <c r="N1191" s="71" t="str">
        <f>IFERROR(VLOOKUP(M1191,NCAA_Bets[[Date]:[Version]],2,0),"")</f>
        <v/>
      </c>
      <c r="O1191" s="94" t="str">
        <f>COUNTIFS(NCAA_Bets[Date],M1191,NCAA_Bets[Result],"W")&amp;"-"&amp;COUNTIFS(NCAA_Bets[Date],M1191,NCAA_Bets[Result],"L")&amp;IF(COUNTIFS(NCAA_Bets[Date],M1191,NCAA_Bets[Result],"Push")&gt;0,"-"&amp;COUNTIFS(NCAA_Bets[Date],M1191,NCAA_Bets[Result],"Push"),"")</f>
        <v>0-0</v>
      </c>
      <c r="P1191" s="90">
        <f>SUMIF(NCAA_Bets[Date],M1191,NCAA_Bets[Winnings])-SUMIF(NCAA_Bets[Date],M1191,NCAA_Bets[Risk])</f>
        <v>0</v>
      </c>
    </row>
    <row r="1192" spans="2:16" x14ac:dyDescent="0.25">
      <c r="B1192" s="101">
        <f t="shared" si="53"/>
        <v>33</v>
      </c>
      <c r="L1192" s="71">
        <f t="shared" si="55"/>
        <v>0</v>
      </c>
      <c r="M1192" s="71">
        <f t="shared" si="54"/>
        <v>0</v>
      </c>
      <c r="N1192" s="71" t="str">
        <f>IFERROR(VLOOKUP(M1192,NCAA_Bets[[Date]:[Version]],2,0),"")</f>
        <v/>
      </c>
      <c r="O1192" s="94" t="str">
        <f>COUNTIFS(NCAA_Bets[Date],M1192,NCAA_Bets[Result],"W")&amp;"-"&amp;COUNTIFS(NCAA_Bets[Date],M1192,NCAA_Bets[Result],"L")&amp;IF(COUNTIFS(NCAA_Bets[Date],M1192,NCAA_Bets[Result],"Push")&gt;0,"-"&amp;COUNTIFS(NCAA_Bets[Date],M1192,NCAA_Bets[Result],"Push"),"")</f>
        <v>0-0</v>
      </c>
      <c r="P1192" s="90">
        <f>SUMIF(NCAA_Bets[Date],M1192,NCAA_Bets[Winnings])-SUMIF(NCAA_Bets[Date],M1192,NCAA_Bets[Risk])</f>
        <v>0</v>
      </c>
    </row>
    <row r="1193" spans="2:16" x14ac:dyDescent="0.25">
      <c r="B1193" s="101">
        <f t="shared" si="53"/>
        <v>33</v>
      </c>
      <c r="L1193" s="71">
        <f t="shared" si="55"/>
        <v>0</v>
      </c>
      <c r="M1193" s="71">
        <f t="shared" si="54"/>
        <v>0</v>
      </c>
      <c r="N1193" s="71" t="str">
        <f>IFERROR(VLOOKUP(M1193,NCAA_Bets[[Date]:[Version]],2,0),"")</f>
        <v/>
      </c>
      <c r="O1193" s="94" t="str">
        <f>COUNTIFS(NCAA_Bets[Date],M1193,NCAA_Bets[Result],"W")&amp;"-"&amp;COUNTIFS(NCAA_Bets[Date],M1193,NCAA_Bets[Result],"L")&amp;IF(COUNTIFS(NCAA_Bets[Date],M1193,NCAA_Bets[Result],"Push")&gt;0,"-"&amp;COUNTIFS(NCAA_Bets[Date],M1193,NCAA_Bets[Result],"Push"),"")</f>
        <v>0-0</v>
      </c>
      <c r="P1193" s="90">
        <f>SUMIF(NCAA_Bets[Date],M1193,NCAA_Bets[Winnings])-SUMIF(NCAA_Bets[Date],M1193,NCAA_Bets[Risk])</f>
        <v>0</v>
      </c>
    </row>
    <row r="1194" spans="2:16" x14ac:dyDescent="0.25">
      <c r="B1194" s="101">
        <f t="shared" si="53"/>
        <v>33</v>
      </c>
      <c r="L1194" s="71">
        <f t="shared" si="55"/>
        <v>0</v>
      </c>
      <c r="M1194" s="71">
        <f t="shared" si="54"/>
        <v>0</v>
      </c>
      <c r="N1194" s="71" t="str">
        <f>IFERROR(VLOOKUP(M1194,NCAA_Bets[[Date]:[Version]],2,0),"")</f>
        <v/>
      </c>
      <c r="O1194" s="94" t="str">
        <f>COUNTIFS(NCAA_Bets[Date],M1194,NCAA_Bets[Result],"W")&amp;"-"&amp;COUNTIFS(NCAA_Bets[Date],M1194,NCAA_Bets[Result],"L")&amp;IF(COUNTIFS(NCAA_Bets[Date],M1194,NCAA_Bets[Result],"Push")&gt;0,"-"&amp;COUNTIFS(NCAA_Bets[Date],M1194,NCAA_Bets[Result],"Push"),"")</f>
        <v>0-0</v>
      </c>
      <c r="P1194" s="90">
        <f>SUMIF(NCAA_Bets[Date],M1194,NCAA_Bets[Winnings])-SUMIF(NCAA_Bets[Date],M1194,NCAA_Bets[Risk])</f>
        <v>0</v>
      </c>
    </row>
    <row r="1195" spans="2:16" x14ac:dyDescent="0.25">
      <c r="B1195" s="101">
        <f t="shared" si="53"/>
        <v>33</v>
      </c>
      <c r="L1195" s="71">
        <f t="shared" si="55"/>
        <v>0</v>
      </c>
      <c r="M1195" s="71">
        <f t="shared" si="54"/>
        <v>0</v>
      </c>
      <c r="N1195" s="71" t="str">
        <f>IFERROR(VLOOKUP(M1195,NCAA_Bets[[Date]:[Version]],2,0),"")</f>
        <v/>
      </c>
      <c r="O1195" s="94" t="str">
        <f>COUNTIFS(NCAA_Bets[Date],M1195,NCAA_Bets[Result],"W")&amp;"-"&amp;COUNTIFS(NCAA_Bets[Date],M1195,NCAA_Bets[Result],"L")&amp;IF(COUNTIFS(NCAA_Bets[Date],M1195,NCAA_Bets[Result],"Push")&gt;0,"-"&amp;COUNTIFS(NCAA_Bets[Date],M1195,NCAA_Bets[Result],"Push"),"")</f>
        <v>0-0</v>
      </c>
      <c r="P1195" s="90">
        <f>SUMIF(NCAA_Bets[Date],M1195,NCAA_Bets[Winnings])-SUMIF(NCAA_Bets[Date],M1195,NCAA_Bets[Risk])</f>
        <v>0</v>
      </c>
    </row>
    <row r="1196" spans="2:16" x14ac:dyDescent="0.25">
      <c r="B1196" s="101">
        <f t="shared" si="53"/>
        <v>33</v>
      </c>
      <c r="L1196" s="71">
        <f t="shared" si="55"/>
        <v>0</v>
      </c>
      <c r="M1196" s="71">
        <f t="shared" si="54"/>
        <v>0</v>
      </c>
      <c r="N1196" s="71" t="str">
        <f>IFERROR(VLOOKUP(M1196,NCAA_Bets[[Date]:[Version]],2,0),"")</f>
        <v/>
      </c>
      <c r="O1196" s="94" t="str">
        <f>COUNTIFS(NCAA_Bets[Date],M1196,NCAA_Bets[Result],"W")&amp;"-"&amp;COUNTIFS(NCAA_Bets[Date],M1196,NCAA_Bets[Result],"L")&amp;IF(COUNTIFS(NCAA_Bets[Date],M1196,NCAA_Bets[Result],"Push")&gt;0,"-"&amp;COUNTIFS(NCAA_Bets[Date],M1196,NCAA_Bets[Result],"Push"),"")</f>
        <v>0-0</v>
      </c>
      <c r="P1196" s="90">
        <f>SUMIF(NCAA_Bets[Date],M1196,NCAA_Bets[Winnings])-SUMIF(NCAA_Bets[Date],M1196,NCAA_Bets[Risk])</f>
        <v>0</v>
      </c>
    </row>
    <row r="1197" spans="2:16" x14ac:dyDescent="0.25">
      <c r="B1197" s="101">
        <f t="shared" si="53"/>
        <v>33</v>
      </c>
      <c r="L1197" s="71">
        <f t="shared" si="55"/>
        <v>0</v>
      </c>
      <c r="M1197" s="71">
        <f t="shared" si="54"/>
        <v>0</v>
      </c>
      <c r="N1197" s="71" t="str">
        <f>IFERROR(VLOOKUP(M1197,NCAA_Bets[[Date]:[Version]],2,0),"")</f>
        <v/>
      </c>
      <c r="O1197" s="94" t="str">
        <f>COUNTIFS(NCAA_Bets[Date],M1197,NCAA_Bets[Result],"W")&amp;"-"&amp;COUNTIFS(NCAA_Bets[Date],M1197,NCAA_Bets[Result],"L")&amp;IF(COUNTIFS(NCAA_Bets[Date],M1197,NCAA_Bets[Result],"Push")&gt;0,"-"&amp;COUNTIFS(NCAA_Bets[Date],M1197,NCAA_Bets[Result],"Push"),"")</f>
        <v>0-0</v>
      </c>
      <c r="P1197" s="90">
        <f>SUMIF(NCAA_Bets[Date],M1197,NCAA_Bets[Winnings])-SUMIF(NCAA_Bets[Date],M1197,NCAA_Bets[Risk])</f>
        <v>0</v>
      </c>
    </row>
    <row r="1198" spans="2:16" x14ac:dyDescent="0.25">
      <c r="B1198" s="101">
        <f t="shared" si="53"/>
        <v>33</v>
      </c>
      <c r="L1198" s="71">
        <f t="shared" si="55"/>
        <v>0</v>
      </c>
      <c r="M1198" s="71">
        <f t="shared" si="54"/>
        <v>0</v>
      </c>
      <c r="N1198" s="71" t="str">
        <f>IFERROR(VLOOKUP(M1198,NCAA_Bets[[Date]:[Version]],2,0),"")</f>
        <v/>
      </c>
      <c r="O1198" s="94" t="str">
        <f>COUNTIFS(NCAA_Bets[Date],M1198,NCAA_Bets[Result],"W")&amp;"-"&amp;COUNTIFS(NCAA_Bets[Date],M1198,NCAA_Bets[Result],"L")&amp;IF(COUNTIFS(NCAA_Bets[Date],M1198,NCAA_Bets[Result],"Push")&gt;0,"-"&amp;COUNTIFS(NCAA_Bets[Date],M1198,NCAA_Bets[Result],"Push"),"")</f>
        <v>0-0</v>
      </c>
      <c r="P1198" s="90">
        <f>SUMIF(NCAA_Bets[Date],M1198,NCAA_Bets[Winnings])-SUMIF(NCAA_Bets[Date],M1198,NCAA_Bets[Risk])</f>
        <v>0</v>
      </c>
    </row>
    <row r="1199" spans="2:16" x14ac:dyDescent="0.25">
      <c r="B1199" s="101">
        <f t="shared" si="53"/>
        <v>33</v>
      </c>
      <c r="L1199" s="71">
        <f t="shared" si="55"/>
        <v>0</v>
      </c>
      <c r="M1199" s="71">
        <f t="shared" si="54"/>
        <v>0</v>
      </c>
      <c r="N1199" s="71" t="str">
        <f>IFERROR(VLOOKUP(M1199,NCAA_Bets[[Date]:[Version]],2,0),"")</f>
        <v/>
      </c>
      <c r="O1199" s="94" t="str">
        <f>COUNTIFS(NCAA_Bets[Date],M1199,NCAA_Bets[Result],"W")&amp;"-"&amp;COUNTIFS(NCAA_Bets[Date],M1199,NCAA_Bets[Result],"L")&amp;IF(COUNTIFS(NCAA_Bets[Date],M1199,NCAA_Bets[Result],"Push")&gt;0,"-"&amp;COUNTIFS(NCAA_Bets[Date],M1199,NCAA_Bets[Result],"Push"),"")</f>
        <v>0-0</v>
      </c>
      <c r="P1199" s="90">
        <f>SUMIF(NCAA_Bets[Date],M1199,NCAA_Bets[Winnings])-SUMIF(NCAA_Bets[Date],M1199,NCAA_Bets[Risk])</f>
        <v>0</v>
      </c>
    </row>
    <row r="1200" spans="2:16" x14ac:dyDescent="0.25">
      <c r="B1200" s="101">
        <f t="shared" si="53"/>
        <v>33</v>
      </c>
      <c r="L1200" s="71">
        <f t="shared" si="55"/>
        <v>0</v>
      </c>
      <c r="M1200" s="71">
        <f t="shared" si="54"/>
        <v>0</v>
      </c>
      <c r="N1200" s="71" t="str">
        <f>IFERROR(VLOOKUP(M1200,NCAA_Bets[[Date]:[Version]],2,0),"")</f>
        <v/>
      </c>
      <c r="O1200" s="94" t="str">
        <f>COUNTIFS(NCAA_Bets[Date],M1200,NCAA_Bets[Result],"W")&amp;"-"&amp;COUNTIFS(NCAA_Bets[Date],M1200,NCAA_Bets[Result],"L")&amp;IF(COUNTIFS(NCAA_Bets[Date],M1200,NCAA_Bets[Result],"Push")&gt;0,"-"&amp;COUNTIFS(NCAA_Bets[Date],M1200,NCAA_Bets[Result],"Push"),"")</f>
        <v>0-0</v>
      </c>
      <c r="P1200" s="90">
        <f>SUMIF(NCAA_Bets[Date],M1200,NCAA_Bets[Winnings])-SUMIF(NCAA_Bets[Date],M1200,NCAA_Bets[Risk])</f>
        <v>0</v>
      </c>
    </row>
    <row r="1201" spans="2:16" x14ac:dyDescent="0.25">
      <c r="B1201" s="101">
        <f t="shared" si="53"/>
        <v>33</v>
      </c>
      <c r="L1201" s="71">
        <f t="shared" si="55"/>
        <v>0</v>
      </c>
      <c r="M1201" s="71">
        <f t="shared" si="54"/>
        <v>0</v>
      </c>
      <c r="N1201" s="71" t="str">
        <f>IFERROR(VLOOKUP(M1201,NCAA_Bets[[Date]:[Version]],2,0),"")</f>
        <v/>
      </c>
      <c r="O1201" s="94" t="str">
        <f>COUNTIFS(NCAA_Bets[Date],M1201,NCAA_Bets[Result],"W")&amp;"-"&amp;COUNTIFS(NCAA_Bets[Date],M1201,NCAA_Bets[Result],"L")&amp;IF(COUNTIFS(NCAA_Bets[Date],M1201,NCAA_Bets[Result],"Push")&gt;0,"-"&amp;COUNTIFS(NCAA_Bets[Date],M1201,NCAA_Bets[Result],"Push"),"")</f>
        <v>0-0</v>
      </c>
      <c r="P1201" s="90">
        <f>SUMIF(NCAA_Bets[Date],M1201,NCAA_Bets[Winnings])-SUMIF(NCAA_Bets[Date],M1201,NCAA_Bets[Risk])</f>
        <v>0</v>
      </c>
    </row>
    <row r="1202" spans="2:16" x14ac:dyDescent="0.25">
      <c r="B1202" s="101">
        <f t="shared" si="53"/>
        <v>33</v>
      </c>
      <c r="L1202" s="71">
        <f t="shared" si="55"/>
        <v>0</v>
      </c>
      <c r="M1202" s="71">
        <f t="shared" si="54"/>
        <v>0</v>
      </c>
      <c r="N1202" s="71" t="str">
        <f>IFERROR(VLOOKUP(M1202,NCAA_Bets[[Date]:[Version]],2,0),"")</f>
        <v/>
      </c>
      <c r="O1202" s="94" t="str">
        <f>COUNTIFS(NCAA_Bets[Date],M1202,NCAA_Bets[Result],"W")&amp;"-"&amp;COUNTIFS(NCAA_Bets[Date],M1202,NCAA_Bets[Result],"L")&amp;IF(COUNTIFS(NCAA_Bets[Date],M1202,NCAA_Bets[Result],"Push")&gt;0,"-"&amp;COUNTIFS(NCAA_Bets[Date],M1202,NCAA_Bets[Result],"Push"),"")</f>
        <v>0-0</v>
      </c>
      <c r="P1202" s="90">
        <f>SUMIF(NCAA_Bets[Date],M1202,NCAA_Bets[Winnings])-SUMIF(NCAA_Bets[Date],M1202,NCAA_Bets[Risk])</f>
        <v>0</v>
      </c>
    </row>
    <row r="1203" spans="2:16" x14ac:dyDescent="0.25">
      <c r="B1203" s="101">
        <f t="shared" si="53"/>
        <v>33</v>
      </c>
      <c r="L1203" s="71">
        <f t="shared" si="55"/>
        <v>0</v>
      </c>
      <c r="M1203" s="71">
        <f t="shared" si="54"/>
        <v>0</v>
      </c>
      <c r="N1203" s="71" t="str">
        <f>IFERROR(VLOOKUP(M1203,NCAA_Bets[[Date]:[Version]],2,0),"")</f>
        <v/>
      </c>
      <c r="O1203" s="94" t="str">
        <f>COUNTIFS(NCAA_Bets[Date],M1203,NCAA_Bets[Result],"W")&amp;"-"&amp;COUNTIFS(NCAA_Bets[Date],M1203,NCAA_Bets[Result],"L")&amp;IF(COUNTIFS(NCAA_Bets[Date],M1203,NCAA_Bets[Result],"Push")&gt;0,"-"&amp;COUNTIFS(NCAA_Bets[Date],M1203,NCAA_Bets[Result],"Push"),"")</f>
        <v>0-0</v>
      </c>
      <c r="P1203" s="90">
        <f>SUMIF(NCAA_Bets[Date],M1203,NCAA_Bets[Winnings])-SUMIF(NCAA_Bets[Date],M1203,NCAA_Bets[Risk])</f>
        <v>0</v>
      </c>
    </row>
    <row r="1204" spans="2:16" x14ac:dyDescent="0.25">
      <c r="B1204" s="101">
        <f t="shared" si="53"/>
        <v>33</v>
      </c>
      <c r="L1204" s="71">
        <f t="shared" si="55"/>
        <v>0</v>
      </c>
      <c r="M1204" s="71">
        <f t="shared" si="54"/>
        <v>0</v>
      </c>
      <c r="N1204" s="71" t="str">
        <f>IFERROR(VLOOKUP(M1204,NCAA_Bets[[Date]:[Version]],2,0),"")</f>
        <v/>
      </c>
      <c r="O1204" s="94" t="str">
        <f>COUNTIFS(NCAA_Bets[Date],M1204,NCAA_Bets[Result],"W")&amp;"-"&amp;COUNTIFS(NCAA_Bets[Date],M1204,NCAA_Bets[Result],"L")&amp;IF(COUNTIFS(NCAA_Bets[Date],M1204,NCAA_Bets[Result],"Push")&gt;0,"-"&amp;COUNTIFS(NCAA_Bets[Date],M1204,NCAA_Bets[Result],"Push"),"")</f>
        <v>0-0</v>
      </c>
      <c r="P1204" s="90">
        <f>SUMIF(NCAA_Bets[Date],M1204,NCAA_Bets[Winnings])-SUMIF(NCAA_Bets[Date],M1204,NCAA_Bets[Risk])</f>
        <v>0</v>
      </c>
    </row>
    <row r="1205" spans="2:16" x14ac:dyDescent="0.25">
      <c r="B1205" s="101">
        <f t="shared" si="53"/>
        <v>33</v>
      </c>
      <c r="L1205" s="71">
        <f t="shared" si="55"/>
        <v>0</v>
      </c>
      <c r="M1205" s="71">
        <f t="shared" si="54"/>
        <v>0</v>
      </c>
      <c r="N1205" s="71" t="str">
        <f>IFERROR(VLOOKUP(M1205,NCAA_Bets[[Date]:[Version]],2,0),"")</f>
        <v/>
      </c>
      <c r="O1205" s="94" t="str">
        <f>COUNTIFS(NCAA_Bets[Date],M1205,NCAA_Bets[Result],"W")&amp;"-"&amp;COUNTIFS(NCAA_Bets[Date],M1205,NCAA_Bets[Result],"L")&amp;IF(COUNTIFS(NCAA_Bets[Date],M1205,NCAA_Bets[Result],"Push")&gt;0,"-"&amp;COUNTIFS(NCAA_Bets[Date],M1205,NCAA_Bets[Result],"Push"),"")</f>
        <v>0-0</v>
      </c>
      <c r="P1205" s="90">
        <f>SUMIF(NCAA_Bets[Date],M1205,NCAA_Bets[Winnings])-SUMIF(NCAA_Bets[Date],M1205,NCAA_Bets[Risk])</f>
        <v>0</v>
      </c>
    </row>
    <row r="1206" spans="2:16" x14ac:dyDescent="0.25">
      <c r="B1206" s="101">
        <f t="shared" si="53"/>
        <v>33</v>
      </c>
      <c r="L1206" s="71">
        <f t="shared" si="55"/>
        <v>0</v>
      </c>
      <c r="M1206" s="71">
        <f t="shared" si="54"/>
        <v>0</v>
      </c>
      <c r="N1206" s="71" t="str">
        <f>IFERROR(VLOOKUP(M1206,NCAA_Bets[[Date]:[Version]],2,0),"")</f>
        <v/>
      </c>
      <c r="O1206" s="94" t="str">
        <f>COUNTIFS(NCAA_Bets[Date],M1206,NCAA_Bets[Result],"W")&amp;"-"&amp;COUNTIFS(NCAA_Bets[Date],M1206,NCAA_Bets[Result],"L")&amp;IF(COUNTIFS(NCAA_Bets[Date],M1206,NCAA_Bets[Result],"Push")&gt;0,"-"&amp;COUNTIFS(NCAA_Bets[Date],M1206,NCAA_Bets[Result],"Push"),"")</f>
        <v>0-0</v>
      </c>
      <c r="P1206" s="90">
        <f>SUMIF(NCAA_Bets[Date],M1206,NCAA_Bets[Winnings])-SUMIF(NCAA_Bets[Date],M1206,NCAA_Bets[Risk])</f>
        <v>0</v>
      </c>
    </row>
    <row r="1207" spans="2:16" x14ac:dyDescent="0.25">
      <c r="B1207" s="101">
        <f t="shared" si="53"/>
        <v>33</v>
      </c>
      <c r="L1207" s="71">
        <f t="shared" si="55"/>
        <v>0</v>
      </c>
      <c r="M1207" s="71">
        <f t="shared" si="54"/>
        <v>0</v>
      </c>
      <c r="N1207" s="71" t="str">
        <f>IFERROR(VLOOKUP(M1207,NCAA_Bets[[Date]:[Version]],2,0),"")</f>
        <v/>
      </c>
      <c r="O1207" s="94" t="str">
        <f>COUNTIFS(NCAA_Bets[Date],M1207,NCAA_Bets[Result],"W")&amp;"-"&amp;COUNTIFS(NCAA_Bets[Date],M1207,NCAA_Bets[Result],"L")&amp;IF(COUNTIFS(NCAA_Bets[Date],M1207,NCAA_Bets[Result],"Push")&gt;0,"-"&amp;COUNTIFS(NCAA_Bets[Date],M1207,NCAA_Bets[Result],"Push"),"")</f>
        <v>0-0</v>
      </c>
      <c r="P1207" s="90">
        <f>SUMIF(NCAA_Bets[Date],M1207,NCAA_Bets[Winnings])-SUMIF(NCAA_Bets[Date],M1207,NCAA_Bets[Risk])</f>
        <v>0</v>
      </c>
    </row>
    <row r="1208" spans="2:16" x14ac:dyDescent="0.25">
      <c r="B1208" s="101">
        <f t="shared" si="53"/>
        <v>33</v>
      </c>
      <c r="L1208" s="71">
        <f t="shared" si="55"/>
        <v>0</v>
      </c>
      <c r="M1208" s="71">
        <f t="shared" si="54"/>
        <v>0</v>
      </c>
      <c r="N1208" s="71" t="str">
        <f>IFERROR(VLOOKUP(M1208,NCAA_Bets[[Date]:[Version]],2,0),"")</f>
        <v/>
      </c>
      <c r="O1208" s="94" t="str">
        <f>COUNTIFS(NCAA_Bets[Date],M1208,NCAA_Bets[Result],"W")&amp;"-"&amp;COUNTIFS(NCAA_Bets[Date],M1208,NCAA_Bets[Result],"L")&amp;IF(COUNTIFS(NCAA_Bets[Date],M1208,NCAA_Bets[Result],"Push")&gt;0,"-"&amp;COUNTIFS(NCAA_Bets[Date],M1208,NCAA_Bets[Result],"Push"),"")</f>
        <v>0-0</v>
      </c>
      <c r="P1208" s="90">
        <f>SUMIF(NCAA_Bets[Date],M1208,NCAA_Bets[Winnings])-SUMIF(NCAA_Bets[Date],M1208,NCAA_Bets[Risk])</f>
        <v>0</v>
      </c>
    </row>
    <row r="1209" spans="2:16" x14ac:dyDescent="0.25">
      <c r="B1209" s="101">
        <f t="shared" si="53"/>
        <v>33</v>
      </c>
      <c r="L1209" s="71">
        <f t="shared" si="55"/>
        <v>0</v>
      </c>
      <c r="M1209" s="71">
        <f t="shared" si="54"/>
        <v>0</v>
      </c>
      <c r="N1209" s="71" t="str">
        <f>IFERROR(VLOOKUP(M1209,NCAA_Bets[[Date]:[Version]],2,0),"")</f>
        <v/>
      </c>
      <c r="O1209" s="94" t="str">
        <f>COUNTIFS(NCAA_Bets[Date],M1209,NCAA_Bets[Result],"W")&amp;"-"&amp;COUNTIFS(NCAA_Bets[Date],M1209,NCAA_Bets[Result],"L")&amp;IF(COUNTIFS(NCAA_Bets[Date],M1209,NCAA_Bets[Result],"Push")&gt;0,"-"&amp;COUNTIFS(NCAA_Bets[Date],M1209,NCAA_Bets[Result],"Push"),"")</f>
        <v>0-0</v>
      </c>
      <c r="P1209" s="90">
        <f>SUMIF(NCAA_Bets[Date],M1209,NCAA_Bets[Winnings])-SUMIF(NCAA_Bets[Date],M1209,NCAA_Bets[Risk])</f>
        <v>0</v>
      </c>
    </row>
    <row r="1210" spans="2:16" x14ac:dyDescent="0.25">
      <c r="B1210" s="101">
        <f t="shared" si="53"/>
        <v>33</v>
      </c>
      <c r="L1210" s="71">
        <f t="shared" si="55"/>
        <v>0</v>
      </c>
      <c r="M1210" s="71">
        <f t="shared" si="54"/>
        <v>0</v>
      </c>
      <c r="N1210" s="71" t="str">
        <f>IFERROR(VLOOKUP(M1210,NCAA_Bets[[Date]:[Version]],2,0),"")</f>
        <v/>
      </c>
      <c r="O1210" s="94" t="str">
        <f>COUNTIFS(NCAA_Bets[Date],M1210,NCAA_Bets[Result],"W")&amp;"-"&amp;COUNTIFS(NCAA_Bets[Date],M1210,NCAA_Bets[Result],"L")&amp;IF(COUNTIFS(NCAA_Bets[Date],M1210,NCAA_Bets[Result],"Push")&gt;0,"-"&amp;COUNTIFS(NCAA_Bets[Date],M1210,NCAA_Bets[Result],"Push"),"")</f>
        <v>0-0</v>
      </c>
      <c r="P1210" s="90">
        <f>SUMIF(NCAA_Bets[Date],M1210,NCAA_Bets[Winnings])-SUMIF(NCAA_Bets[Date],M1210,NCAA_Bets[Risk])</f>
        <v>0</v>
      </c>
    </row>
    <row r="1211" spans="2:16" x14ac:dyDescent="0.25">
      <c r="B1211" s="101">
        <f t="shared" si="53"/>
        <v>33</v>
      </c>
      <c r="L1211" s="71">
        <f t="shared" si="55"/>
        <v>0</v>
      </c>
      <c r="M1211" s="71">
        <f t="shared" si="54"/>
        <v>0</v>
      </c>
      <c r="N1211" s="71" t="str">
        <f>IFERROR(VLOOKUP(M1211,NCAA_Bets[[Date]:[Version]],2,0),"")</f>
        <v/>
      </c>
      <c r="O1211" s="94" t="str">
        <f>COUNTIFS(NCAA_Bets[Date],M1211,NCAA_Bets[Result],"W")&amp;"-"&amp;COUNTIFS(NCAA_Bets[Date],M1211,NCAA_Bets[Result],"L")&amp;IF(COUNTIFS(NCAA_Bets[Date],M1211,NCAA_Bets[Result],"Push")&gt;0,"-"&amp;COUNTIFS(NCAA_Bets[Date],M1211,NCAA_Bets[Result],"Push"),"")</f>
        <v>0-0</v>
      </c>
      <c r="P1211" s="90">
        <f>SUMIF(NCAA_Bets[Date],M1211,NCAA_Bets[Winnings])-SUMIF(NCAA_Bets[Date],M1211,NCAA_Bets[Risk])</f>
        <v>0</v>
      </c>
    </row>
    <row r="1212" spans="2:16" x14ac:dyDescent="0.25">
      <c r="B1212" s="101">
        <f t="shared" si="53"/>
        <v>33</v>
      </c>
      <c r="L1212" s="71">
        <f t="shared" si="55"/>
        <v>0</v>
      </c>
      <c r="M1212" s="71">
        <f t="shared" si="54"/>
        <v>0</v>
      </c>
      <c r="N1212" s="71" t="str">
        <f>IFERROR(VLOOKUP(M1212,NCAA_Bets[[Date]:[Version]],2,0),"")</f>
        <v/>
      </c>
      <c r="O1212" s="94" t="str">
        <f>COUNTIFS(NCAA_Bets[Date],M1212,NCAA_Bets[Result],"W")&amp;"-"&amp;COUNTIFS(NCAA_Bets[Date],M1212,NCAA_Bets[Result],"L")&amp;IF(COUNTIFS(NCAA_Bets[Date],M1212,NCAA_Bets[Result],"Push")&gt;0,"-"&amp;COUNTIFS(NCAA_Bets[Date],M1212,NCAA_Bets[Result],"Push"),"")</f>
        <v>0-0</v>
      </c>
      <c r="P1212" s="90">
        <f>SUMIF(NCAA_Bets[Date],M1212,NCAA_Bets[Winnings])-SUMIF(NCAA_Bets[Date],M1212,NCAA_Bets[Risk])</f>
        <v>0</v>
      </c>
    </row>
    <row r="1213" spans="2:16" x14ac:dyDescent="0.25">
      <c r="B1213" s="101">
        <f t="shared" si="53"/>
        <v>33</v>
      </c>
      <c r="L1213" s="71">
        <f t="shared" si="55"/>
        <v>0</v>
      </c>
      <c r="M1213" s="71">
        <f t="shared" si="54"/>
        <v>0</v>
      </c>
      <c r="N1213" s="71" t="str">
        <f>IFERROR(VLOOKUP(M1213,NCAA_Bets[[Date]:[Version]],2,0),"")</f>
        <v/>
      </c>
      <c r="O1213" s="94" t="str">
        <f>COUNTIFS(NCAA_Bets[Date],M1213,NCAA_Bets[Result],"W")&amp;"-"&amp;COUNTIFS(NCAA_Bets[Date],M1213,NCAA_Bets[Result],"L")&amp;IF(COUNTIFS(NCAA_Bets[Date],M1213,NCAA_Bets[Result],"Push")&gt;0,"-"&amp;COUNTIFS(NCAA_Bets[Date],M1213,NCAA_Bets[Result],"Push"),"")</f>
        <v>0-0</v>
      </c>
      <c r="P1213" s="90">
        <f>SUMIF(NCAA_Bets[Date],M1213,NCAA_Bets[Winnings])-SUMIF(NCAA_Bets[Date],M1213,NCAA_Bets[Risk])</f>
        <v>0</v>
      </c>
    </row>
    <row r="1214" spans="2:16" x14ac:dyDescent="0.25">
      <c r="B1214" s="101">
        <f t="shared" si="53"/>
        <v>33</v>
      </c>
      <c r="L1214" s="71">
        <f t="shared" si="55"/>
        <v>0</v>
      </c>
      <c r="M1214" s="71">
        <f t="shared" si="54"/>
        <v>0</v>
      </c>
      <c r="N1214" s="71" t="str">
        <f>IFERROR(VLOOKUP(M1214,NCAA_Bets[[Date]:[Version]],2,0),"")</f>
        <v/>
      </c>
      <c r="O1214" s="94" t="str">
        <f>COUNTIFS(NCAA_Bets[Date],M1214,NCAA_Bets[Result],"W")&amp;"-"&amp;COUNTIFS(NCAA_Bets[Date],M1214,NCAA_Bets[Result],"L")&amp;IF(COUNTIFS(NCAA_Bets[Date],M1214,NCAA_Bets[Result],"Push")&gt;0,"-"&amp;COUNTIFS(NCAA_Bets[Date],M1214,NCAA_Bets[Result],"Push"),"")</f>
        <v>0-0</v>
      </c>
      <c r="P1214" s="90">
        <f>SUMIF(NCAA_Bets[Date],M1214,NCAA_Bets[Winnings])-SUMIF(NCAA_Bets[Date],M1214,NCAA_Bets[Risk])</f>
        <v>0</v>
      </c>
    </row>
    <row r="1215" spans="2:16" x14ac:dyDescent="0.25">
      <c r="B1215" s="101">
        <f t="shared" si="53"/>
        <v>33</v>
      </c>
      <c r="L1215" s="71">
        <f t="shared" si="55"/>
        <v>0</v>
      </c>
      <c r="M1215" s="71">
        <f t="shared" si="54"/>
        <v>0</v>
      </c>
      <c r="N1215" s="71" t="str">
        <f>IFERROR(VLOOKUP(M1215,NCAA_Bets[[Date]:[Version]],2,0),"")</f>
        <v/>
      </c>
      <c r="O1215" s="94" t="str">
        <f>COUNTIFS(NCAA_Bets[Date],M1215,NCAA_Bets[Result],"W")&amp;"-"&amp;COUNTIFS(NCAA_Bets[Date],M1215,NCAA_Bets[Result],"L")&amp;IF(COUNTIFS(NCAA_Bets[Date],M1215,NCAA_Bets[Result],"Push")&gt;0,"-"&amp;COUNTIFS(NCAA_Bets[Date],M1215,NCAA_Bets[Result],"Push"),"")</f>
        <v>0-0</v>
      </c>
      <c r="P1215" s="90">
        <f>SUMIF(NCAA_Bets[Date],M1215,NCAA_Bets[Winnings])-SUMIF(NCAA_Bets[Date],M1215,NCAA_Bets[Risk])</f>
        <v>0</v>
      </c>
    </row>
    <row r="1216" spans="2:16" x14ac:dyDescent="0.25">
      <c r="B1216" s="101">
        <f t="shared" si="53"/>
        <v>33</v>
      </c>
      <c r="L1216" s="71">
        <f t="shared" si="55"/>
        <v>0</v>
      </c>
      <c r="M1216" s="71">
        <f t="shared" si="54"/>
        <v>0</v>
      </c>
      <c r="N1216" s="71" t="str">
        <f>IFERROR(VLOOKUP(M1216,NCAA_Bets[[Date]:[Version]],2,0),"")</f>
        <v/>
      </c>
      <c r="O1216" s="94" t="str">
        <f>COUNTIFS(NCAA_Bets[Date],M1216,NCAA_Bets[Result],"W")&amp;"-"&amp;COUNTIFS(NCAA_Bets[Date],M1216,NCAA_Bets[Result],"L")&amp;IF(COUNTIFS(NCAA_Bets[Date],M1216,NCAA_Bets[Result],"Push")&gt;0,"-"&amp;COUNTIFS(NCAA_Bets[Date],M1216,NCAA_Bets[Result],"Push"),"")</f>
        <v>0-0</v>
      </c>
      <c r="P1216" s="90">
        <f>SUMIF(NCAA_Bets[Date],M1216,NCAA_Bets[Winnings])-SUMIF(NCAA_Bets[Date],M1216,NCAA_Bets[Risk])</f>
        <v>0</v>
      </c>
    </row>
    <row r="1217" spans="2:16" x14ac:dyDescent="0.25">
      <c r="B1217" s="101">
        <f t="shared" si="53"/>
        <v>33</v>
      </c>
      <c r="L1217" s="71">
        <f t="shared" si="55"/>
        <v>0</v>
      </c>
      <c r="M1217" s="71">
        <f t="shared" si="54"/>
        <v>0</v>
      </c>
      <c r="N1217" s="71" t="str">
        <f>IFERROR(VLOOKUP(M1217,NCAA_Bets[[Date]:[Version]],2,0),"")</f>
        <v/>
      </c>
      <c r="O1217" s="94" t="str">
        <f>COUNTIFS(NCAA_Bets[Date],M1217,NCAA_Bets[Result],"W")&amp;"-"&amp;COUNTIFS(NCAA_Bets[Date],M1217,NCAA_Bets[Result],"L")&amp;IF(COUNTIFS(NCAA_Bets[Date],M1217,NCAA_Bets[Result],"Push")&gt;0,"-"&amp;COUNTIFS(NCAA_Bets[Date],M1217,NCAA_Bets[Result],"Push"),"")</f>
        <v>0-0</v>
      </c>
      <c r="P1217" s="90">
        <f>SUMIF(NCAA_Bets[Date],M1217,NCAA_Bets[Winnings])-SUMIF(NCAA_Bets[Date],M1217,NCAA_Bets[Risk])</f>
        <v>0</v>
      </c>
    </row>
    <row r="1218" spans="2:16" x14ac:dyDescent="0.25">
      <c r="B1218" s="101">
        <f t="shared" si="53"/>
        <v>33</v>
      </c>
      <c r="L1218" s="71">
        <f t="shared" si="55"/>
        <v>0</v>
      </c>
      <c r="M1218" s="71">
        <f t="shared" si="54"/>
        <v>0</v>
      </c>
      <c r="N1218" s="71" t="str">
        <f>IFERROR(VLOOKUP(M1218,NCAA_Bets[[Date]:[Version]],2,0),"")</f>
        <v/>
      </c>
      <c r="O1218" s="94" t="str">
        <f>COUNTIFS(NCAA_Bets[Date],M1218,NCAA_Bets[Result],"W")&amp;"-"&amp;COUNTIFS(NCAA_Bets[Date],M1218,NCAA_Bets[Result],"L")&amp;IF(COUNTIFS(NCAA_Bets[Date],M1218,NCAA_Bets[Result],"Push")&gt;0,"-"&amp;COUNTIFS(NCAA_Bets[Date],M1218,NCAA_Bets[Result],"Push"),"")</f>
        <v>0-0</v>
      </c>
      <c r="P1218" s="90">
        <f>SUMIF(NCAA_Bets[Date],M1218,NCAA_Bets[Winnings])-SUMIF(NCAA_Bets[Date],M1218,NCAA_Bets[Risk])</f>
        <v>0</v>
      </c>
    </row>
    <row r="1219" spans="2:16" x14ac:dyDescent="0.25">
      <c r="B1219" s="101">
        <f t="shared" si="53"/>
        <v>33</v>
      </c>
      <c r="L1219" s="71">
        <f t="shared" si="55"/>
        <v>0</v>
      </c>
      <c r="M1219" s="71">
        <f t="shared" si="54"/>
        <v>0</v>
      </c>
      <c r="N1219" s="71" t="str">
        <f>IFERROR(VLOOKUP(M1219,NCAA_Bets[[Date]:[Version]],2,0),"")</f>
        <v/>
      </c>
      <c r="O1219" s="94" t="str">
        <f>COUNTIFS(NCAA_Bets[Date],M1219,NCAA_Bets[Result],"W")&amp;"-"&amp;COUNTIFS(NCAA_Bets[Date],M1219,NCAA_Bets[Result],"L")&amp;IF(COUNTIFS(NCAA_Bets[Date],M1219,NCAA_Bets[Result],"Push")&gt;0,"-"&amp;COUNTIFS(NCAA_Bets[Date],M1219,NCAA_Bets[Result],"Push"),"")</f>
        <v>0-0</v>
      </c>
      <c r="P1219" s="90">
        <f>SUMIF(NCAA_Bets[Date],M1219,NCAA_Bets[Winnings])-SUMIF(NCAA_Bets[Date],M1219,NCAA_Bets[Risk])</f>
        <v>0</v>
      </c>
    </row>
    <row r="1220" spans="2:16" x14ac:dyDescent="0.25">
      <c r="B1220" s="101">
        <f t="shared" si="53"/>
        <v>33</v>
      </c>
      <c r="L1220" s="71">
        <f t="shared" si="55"/>
        <v>0</v>
      </c>
      <c r="M1220" s="71">
        <f t="shared" si="54"/>
        <v>0</v>
      </c>
      <c r="N1220" s="71" t="str">
        <f>IFERROR(VLOOKUP(M1220,NCAA_Bets[[Date]:[Version]],2,0),"")</f>
        <v/>
      </c>
      <c r="O1220" s="94" t="str">
        <f>COUNTIFS(NCAA_Bets[Date],M1220,NCAA_Bets[Result],"W")&amp;"-"&amp;COUNTIFS(NCAA_Bets[Date],M1220,NCAA_Bets[Result],"L")&amp;IF(COUNTIFS(NCAA_Bets[Date],M1220,NCAA_Bets[Result],"Push")&gt;0,"-"&amp;COUNTIFS(NCAA_Bets[Date],M1220,NCAA_Bets[Result],"Push"),"")</f>
        <v>0-0</v>
      </c>
      <c r="P1220" s="90">
        <f>SUMIF(NCAA_Bets[Date],M1220,NCAA_Bets[Winnings])-SUMIF(NCAA_Bets[Date],M1220,NCAA_Bets[Risk])</f>
        <v>0</v>
      </c>
    </row>
    <row r="1221" spans="2:16" x14ac:dyDescent="0.25">
      <c r="B1221" s="101">
        <f t="shared" si="53"/>
        <v>33</v>
      </c>
      <c r="L1221" s="71">
        <f t="shared" si="55"/>
        <v>0</v>
      </c>
      <c r="M1221" s="71">
        <f t="shared" si="54"/>
        <v>0</v>
      </c>
      <c r="N1221" s="71" t="str">
        <f>IFERROR(VLOOKUP(M1221,NCAA_Bets[[Date]:[Version]],2,0),"")</f>
        <v/>
      </c>
      <c r="O1221" s="94" t="str">
        <f>COUNTIFS(NCAA_Bets[Date],M1221,NCAA_Bets[Result],"W")&amp;"-"&amp;COUNTIFS(NCAA_Bets[Date],M1221,NCAA_Bets[Result],"L")&amp;IF(COUNTIFS(NCAA_Bets[Date],M1221,NCAA_Bets[Result],"Push")&gt;0,"-"&amp;COUNTIFS(NCAA_Bets[Date],M1221,NCAA_Bets[Result],"Push"),"")</f>
        <v>0-0</v>
      </c>
      <c r="P1221" s="90">
        <f>SUMIF(NCAA_Bets[Date],M1221,NCAA_Bets[Winnings])-SUMIF(NCAA_Bets[Date],M1221,NCAA_Bets[Risk])</f>
        <v>0</v>
      </c>
    </row>
    <row r="1222" spans="2:16" x14ac:dyDescent="0.25">
      <c r="B1222" s="101">
        <f t="shared" ref="B1222:B1285" si="56">IF(C1222=C1221,B1221,B1221+1)</f>
        <v>33</v>
      </c>
      <c r="L1222" s="71">
        <f t="shared" si="55"/>
        <v>0</v>
      </c>
      <c r="M1222" s="71">
        <f t="shared" si="54"/>
        <v>0</v>
      </c>
      <c r="N1222" s="71" t="str">
        <f>IFERROR(VLOOKUP(M1222,NCAA_Bets[[Date]:[Version]],2,0),"")</f>
        <v/>
      </c>
      <c r="O1222" s="94" t="str">
        <f>COUNTIFS(NCAA_Bets[Date],M1222,NCAA_Bets[Result],"W")&amp;"-"&amp;COUNTIFS(NCAA_Bets[Date],M1222,NCAA_Bets[Result],"L")&amp;IF(COUNTIFS(NCAA_Bets[Date],M1222,NCAA_Bets[Result],"Push")&gt;0,"-"&amp;COUNTIFS(NCAA_Bets[Date],M1222,NCAA_Bets[Result],"Push"),"")</f>
        <v>0-0</v>
      </c>
      <c r="P1222" s="90">
        <f>SUMIF(NCAA_Bets[Date],M1222,NCAA_Bets[Winnings])-SUMIF(NCAA_Bets[Date],M1222,NCAA_Bets[Risk])</f>
        <v>0</v>
      </c>
    </row>
    <row r="1223" spans="2:16" x14ac:dyDescent="0.25">
      <c r="B1223" s="101">
        <f t="shared" si="56"/>
        <v>33</v>
      </c>
      <c r="L1223" s="71">
        <f t="shared" si="55"/>
        <v>0</v>
      </c>
      <c r="M1223" s="71">
        <f t="shared" si="54"/>
        <v>0</v>
      </c>
      <c r="N1223" s="71" t="str">
        <f>IFERROR(VLOOKUP(M1223,NCAA_Bets[[Date]:[Version]],2,0),"")</f>
        <v/>
      </c>
      <c r="O1223" s="94" t="str">
        <f>COUNTIFS(NCAA_Bets[Date],M1223,NCAA_Bets[Result],"W")&amp;"-"&amp;COUNTIFS(NCAA_Bets[Date],M1223,NCAA_Bets[Result],"L")&amp;IF(COUNTIFS(NCAA_Bets[Date],M1223,NCAA_Bets[Result],"Push")&gt;0,"-"&amp;COUNTIFS(NCAA_Bets[Date],M1223,NCAA_Bets[Result],"Push"),"")</f>
        <v>0-0</v>
      </c>
      <c r="P1223" s="90">
        <f>SUMIF(NCAA_Bets[Date],M1223,NCAA_Bets[Winnings])-SUMIF(NCAA_Bets[Date],M1223,NCAA_Bets[Risk])</f>
        <v>0</v>
      </c>
    </row>
    <row r="1224" spans="2:16" x14ac:dyDescent="0.25">
      <c r="B1224" s="101">
        <f t="shared" si="56"/>
        <v>33</v>
      </c>
      <c r="L1224" s="71">
        <f t="shared" si="55"/>
        <v>0</v>
      </c>
      <c r="M1224" s="71">
        <f t="shared" si="54"/>
        <v>0</v>
      </c>
      <c r="N1224" s="71" t="str">
        <f>IFERROR(VLOOKUP(M1224,NCAA_Bets[[Date]:[Version]],2,0),"")</f>
        <v/>
      </c>
      <c r="O1224" s="94" t="str">
        <f>COUNTIFS(NCAA_Bets[Date],M1224,NCAA_Bets[Result],"W")&amp;"-"&amp;COUNTIFS(NCAA_Bets[Date],M1224,NCAA_Bets[Result],"L")&amp;IF(COUNTIFS(NCAA_Bets[Date],M1224,NCAA_Bets[Result],"Push")&gt;0,"-"&amp;COUNTIFS(NCAA_Bets[Date],M1224,NCAA_Bets[Result],"Push"),"")</f>
        <v>0-0</v>
      </c>
      <c r="P1224" s="90">
        <f>SUMIF(NCAA_Bets[Date],M1224,NCAA_Bets[Winnings])-SUMIF(NCAA_Bets[Date],M1224,NCAA_Bets[Risk])</f>
        <v>0</v>
      </c>
    </row>
    <row r="1225" spans="2:16" x14ac:dyDescent="0.25">
      <c r="B1225" s="101">
        <f t="shared" si="56"/>
        <v>33</v>
      </c>
      <c r="L1225" s="71">
        <f t="shared" si="55"/>
        <v>0</v>
      </c>
      <c r="M1225" s="71">
        <f t="shared" si="54"/>
        <v>0</v>
      </c>
      <c r="N1225" s="71" t="str">
        <f>IFERROR(VLOOKUP(M1225,NCAA_Bets[[Date]:[Version]],2,0),"")</f>
        <v/>
      </c>
      <c r="O1225" s="94" t="str">
        <f>COUNTIFS(NCAA_Bets[Date],M1225,NCAA_Bets[Result],"W")&amp;"-"&amp;COUNTIFS(NCAA_Bets[Date],M1225,NCAA_Bets[Result],"L")&amp;IF(COUNTIFS(NCAA_Bets[Date],M1225,NCAA_Bets[Result],"Push")&gt;0,"-"&amp;COUNTIFS(NCAA_Bets[Date],M1225,NCAA_Bets[Result],"Push"),"")</f>
        <v>0-0</v>
      </c>
      <c r="P1225" s="90">
        <f>SUMIF(NCAA_Bets[Date],M1225,NCAA_Bets[Winnings])-SUMIF(NCAA_Bets[Date],M1225,NCAA_Bets[Risk])</f>
        <v>0</v>
      </c>
    </row>
    <row r="1226" spans="2:16" x14ac:dyDescent="0.25">
      <c r="B1226" s="101">
        <f t="shared" si="56"/>
        <v>33</v>
      </c>
      <c r="L1226" s="71">
        <f t="shared" si="55"/>
        <v>0</v>
      </c>
      <c r="M1226" s="71">
        <f t="shared" si="54"/>
        <v>0</v>
      </c>
      <c r="N1226" s="71" t="str">
        <f>IFERROR(VLOOKUP(M1226,NCAA_Bets[[Date]:[Version]],2,0),"")</f>
        <v/>
      </c>
      <c r="O1226" s="94" t="str">
        <f>COUNTIFS(NCAA_Bets[Date],M1226,NCAA_Bets[Result],"W")&amp;"-"&amp;COUNTIFS(NCAA_Bets[Date],M1226,NCAA_Bets[Result],"L")&amp;IF(COUNTIFS(NCAA_Bets[Date],M1226,NCAA_Bets[Result],"Push")&gt;0,"-"&amp;COUNTIFS(NCAA_Bets[Date],M1226,NCAA_Bets[Result],"Push"),"")</f>
        <v>0-0</v>
      </c>
      <c r="P1226" s="90">
        <f>SUMIF(NCAA_Bets[Date],M1226,NCAA_Bets[Winnings])-SUMIF(NCAA_Bets[Date],M1226,NCAA_Bets[Risk])</f>
        <v>0</v>
      </c>
    </row>
    <row r="1227" spans="2:16" x14ac:dyDescent="0.25">
      <c r="B1227" s="101">
        <f t="shared" si="56"/>
        <v>33</v>
      </c>
      <c r="L1227" s="71">
        <f t="shared" si="55"/>
        <v>0</v>
      </c>
      <c r="M1227" s="71">
        <f t="shared" si="54"/>
        <v>0</v>
      </c>
      <c r="N1227" s="71" t="str">
        <f>IFERROR(VLOOKUP(M1227,NCAA_Bets[[Date]:[Version]],2,0),"")</f>
        <v/>
      </c>
      <c r="O1227" s="94" t="str">
        <f>COUNTIFS(NCAA_Bets[Date],M1227,NCAA_Bets[Result],"W")&amp;"-"&amp;COUNTIFS(NCAA_Bets[Date],M1227,NCAA_Bets[Result],"L")&amp;IF(COUNTIFS(NCAA_Bets[Date],M1227,NCAA_Bets[Result],"Push")&gt;0,"-"&amp;COUNTIFS(NCAA_Bets[Date],M1227,NCAA_Bets[Result],"Push"),"")</f>
        <v>0-0</v>
      </c>
      <c r="P1227" s="90">
        <f>SUMIF(NCAA_Bets[Date],M1227,NCAA_Bets[Winnings])-SUMIF(NCAA_Bets[Date],M1227,NCAA_Bets[Risk])</f>
        <v>0</v>
      </c>
    </row>
    <row r="1228" spans="2:16" x14ac:dyDescent="0.25">
      <c r="B1228" s="101">
        <f t="shared" si="56"/>
        <v>33</v>
      </c>
      <c r="L1228" s="71">
        <f t="shared" si="55"/>
        <v>0</v>
      </c>
      <c r="M1228" s="71">
        <f t="shared" si="54"/>
        <v>0</v>
      </c>
      <c r="N1228" s="71" t="str">
        <f>IFERROR(VLOOKUP(M1228,NCAA_Bets[[Date]:[Version]],2,0),"")</f>
        <v/>
      </c>
      <c r="O1228" s="94" t="str">
        <f>COUNTIFS(NCAA_Bets[Date],M1228,NCAA_Bets[Result],"W")&amp;"-"&amp;COUNTIFS(NCAA_Bets[Date],M1228,NCAA_Bets[Result],"L")&amp;IF(COUNTIFS(NCAA_Bets[Date],M1228,NCAA_Bets[Result],"Push")&gt;0,"-"&amp;COUNTIFS(NCAA_Bets[Date],M1228,NCAA_Bets[Result],"Push"),"")</f>
        <v>0-0</v>
      </c>
      <c r="P1228" s="90">
        <f>SUMIF(NCAA_Bets[Date],M1228,NCAA_Bets[Winnings])-SUMIF(NCAA_Bets[Date],M1228,NCAA_Bets[Risk])</f>
        <v>0</v>
      </c>
    </row>
    <row r="1229" spans="2:16" x14ac:dyDescent="0.25">
      <c r="B1229" s="101">
        <f t="shared" si="56"/>
        <v>33</v>
      </c>
      <c r="L1229" s="71">
        <f t="shared" si="55"/>
        <v>0</v>
      </c>
      <c r="M1229" s="71">
        <f t="shared" si="54"/>
        <v>0</v>
      </c>
      <c r="N1229" s="71" t="str">
        <f>IFERROR(VLOOKUP(M1229,NCAA_Bets[[Date]:[Version]],2,0),"")</f>
        <v/>
      </c>
      <c r="O1229" s="94" t="str">
        <f>COUNTIFS(NCAA_Bets[Date],M1229,NCAA_Bets[Result],"W")&amp;"-"&amp;COUNTIFS(NCAA_Bets[Date],M1229,NCAA_Bets[Result],"L")&amp;IF(COUNTIFS(NCAA_Bets[Date],M1229,NCAA_Bets[Result],"Push")&gt;0,"-"&amp;COUNTIFS(NCAA_Bets[Date],M1229,NCAA_Bets[Result],"Push"),"")</f>
        <v>0-0</v>
      </c>
      <c r="P1229" s="90">
        <f>SUMIF(NCAA_Bets[Date],M1229,NCAA_Bets[Winnings])-SUMIF(NCAA_Bets[Date],M1229,NCAA_Bets[Risk])</f>
        <v>0</v>
      </c>
    </row>
    <row r="1230" spans="2:16" x14ac:dyDescent="0.25">
      <c r="B1230" s="101">
        <f t="shared" si="56"/>
        <v>33</v>
      </c>
      <c r="L1230" s="71">
        <f t="shared" si="55"/>
        <v>0</v>
      </c>
      <c r="M1230" s="71">
        <f t="shared" si="54"/>
        <v>0</v>
      </c>
      <c r="N1230" s="71" t="str">
        <f>IFERROR(VLOOKUP(M1230,NCAA_Bets[[Date]:[Version]],2,0),"")</f>
        <v/>
      </c>
      <c r="O1230" s="94" t="str">
        <f>COUNTIFS(NCAA_Bets[Date],M1230,NCAA_Bets[Result],"W")&amp;"-"&amp;COUNTIFS(NCAA_Bets[Date],M1230,NCAA_Bets[Result],"L")&amp;IF(COUNTIFS(NCAA_Bets[Date],M1230,NCAA_Bets[Result],"Push")&gt;0,"-"&amp;COUNTIFS(NCAA_Bets[Date],M1230,NCAA_Bets[Result],"Push"),"")</f>
        <v>0-0</v>
      </c>
      <c r="P1230" s="90">
        <f>SUMIF(NCAA_Bets[Date],M1230,NCAA_Bets[Winnings])-SUMIF(NCAA_Bets[Date],M1230,NCAA_Bets[Risk])</f>
        <v>0</v>
      </c>
    </row>
    <row r="1231" spans="2:16" x14ac:dyDescent="0.25">
      <c r="B1231" s="101">
        <f t="shared" si="56"/>
        <v>33</v>
      </c>
      <c r="L1231" s="71">
        <f t="shared" si="55"/>
        <v>0</v>
      </c>
      <c r="M1231" s="71">
        <f t="shared" si="54"/>
        <v>0</v>
      </c>
      <c r="N1231" s="71" t="str">
        <f>IFERROR(VLOOKUP(M1231,NCAA_Bets[[Date]:[Version]],2,0),"")</f>
        <v/>
      </c>
      <c r="O1231" s="94" t="str">
        <f>COUNTIFS(NCAA_Bets[Date],M1231,NCAA_Bets[Result],"W")&amp;"-"&amp;COUNTIFS(NCAA_Bets[Date],M1231,NCAA_Bets[Result],"L")&amp;IF(COUNTIFS(NCAA_Bets[Date],M1231,NCAA_Bets[Result],"Push")&gt;0,"-"&amp;COUNTIFS(NCAA_Bets[Date],M1231,NCAA_Bets[Result],"Push"),"")</f>
        <v>0-0</v>
      </c>
      <c r="P1231" s="90">
        <f>SUMIF(NCAA_Bets[Date],M1231,NCAA_Bets[Winnings])-SUMIF(NCAA_Bets[Date],M1231,NCAA_Bets[Risk])</f>
        <v>0</v>
      </c>
    </row>
    <row r="1232" spans="2:16" x14ac:dyDescent="0.25">
      <c r="B1232" s="101">
        <f t="shared" si="56"/>
        <v>33</v>
      </c>
      <c r="L1232" s="71">
        <f t="shared" si="55"/>
        <v>0</v>
      </c>
      <c r="M1232" s="71">
        <f t="shared" si="54"/>
        <v>0</v>
      </c>
      <c r="N1232" s="71" t="str">
        <f>IFERROR(VLOOKUP(M1232,NCAA_Bets[[Date]:[Version]],2,0),"")</f>
        <v/>
      </c>
      <c r="O1232" s="94" t="str">
        <f>COUNTIFS(NCAA_Bets[Date],M1232,NCAA_Bets[Result],"W")&amp;"-"&amp;COUNTIFS(NCAA_Bets[Date],M1232,NCAA_Bets[Result],"L")&amp;IF(COUNTIFS(NCAA_Bets[Date],M1232,NCAA_Bets[Result],"Push")&gt;0,"-"&amp;COUNTIFS(NCAA_Bets[Date],M1232,NCAA_Bets[Result],"Push"),"")</f>
        <v>0-0</v>
      </c>
      <c r="P1232" s="90">
        <f>SUMIF(NCAA_Bets[Date],M1232,NCAA_Bets[Winnings])-SUMIF(NCAA_Bets[Date],M1232,NCAA_Bets[Risk])</f>
        <v>0</v>
      </c>
    </row>
    <row r="1233" spans="2:16" x14ac:dyDescent="0.25">
      <c r="B1233" s="101">
        <f t="shared" si="56"/>
        <v>33</v>
      </c>
      <c r="L1233" s="71">
        <f t="shared" si="55"/>
        <v>0</v>
      </c>
      <c r="M1233" s="71">
        <f t="shared" si="54"/>
        <v>0</v>
      </c>
      <c r="N1233" s="71" t="str">
        <f>IFERROR(VLOOKUP(M1233,NCAA_Bets[[Date]:[Version]],2,0),"")</f>
        <v/>
      </c>
      <c r="O1233" s="94" t="str">
        <f>COUNTIFS(NCAA_Bets[Date],M1233,NCAA_Bets[Result],"W")&amp;"-"&amp;COUNTIFS(NCAA_Bets[Date],M1233,NCAA_Bets[Result],"L")&amp;IF(COUNTIFS(NCAA_Bets[Date],M1233,NCAA_Bets[Result],"Push")&gt;0,"-"&amp;COUNTIFS(NCAA_Bets[Date],M1233,NCAA_Bets[Result],"Push"),"")</f>
        <v>0-0</v>
      </c>
      <c r="P1233" s="90">
        <f>SUMIF(NCAA_Bets[Date],M1233,NCAA_Bets[Winnings])-SUMIF(NCAA_Bets[Date],M1233,NCAA_Bets[Risk])</f>
        <v>0</v>
      </c>
    </row>
    <row r="1234" spans="2:16" x14ac:dyDescent="0.25">
      <c r="B1234" s="101">
        <f t="shared" si="56"/>
        <v>33</v>
      </c>
      <c r="L1234" s="71">
        <f t="shared" si="55"/>
        <v>0</v>
      </c>
      <c r="M1234" s="71">
        <f t="shared" si="54"/>
        <v>0</v>
      </c>
      <c r="N1234" s="71" t="str">
        <f>IFERROR(VLOOKUP(M1234,NCAA_Bets[[Date]:[Version]],2,0),"")</f>
        <v/>
      </c>
      <c r="O1234" s="94" t="str">
        <f>COUNTIFS(NCAA_Bets[Date],M1234,NCAA_Bets[Result],"W")&amp;"-"&amp;COUNTIFS(NCAA_Bets[Date],M1234,NCAA_Bets[Result],"L")&amp;IF(COUNTIFS(NCAA_Bets[Date],M1234,NCAA_Bets[Result],"Push")&gt;0,"-"&amp;COUNTIFS(NCAA_Bets[Date],M1234,NCAA_Bets[Result],"Push"),"")</f>
        <v>0-0</v>
      </c>
      <c r="P1234" s="90">
        <f>SUMIF(NCAA_Bets[Date],M1234,NCAA_Bets[Winnings])-SUMIF(NCAA_Bets[Date],M1234,NCAA_Bets[Risk])</f>
        <v>0</v>
      </c>
    </row>
    <row r="1235" spans="2:16" x14ac:dyDescent="0.25">
      <c r="B1235" s="101">
        <f t="shared" si="56"/>
        <v>33</v>
      </c>
      <c r="L1235" s="71">
        <f t="shared" si="55"/>
        <v>0</v>
      </c>
      <c r="M1235" s="71">
        <f t="shared" si="54"/>
        <v>0</v>
      </c>
      <c r="N1235" s="71" t="str">
        <f>IFERROR(VLOOKUP(M1235,NCAA_Bets[[Date]:[Version]],2,0),"")</f>
        <v/>
      </c>
      <c r="O1235" s="94" t="str">
        <f>COUNTIFS(NCAA_Bets[Date],M1235,NCAA_Bets[Result],"W")&amp;"-"&amp;COUNTIFS(NCAA_Bets[Date],M1235,NCAA_Bets[Result],"L")&amp;IF(COUNTIFS(NCAA_Bets[Date],M1235,NCAA_Bets[Result],"Push")&gt;0,"-"&amp;COUNTIFS(NCAA_Bets[Date],M1235,NCAA_Bets[Result],"Push"),"")</f>
        <v>0-0</v>
      </c>
      <c r="P1235" s="90">
        <f>SUMIF(NCAA_Bets[Date],M1235,NCAA_Bets[Winnings])-SUMIF(NCAA_Bets[Date],M1235,NCAA_Bets[Risk])</f>
        <v>0</v>
      </c>
    </row>
    <row r="1236" spans="2:16" x14ac:dyDescent="0.25">
      <c r="B1236" s="101">
        <f t="shared" si="56"/>
        <v>33</v>
      </c>
      <c r="L1236" s="71">
        <f t="shared" si="55"/>
        <v>0</v>
      </c>
      <c r="M1236" s="71">
        <f t="shared" si="54"/>
        <v>0</v>
      </c>
      <c r="N1236" s="71" t="str">
        <f>IFERROR(VLOOKUP(M1236,NCAA_Bets[[Date]:[Version]],2,0),"")</f>
        <v/>
      </c>
      <c r="O1236" s="94" t="str">
        <f>COUNTIFS(NCAA_Bets[Date],M1236,NCAA_Bets[Result],"W")&amp;"-"&amp;COUNTIFS(NCAA_Bets[Date],M1236,NCAA_Bets[Result],"L")&amp;IF(COUNTIFS(NCAA_Bets[Date],M1236,NCAA_Bets[Result],"Push")&gt;0,"-"&amp;COUNTIFS(NCAA_Bets[Date],M1236,NCAA_Bets[Result],"Push"),"")</f>
        <v>0-0</v>
      </c>
      <c r="P1236" s="90">
        <f>SUMIF(NCAA_Bets[Date],M1236,NCAA_Bets[Winnings])-SUMIF(NCAA_Bets[Date],M1236,NCAA_Bets[Risk])</f>
        <v>0</v>
      </c>
    </row>
    <row r="1237" spans="2:16" x14ac:dyDescent="0.25">
      <c r="B1237" s="101">
        <f t="shared" si="56"/>
        <v>33</v>
      </c>
      <c r="L1237" s="71">
        <f t="shared" si="55"/>
        <v>0</v>
      </c>
      <c r="M1237" s="71">
        <f t="shared" si="54"/>
        <v>0</v>
      </c>
      <c r="N1237" s="71" t="str">
        <f>IFERROR(VLOOKUP(M1237,NCAA_Bets[[Date]:[Version]],2,0),"")</f>
        <v/>
      </c>
      <c r="O1237" s="94" t="str">
        <f>COUNTIFS(NCAA_Bets[Date],M1237,NCAA_Bets[Result],"W")&amp;"-"&amp;COUNTIFS(NCAA_Bets[Date],M1237,NCAA_Bets[Result],"L")&amp;IF(COUNTIFS(NCAA_Bets[Date],M1237,NCAA_Bets[Result],"Push")&gt;0,"-"&amp;COUNTIFS(NCAA_Bets[Date],M1237,NCAA_Bets[Result],"Push"),"")</f>
        <v>0-0</v>
      </c>
      <c r="P1237" s="90">
        <f>SUMIF(NCAA_Bets[Date],M1237,NCAA_Bets[Winnings])-SUMIF(NCAA_Bets[Date],M1237,NCAA_Bets[Risk])</f>
        <v>0</v>
      </c>
    </row>
    <row r="1238" spans="2:16" x14ac:dyDescent="0.25">
      <c r="B1238" s="101">
        <f t="shared" si="56"/>
        <v>33</v>
      </c>
      <c r="L1238" s="71">
        <f t="shared" si="55"/>
        <v>0</v>
      </c>
      <c r="M1238" s="71">
        <f t="shared" si="54"/>
        <v>0</v>
      </c>
      <c r="N1238" s="71" t="str">
        <f>IFERROR(VLOOKUP(M1238,NCAA_Bets[[Date]:[Version]],2,0),"")</f>
        <v/>
      </c>
      <c r="O1238" s="94" t="str">
        <f>COUNTIFS(NCAA_Bets[Date],M1238,NCAA_Bets[Result],"W")&amp;"-"&amp;COUNTIFS(NCAA_Bets[Date],M1238,NCAA_Bets[Result],"L")&amp;IF(COUNTIFS(NCAA_Bets[Date],M1238,NCAA_Bets[Result],"Push")&gt;0,"-"&amp;COUNTIFS(NCAA_Bets[Date],M1238,NCAA_Bets[Result],"Push"),"")</f>
        <v>0-0</v>
      </c>
      <c r="P1238" s="90">
        <f>SUMIF(NCAA_Bets[Date],M1238,NCAA_Bets[Winnings])-SUMIF(NCAA_Bets[Date],M1238,NCAA_Bets[Risk])</f>
        <v>0</v>
      </c>
    </row>
    <row r="1239" spans="2:16" x14ac:dyDescent="0.25">
      <c r="B1239" s="101">
        <f t="shared" si="56"/>
        <v>33</v>
      </c>
      <c r="L1239" s="71">
        <f t="shared" si="55"/>
        <v>0</v>
      </c>
      <c r="M1239" s="71">
        <f t="shared" si="54"/>
        <v>0</v>
      </c>
      <c r="N1239" s="71" t="str">
        <f>IFERROR(VLOOKUP(M1239,NCAA_Bets[[Date]:[Version]],2,0),"")</f>
        <v/>
      </c>
      <c r="O1239" s="94" t="str">
        <f>COUNTIFS(NCAA_Bets[Date],M1239,NCAA_Bets[Result],"W")&amp;"-"&amp;COUNTIFS(NCAA_Bets[Date],M1239,NCAA_Bets[Result],"L")&amp;IF(COUNTIFS(NCAA_Bets[Date],M1239,NCAA_Bets[Result],"Push")&gt;0,"-"&amp;COUNTIFS(NCAA_Bets[Date],M1239,NCAA_Bets[Result],"Push"),"")</f>
        <v>0-0</v>
      </c>
      <c r="P1239" s="90">
        <f>SUMIF(NCAA_Bets[Date],M1239,NCAA_Bets[Winnings])-SUMIF(NCAA_Bets[Date],M1239,NCAA_Bets[Risk])</f>
        <v>0</v>
      </c>
    </row>
    <row r="1240" spans="2:16" x14ac:dyDescent="0.25">
      <c r="B1240" s="101">
        <f t="shared" si="56"/>
        <v>33</v>
      </c>
      <c r="L1240" s="71">
        <f t="shared" si="55"/>
        <v>0</v>
      </c>
      <c r="M1240" s="71">
        <f t="shared" si="54"/>
        <v>0</v>
      </c>
      <c r="N1240" s="71" t="str">
        <f>IFERROR(VLOOKUP(M1240,NCAA_Bets[[Date]:[Version]],2,0),"")</f>
        <v/>
      </c>
      <c r="O1240" s="94" t="str">
        <f>COUNTIFS(NCAA_Bets[Date],M1240,NCAA_Bets[Result],"W")&amp;"-"&amp;COUNTIFS(NCAA_Bets[Date],M1240,NCAA_Bets[Result],"L")&amp;IF(COUNTIFS(NCAA_Bets[Date],M1240,NCAA_Bets[Result],"Push")&gt;0,"-"&amp;COUNTIFS(NCAA_Bets[Date],M1240,NCAA_Bets[Result],"Push"),"")</f>
        <v>0-0</v>
      </c>
      <c r="P1240" s="90">
        <f>SUMIF(NCAA_Bets[Date],M1240,NCAA_Bets[Winnings])-SUMIF(NCAA_Bets[Date],M1240,NCAA_Bets[Risk])</f>
        <v>0</v>
      </c>
    </row>
    <row r="1241" spans="2:16" x14ac:dyDescent="0.25">
      <c r="B1241" s="101">
        <f t="shared" si="56"/>
        <v>33</v>
      </c>
      <c r="L1241" s="71">
        <f t="shared" si="55"/>
        <v>0</v>
      </c>
      <c r="M1241" s="71">
        <f t="shared" si="54"/>
        <v>0</v>
      </c>
      <c r="N1241" s="71" t="str">
        <f>IFERROR(VLOOKUP(M1241,NCAA_Bets[[Date]:[Version]],2,0),"")</f>
        <v/>
      </c>
      <c r="O1241" s="94" t="str">
        <f>COUNTIFS(NCAA_Bets[Date],M1241,NCAA_Bets[Result],"W")&amp;"-"&amp;COUNTIFS(NCAA_Bets[Date],M1241,NCAA_Bets[Result],"L")&amp;IF(COUNTIFS(NCAA_Bets[Date],M1241,NCAA_Bets[Result],"Push")&gt;0,"-"&amp;COUNTIFS(NCAA_Bets[Date],M1241,NCAA_Bets[Result],"Push"),"")</f>
        <v>0-0</v>
      </c>
      <c r="P1241" s="90">
        <f>SUMIF(NCAA_Bets[Date],M1241,NCAA_Bets[Winnings])-SUMIF(NCAA_Bets[Date],M1241,NCAA_Bets[Risk])</f>
        <v>0</v>
      </c>
    </row>
    <row r="1242" spans="2:16" x14ac:dyDescent="0.25">
      <c r="B1242" s="101">
        <f t="shared" si="56"/>
        <v>33</v>
      </c>
      <c r="L1242" s="71">
        <f t="shared" si="55"/>
        <v>0</v>
      </c>
      <c r="M1242" s="71">
        <f t="shared" ref="M1242:M1284" si="57">IFERROR(VLOOKUP(ROW()-4,B:C,2,0),0)</f>
        <v>0</v>
      </c>
      <c r="N1242" s="71" t="str">
        <f>IFERROR(VLOOKUP(M1242,NCAA_Bets[[Date]:[Version]],2,0),"")</f>
        <v/>
      </c>
      <c r="O1242" s="94" t="str">
        <f>COUNTIFS(NCAA_Bets[Date],M1242,NCAA_Bets[Result],"W")&amp;"-"&amp;COUNTIFS(NCAA_Bets[Date],M1242,NCAA_Bets[Result],"L")&amp;IF(COUNTIFS(NCAA_Bets[Date],M1242,NCAA_Bets[Result],"Push")&gt;0,"-"&amp;COUNTIFS(NCAA_Bets[Date],M1242,NCAA_Bets[Result],"Push"),"")</f>
        <v>0-0</v>
      </c>
      <c r="P1242" s="90">
        <f>SUMIF(NCAA_Bets[Date],M1242,NCAA_Bets[Winnings])-SUMIF(NCAA_Bets[Date],M1242,NCAA_Bets[Risk])</f>
        <v>0</v>
      </c>
    </row>
    <row r="1243" spans="2:16" x14ac:dyDescent="0.25">
      <c r="B1243" s="101">
        <f t="shared" si="56"/>
        <v>33</v>
      </c>
      <c r="L1243" s="71">
        <f t="shared" si="55"/>
        <v>0</v>
      </c>
      <c r="M1243" s="71">
        <f t="shared" si="57"/>
        <v>0</v>
      </c>
      <c r="N1243" s="71" t="str">
        <f>IFERROR(VLOOKUP(M1243,NCAA_Bets[[Date]:[Version]],2,0),"")</f>
        <v/>
      </c>
      <c r="O1243" s="94" t="str">
        <f>COUNTIFS(NCAA_Bets[Date],M1243,NCAA_Bets[Result],"W")&amp;"-"&amp;COUNTIFS(NCAA_Bets[Date],M1243,NCAA_Bets[Result],"L")&amp;IF(COUNTIFS(NCAA_Bets[Date],M1243,NCAA_Bets[Result],"Push")&gt;0,"-"&amp;COUNTIFS(NCAA_Bets[Date],M1243,NCAA_Bets[Result],"Push"),"")</f>
        <v>0-0</v>
      </c>
      <c r="P1243" s="90">
        <f>SUMIF(NCAA_Bets[Date],M1243,NCAA_Bets[Winnings])-SUMIF(NCAA_Bets[Date],M1243,NCAA_Bets[Risk])</f>
        <v>0</v>
      </c>
    </row>
    <row r="1244" spans="2:16" x14ac:dyDescent="0.25">
      <c r="B1244" s="101">
        <f t="shared" si="56"/>
        <v>33</v>
      </c>
      <c r="L1244" s="71">
        <f t="shared" si="55"/>
        <v>0</v>
      </c>
      <c r="M1244" s="71">
        <f t="shared" si="57"/>
        <v>0</v>
      </c>
      <c r="N1244" s="71" t="str">
        <f>IFERROR(VLOOKUP(M1244,NCAA_Bets[[Date]:[Version]],2,0),"")</f>
        <v/>
      </c>
      <c r="O1244" s="94" t="str">
        <f>COUNTIFS(NCAA_Bets[Date],M1244,NCAA_Bets[Result],"W")&amp;"-"&amp;COUNTIFS(NCAA_Bets[Date],M1244,NCAA_Bets[Result],"L")&amp;IF(COUNTIFS(NCAA_Bets[Date],M1244,NCAA_Bets[Result],"Push")&gt;0,"-"&amp;COUNTIFS(NCAA_Bets[Date],M1244,NCAA_Bets[Result],"Push"),"")</f>
        <v>0-0</v>
      </c>
      <c r="P1244" s="90">
        <f>SUMIF(NCAA_Bets[Date],M1244,NCAA_Bets[Winnings])-SUMIF(NCAA_Bets[Date],M1244,NCAA_Bets[Risk])</f>
        <v>0</v>
      </c>
    </row>
    <row r="1245" spans="2:16" x14ac:dyDescent="0.25">
      <c r="B1245" s="101">
        <f t="shared" si="56"/>
        <v>33</v>
      </c>
      <c r="L1245" s="71">
        <f t="shared" si="55"/>
        <v>0</v>
      </c>
      <c r="M1245" s="71">
        <f t="shared" si="57"/>
        <v>0</v>
      </c>
      <c r="N1245" s="71" t="str">
        <f>IFERROR(VLOOKUP(M1245,NCAA_Bets[[Date]:[Version]],2,0),"")</f>
        <v/>
      </c>
      <c r="O1245" s="94" t="str">
        <f>COUNTIFS(NCAA_Bets[Date],M1245,NCAA_Bets[Result],"W")&amp;"-"&amp;COUNTIFS(NCAA_Bets[Date],M1245,NCAA_Bets[Result],"L")&amp;IF(COUNTIFS(NCAA_Bets[Date],M1245,NCAA_Bets[Result],"Push")&gt;0,"-"&amp;COUNTIFS(NCAA_Bets[Date],M1245,NCAA_Bets[Result],"Push"),"")</f>
        <v>0-0</v>
      </c>
      <c r="P1245" s="90">
        <f>SUMIF(NCAA_Bets[Date],M1245,NCAA_Bets[Winnings])-SUMIF(NCAA_Bets[Date],M1245,NCAA_Bets[Risk])</f>
        <v>0</v>
      </c>
    </row>
    <row r="1246" spans="2:16" x14ac:dyDescent="0.25">
      <c r="B1246" s="101">
        <f t="shared" si="56"/>
        <v>33</v>
      </c>
      <c r="L1246" s="71">
        <f t="shared" si="55"/>
        <v>0</v>
      </c>
      <c r="M1246" s="71">
        <f t="shared" si="57"/>
        <v>0</v>
      </c>
      <c r="N1246" s="71" t="str">
        <f>IFERROR(VLOOKUP(M1246,NCAA_Bets[[Date]:[Version]],2,0),"")</f>
        <v/>
      </c>
      <c r="O1246" s="94" t="str">
        <f>COUNTIFS(NCAA_Bets[Date],M1246,NCAA_Bets[Result],"W")&amp;"-"&amp;COUNTIFS(NCAA_Bets[Date],M1246,NCAA_Bets[Result],"L")&amp;IF(COUNTIFS(NCAA_Bets[Date],M1246,NCAA_Bets[Result],"Push")&gt;0,"-"&amp;COUNTIFS(NCAA_Bets[Date],M1246,NCAA_Bets[Result],"Push"),"")</f>
        <v>0-0</v>
      </c>
      <c r="P1246" s="90">
        <f>SUMIF(NCAA_Bets[Date],M1246,NCAA_Bets[Winnings])-SUMIF(NCAA_Bets[Date],M1246,NCAA_Bets[Risk])</f>
        <v>0</v>
      </c>
    </row>
    <row r="1247" spans="2:16" x14ac:dyDescent="0.25">
      <c r="B1247" s="101">
        <f t="shared" si="56"/>
        <v>33</v>
      </c>
      <c r="L1247" s="71">
        <f t="shared" si="55"/>
        <v>0</v>
      </c>
      <c r="M1247" s="71">
        <f t="shared" si="57"/>
        <v>0</v>
      </c>
      <c r="N1247" s="71" t="str">
        <f>IFERROR(VLOOKUP(M1247,NCAA_Bets[[Date]:[Version]],2,0),"")</f>
        <v/>
      </c>
      <c r="O1247" s="94" t="str">
        <f>COUNTIFS(NCAA_Bets[Date],M1247,NCAA_Bets[Result],"W")&amp;"-"&amp;COUNTIFS(NCAA_Bets[Date],M1247,NCAA_Bets[Result],"L")&amp;IF(COUNTIFS(NCAA_Bets[Date],M1247,NCAA_Bets[Result],"Push")&gt;0,"-"&amp;COUNTIFS(NCAA_Bets[Date],M1247,NCAA_Bets[Result],"Push"),"")</f>
        <v>0-0</v>
      </c>
      <c r="P1247" s="90">
        <f>SUMIF(NCAA_Bets[Date],M1247,NCAA_Bets[Winnings])-SUMIF(NCAA_Bets[Date],M1247,NCAA_Bets[Risk])</f>
        <v>0</v>
      </c>
    </row>
    <row r="1248" spans="2:16" x14ac:dyDescent="0.25">
      <c r="B1248" s="101">
        <f t="shared" si="56"/>
        <v>33</v>
      </c>
      <c r="L1248" s="71">
        <f t="shared" si="55"/>
        <v>0</v>
      </c>
      <c r="M1248" s="71">
        <f t="shared" si="57"/>
        <v>0</v>
      </c>
      <c r="N1248" s="71" t="str">
        <f>IFERROR(VLOOKUP(M1248,NCAA_Bets[[Date]:[Version]],2,0),"")</f>
        <v/>
      </c>
      <c r="O1248" s="94" t="str">
        <f>COUNTIFS(NCAA_Bets[Date],M1248,NCAA_Bets[Result],"W")&amp;"-"&amp;COUNTIFS(NCAA_Bets[Date],M1248,NCAA_Bets[Result],"L")&amp;IF(COUNTIFS(NCAA_Bets[Date],M1248,NCAA_Bets[Result],"Push")&gt;0,"-"&amp;COUNTIFS(NCAA_Bets[Date],M1248,NCAA_Bets[Result],"Push"),"")</f>
        <v>0-0</v>
      </c>
      <c r="P1248" s="90">
        <f>SUMIF(NCAA_Bets[Date],M1248,NCAA_Bets[Winnings])-SUMIF(NCAA_Bets[Date],M1248,NCAA_Bets[Risk])</f>
        <v>0</v>
      </c>
    </row>
    <row r="1249" spans="2:16" x14ac:dyDescent="0.25">
      <c r="B1249" s="101">
        <f t="shared" si="56"/>
        <v>33</v>
      </c>
      <c r="L1249" s="71">
        <f t="shared" si="55"/>
        <v>0</v>
      </c>
      <c r="M1249" s="71">
        <f t="shared" si="57"/>
        <v>0</v>
      </c>
      <c r="N1249" s="71" t="str">
        <f>IFERROR(VLOOKUP(M1249,NCAA_Bets[[Date]:[Version]],2,0),"")</f>
        <v/>
      </c>
      <c r="O1249" s="94" t="str">
        <f>COUNTIFS(NCAA_Bets[Date],M1249,NCAA_Bets[Result],"W")&amp;"-"&amp;COUNTIFS(NCAA_Bets[Date],M1249,NCAA_Bets[Result],"L")&amp;IF(COUNTIFS(NCAA_Bets[Date],M1249,NCAA_Bets[Result],"Push")&gt;0,"-"&amp;COUNTIFS(NCAA_Bets[Date],M1249,NCAA_Bets[Result],"Push"),"")</f>
        <v>0-0</v>
      </c>
      <c r="P1249" s="90">
        <f>SUMIF(NCAA_Bets[Date],M1249,NCAA_Bets[Winnings])-SUMIF(NCAA_Bets[Date],M1249,NCAA_Bets[Risk])</f>
        <v>0</v>
      </c>
    </row>
    <row r="1250" spans="2:16" x14ac:dyDescent="0.25">
      <c r="B1250" s="101">
        <f t="shared" si="56"/>
        <v>33</v>
      </c>
      <c r="L1250" s="71">
        <f t="shared" si="55"/>
        <v>0</v>
      </c>
      <c r="M1250" s="71">
        <f t="shared" si="57"/>
        <v>0</v>
      </c>
      <c r="N1250" s="71" t="str">
        <f>IFERROR(VLOOKUP(M1250,NCAA_Bets[[Date]:[Version]],2,0),"")</f>
        <v/>
      </c>
      <c r="O1250" s="94" t="str">
        <f>COUNTIFS(NCAA_Bets[Date],M1250,NCAA_Bets[Result],"W")&amp;"-"&amp;COUNTIFS(NCAA_Bets[Date],M1250,NCAA_Bets[Result],"L")&amp;IF(COUNTIFS(NCAA_Bets[Date],M1250,NCAA_Bets[Result],"Push")&gt;0,"-"&amp;COUNTIFS(NCAA_Bets[Date],M1250,NCAA_Bets[Result],"Push"),"")</f>
        <v>0-0</v>
      </c>
      <c r="P1250" s="90">
        <f>SUMIF(NCAA_Bets[Date],M1250,NCAA_Bets[Winnings])-SUMIF(NCAA_Bets[Date],M1250,NCAA_Bets[Risk])</f>
        <v>0</v>
      </c>
    </row>
    <row r="1251" spans="2:16" x14ac:dyDescent="0.25">
      <c r="B1251" s="101">
        <f t="shared" si="56"/>
        <v>33</v>
      </c>
      <c r="L1251" s="71">
        <f t="shared" si="55"/>
        <v>0</v>
      </c>
      <c r="M1251" s="71">
        <f t="shared" si="57"/>
        <v>0</v>
      </c>
      <c r="N1251" s="71" t="str">
        <f>IFERROR(VLOOKUP(M1251,NCAA_Bets[[Date]:[Version]],2,0),"")</f>
        <v/>
      </c>
      <c r="O1251" s="94" t="str">
        <f>COUNTIFS(NCAA_Bets[Date],M1251,NCAA_Bets[Result],"W")&amp;"-"&amp;COUNTIFS(NCAA_Bets[Date],M1251,NCAA_Bets[Result],"L")&amp;IF(COUNTIFS(NCAA_Bets[Date],M1251,NCAA_Bets[Result],"Push")&gt;0,"-"&amp;COUNTIFS(NCAA_Bets[Date],M1251,NCAA_Bets[Result],"Push"),"")</f>
        <v>0-0</v>
      </c>
      <c r="P1251" s="90">
        <f>SUMIF(NCAA_Bets[Date],M1251,NCAA_Bets[Winnings])-SUMIF(NCAA_Bets[Date],M1251,NCAA_Bets[Risk])</f>
        <v>0</v>
      </c>
    </row>
    <row r="1252" spans="2:16" x14ac:dyDescent="0.25">
      <c r="B1252" s="101">
        <f t="shared" si="56"/>
        <v>33</v>
      </c>
      <c r="L1252" s="71">
        <f t="shared" ref="L1252:L1284" si="58">IFERROR(VLOOKUP(ROW()-4,B:C,2,0),0)</f>
        <v>0</v>
      </c>
      <c r="M1252" s="71">
        <f t="shared" si="57"/>
        <v>0</v>
      </c>
      <c r="N1252" s="71" t="str">
        <f>IFERROR(VLOOKUP(M1252,NCAA_Bets[[Date]:[Version]],2,0),"")</f>
        <v/>
      </c>
      <c r="O1252" s="94" t="str">
        <f>COUNTIFS(NCAA_Bets[Date],M1252,NCAA_Bets[Result],"W")&amp;"-"&amp;COUNTIFS(NCAA_Bets[Date],M1252,NCAA_Bets[Result],"L")&amp;IF(COUNTIFS(NCAA_Bets[Date],M1252,NCAA_Bets[Result],"Push")&gt;0,"-"&amp;COUNTIFS(NCAA_Bets[Date],M1252,NCAA_Bets[Result],"Push"),"")</f>
        <v>0-0</v>
      </c>
      <c r="P1252" s="90">
        <f>SUMIF(NCAA_Bets[Date],M1252,NCAA_Bets[Winnings])-SUMIF(NCAA_Bets[Date],M1252,NCAA_Bets[Risk])</f>
        <v>0</v>
      </c>
    </row>
    <row r="1253" spans="2:16" x14ac:dyDescent="0.25">
      <c r="B1253" s="101">
        <f t="shared" si="56"/>
        <v>33</v>
      </c>
      <c r="L1253" s="71">
        <f t="shared" si="58"/>
        <v>0</v>
      </c>
      <c r="M1253" s="71">
        <f t="shared" si="57"/>
        <v>0</v>
      </c>
      <c r="N1253" s="71" t="str">
        <f>IFERROR(VLOOKUP(M1253,NCAA_Bets[[Date]:[Version]],2,0),"")</f>
        <v/>
      </c>
      <c r="O1253" s="94" t="str">
        <f>COUNTIFS(NCAA_Bets[Date],M1253,NCAA_Bets[Result],"W")&amp;"-"&amp;COUNTIFS(NCAA_Bets[Date],M1253,NCAA_Bets[Result],"L")&amp;IF(COUNTIFS(NCAA_Bets[Date],M1253,NCAA_Bets[Result],"Push")&gt;0,"-"&amp;COUNTIFS(NCAA_Bets[Date],M1253,NCAA_Bets[Result],"Push"),"")</f>
        <v>0-0</v>
      </c>
      <c r="P1253" s="90">
        <f>SUMIF(NCAA_Bets[Date],M1253,NCAA_Bets[Winnings])-SUMIF(NCAA_Bets[Date],M1253,NCAA_Bets[Risk])</f>
        <v>0</v>
      </c>
    </row>
    <row r="1254" spans="2:16" x14ac:dyDescent="0.25">
      <c r="B1254" s="101">
        <f t="shared" si="56"/>
        <v>33</v>
      </c>
      <c r="L1254" s="71">
        <f t="shared" si="58"/>
        <v>0</v>
      </c>
      <c r="M1254" s="71">
        <f t="shared" si="57"/>
        <v>0</v>
      </c>
      <c r="N1254" s="71" t="str">
        <f>IFERROR(VLOOKUP(M1254,NCAA_Bets[[Date]:[Version]],2,0),"")</f>
        <v/>
      </c>
      <c r="O1254" s="94" t="str">
        <f>COUNTIFS(NCAA_Bets[Date],M1254,NCAA_Bets[Result],"W")&amp;"-"&amp;COUNTIFS(NCAA_Bets[Date],M1254,NCAA_Bets[Result],"L")&amp;IF(COUNTIFS(NCAA_Bets[Date],M1254,NCAA_Bets[Result],"Push")&gt;0,"-"&amp;COUNTIFS(NCAA_Bets[Date],M1254,NCAA_Bets[Result],"Push"),"")</f>
        <v>0-0</v>
      </c>
      <c r="P1254" s="90">
        <f>SUMIF(NCAA_Bets[Date],M1254,NCAA_Bets[Winnings])-SUMIF(NCAA_Bets[Date],M1254,NCAA_Bets[Risk])</f>
        <v>0</v>
      </c>
    </row>
    <row r="1255" spans="2:16" x14ac:dyDescent="0.25">
      <c r="B1255" s="101">
        <f t="shared" si="56"/>
        <v>33</v>
      </c>
      <c r="L1255" s="71">
        <f t="shared" si="58"/>
        <v>0</v>
      </c>
      <c r="M1255" s="71">
        <f t="shared" si="57"/>
        <v>0</v>
      </c>
      <c r="N1255" s="71" t="str">
        <f>IFERROR(VLOOKUP(M1255,NCAA_Bets[[Date]:[Version]],2,0),"")</f>
        <v/>
      </c>
      <c r="O1255" s="94" t="str">
        <f>COUNTIFS(NCAA_Bets[Date],M1255,NCAA_Bets[Result],"W")&amp;"-"&amp;COUNTIFS(NCAA_Bets[Date],M1255,NCAA_Bets[Result],"L")&amp;IF(COUNTIFS(NCAA_Bets[Date],M1255,NCAA_Bets[Result],"Push")&gt;0,"-"&amp;COUNTIFS(NCAA_Bets[Date],M1255,NCAA_Bets[Result],"Push"),"")</f>
        <v>0-0</v>
      </c>
      <c r="P1255" s="90">
        <f>SUMIF(NCAA_Bets[Date],M1255,NCAA_Bets[Winnings])-SUMIF(NCAA_Bets[Date],M1255,NCAA_Bets[Risk])</f>
        <v>0</v>
      </c>
    </row>
    <row r="1256" spans="2:16" x14ac:dyDescent="0.25">
      <c r="B1256" s="101">
        <f t="shared" si="56"/>
        <v>33</v>
      </c>
      <c r="L1256" s="71">
        <f t="shared" si="58"/>
        <v>0</v>
      </c>
      <c r="M1256" s="71">
        <f t="shared" si="57"/>
        <v>0</v>
      </c>
      <c r="N1256" s="71" t="str">
        <f>IFERROR(VLOOKUP(M1256,NCAA_Bets[[Date]:[Version]],2,0),"")</f>
        <v/>
      </c>
      <c r="O1256" s="94" t="str">
        <f>COUNTIFS(NCAA_Bets[Date],M1256,NCAA_Bets[Result],"W")&amp;"-"&amp;COUNTIFS(NCAA_Bets[Date],M1256,NCAA_Bets[Result],"L")&amp;IF(COUNTIFS(NCAA_Bets[Date],M1256,NCAA_Bets[Result],"Push")&gt;0,"-"&amp;COUNTIFS(NCAA_Bets[Date],M1256,NCAA_Bets[Result],"Push"),"")</f>
        <v>0-0</v>
      </c>
      <c r="P1256" s="90">
        <f>SUMIF(NCAA_Bets[Date],M1256,NCAA_Bets[Winnings])-SUMIF(NCAA_Bets[Date],M1256,NCAA_Bets[Risk])</f>
        <v>0</v>
      </c>
    </row>
    <row r="1257" spans="2:16" x14ac:dyDescent="0.25">
      <c r="B1257" s="101">
        <f t="shared" si="56"/>
        <v>33</v>
      </c>
      <c r="L1257" s="71">
        <f t="shared" si="58"/>
        <v>0</v>
      </c>
      <c r="M1257" s="71">
        <f t="shared" si="57"/>
        <v>0</v>
      </c>
      <c r="N1257" s="71" t="str">
        <f>IFERROR(VLOOKUP(M1257,NCAA_Bets[[Date]:[Version]],2,0),"")</f>
        <v/>
      </c>
      <c r="O1257" s="94" t="str">
        <f>COUNTIFS(NCAA_Bets[Date],M1257,NCAA_Bets[Result],"W")&amp;"-"&amp;COUNTIFS(NCAA_Bets[Date],M1257,NCAA_Bets[Result],"L")&amp;IF(COUNTIFS(NCAA_Bets[Date],M1257,NCAA_Bets[Result],"Push")&gt;0,"-"&amp;COUNTIFS(NCAA_Bets[Date],M1257,NCAA_Bets[Result],"Push"),"")</f>
        <v>0-0</v>
      </c>
      <c r="P1257" s="90">
        <f>SUMIF(NCAA_Bets[Date],M1257,NCAA_Bets[Winnings])-SUMIF(NCAA_Bets[Date],M1257,NCAA_Bets[Risk])</f>
        <v>0</v>
      </c>
    </row>
    <row r="1258" spans="2:16" x14ac:dyDescent="0.25">
      <c r="B1258" s="101">
        <f t="shared" si="56"/>
        <v>33</v>
      </c>
      <c r="L1258" s="71">
        <f t="shared" si="58"/>
        <v>0</v>
      </c>
      <c r="M1258" s="71">
        <f t="shared" si="57"/>
        <v>0</v>
      </c>
      <c r="N1258" s="71" t="str">
        <f>IFERROR(VLOOKUP(M1258,NCAA_Bets[[Date]:[Version]],2,0),"")</f>
        <v/>
      </c>
      <c r="O1258" s="94" t="str">
        <f>COUNTIFS(NCAA_Bets[Date],M1258,NCAA_Bets[Result],"W")&amp;"-"&amp;COUNTIFS(NCAA_Bets[Date],M1258,NCAA_Bets[Result],"L")&amp;IF(COUNTIFS(NCAA_Bets[Date],M1258,NCAA_Bets[Result],"Push")&gt;0,"-"&amp;COUNTIFS(NCAA_Bets[Date],M1258,NCAA_Bets[Result],"Push"),"")</f>
        <v>0-0</v>
      </c>
      <c r="P1258" s="90">
        <f>SUMIF(NCAA_Bets[Date],M1258,NCAA_Bets[Winnings])-SUMIF(NCAA_Bets[Date],M1258,NCAA_Bets[Risk])</f>
        <v>0</v>
      </c>
    </row>
    <row r="1259" spans="2:16" x14ac:dyDescent="0.25">
      <c r="B1259" s="101">
        <f t="shared" si="56"/>
        <v>33</v>
      </c>
      <c r="L1259" s="71">
        <f t="shared" si="58"/>
        <v>0</v>
      </c>
      <c r="M1259" s="71">
        <f t="shared" si="57"/>
        <v>0</v>
      </c>
      <c r="N1259" s="71" t="str">
        <f>IFERROR(VLOOKUP(M1259,NCAA_Bets[[Date]:[Version]],2,0),"")</f>
        <v/>
      </c>
      <c r="O1259" s="94" t="str">
        <f>COUNTIFS(NCAA_Bets[Date],M1259,NCAA_Bets[Result],"W")&amp;"-"&amp;COUNTIFS(NCAA_Bets[Date],M1259,NCAA_Bets[Result],"L")&amp;IF(COUNTIFS(NCAA_Bets[Date],M1259,NCAA_Bets[Result],"Push")&gt;0,"-"&amp;COUNTIFS(NCAA_Bets[Date],M1259,NCAA_Bets[Result],"Push"),"")</f>
        <v>0-0</v>
      </c>
      <c r="P1259" s="90">
        <f>SUMIF(NCAA_Bets[Date],M1259,NCAA_Bets[Winnings])-SUMIF(NCAA_Bets[Date],M1259,NCAA_Bets[Risk])</f>
        <v>0</v>
      </c>
    </row>
    <row r="1260" spans="2:16" x14ac:dyDescent="0.25">
      <c r="B1260" s="101">
        <f t="shared" si="56"/>
        <v>33</v>
      </c>
      <c r="L1260" s="71">
        <f t="shared" si="58"/>
        <v>0</v>
      </c>
      <c r="M1260" s="71">
        <f t="shared" si="57"/>
        <v>0</v>
      </c>
      <c r="N1260" s="71" t="str">
        <f>IFERROR(VLOOKUP(M1260,NCAA_Bets[[Date]:[Version]],2,0),"")</f>
        <v/>
      </c>
      <c r="O1260" s="94" t="str">
        <f>COUNTIFS(NCAA_Bets[Date],M1260,NCAA_Bets[Result],"W")&amp;"-"&amp;COUNTIFS(NCAA_Bets[Date],M1260,NCAA_Bets[Result],"L")&amp;IF(COUNTIFS(NCAA_Bets[Date],M1260,NCAA_Bets[Result],"Push")&gt;0,"-"&amp;COUNTIFS(NCAA_Bets[Date],M1260,NCAA_Bets[Result],"Push"),"")</f>
        <v>0-0</v>
      </c>
      <c r="P1260" s="90">
        <f>SUMIF(NCAA_Bets[Date],M1260,NCAA_Bets[Winnings])-SUMIF(NCAA_Bets[Date],M1260,NCAA_Bets[Risk])</f>
        <v>0</v>
      </c>
    </row>
    <row r="1261" spans="2:16" x14ac:dyDescent="0.25">
      <c r="B1261" s="101">
        <f t="shared" si="56"/>
        <v>33</v>
      </c>
      <c r="L1261" s="71">
        <f t="shared" si="58"/>
        <v>0</v>
      </c>
      <c r="M1261" s="71">
        <f t="shared" si="57"/>
        <v>0</v>
      </c>
      <c r="N1261" s="71" t="str">
        <f>IFERROR(VLOOKUP(M1261,NCAA_Bets[[Date]:[Version]],2,0),"")</f>
        <v/>
      </c>
      <c r="O1261" s="94" t="str">
        <f>COUNTIFS(NCAA_Bets[Date],M1261,NCAA_Bets[Result],"W")&amp;"-"&amp;COUNTIFS(NCAA_Bets[Date],M1261,NCAA_Bets[Result],"L")&amp;IF(COUNTIFS(NCAA_Bets[Date],M1261,NCAA_Bets[Result],"Push")&gt;0,"-"&amp;COUNTIFS(NCAA_Bets[Date],M1261,NCAA_Bets[Result],"Push"),"")</f>
        <v>0-0</v>
      </c>
      <c r="P1261" s="90">
        <f>SUMIF(NCAA_Bets[Date],M1261,NCAA_Bets[Winnings])-SUMIF(NCAA_Bets[Date],M1261,NCAA_Bets[Risk])</f>
        <v>0</v>
      </c>
    </row>
    <row r="1262" spans="2:16" x14ac:dyDescent="0.25">
      <c r="B1262" s="101">
        <f t="shared" si="56"/>
        <v>33</v>
      </c>
      <c r="L1262" s="71">
        <f t="shared" si="58"/>
        <v>0</v>
      </c>
      <c r="M1262" s="71">
        <f t="shared" si="57"/>
        <v>0</v>
      </c>
      <c r="N1262" s="71" t="str">
        <f>IFERROR(VLOOKUP(M1262,NCAA_Bets[[Date]:[Version]],2,0),"")</f>
        <v/>
      </c>
      <c r="O1262" s="94" t="str">
        <f>COUNTIFS(NCAA_Bets[Date],M1262,NCAA_Bets[Result],"W")&amp;"-"&amp;COUNTIFS(NCAA_Bets[Date],M1262,NCAA_Bets[Result],"L")&amp;IF(COUNTIFS(NCAA_Bets[Date],M1262,NCAA_Bets[Result],"Push")&gt;0,"-"&amp;COUNTIFS(NCAA_Bets[Date],M1262,NCAA_Bets[Result],"Push"),"")</f>
        <v>0-0</v>
      </c>
      <c r="P1262" s="90">
        <f>SUMIF(NCAA_Bets[Date],M1262,NCAA_Bets[Winnings])-SUMIF(NCAA_Bets[Date],M1262,NCAA_Bets[Risk])</f>
        <v>0</v>
      </c>
    </row>
    <row r="1263" spans="2:16" x14ac:dyDescent="0.25">
      <c r="B1263" s="101">
        <f t="shared" si="56"/>
        <v>33</v>
      </c>
      <c r="L1263" s="71">
        <f t="shared" si="58"/>
        <v>0</v>
      </c>
      <c r="M1263" s="71">
        <f t="shared" si="57"/>
        <v>0</v>
      </c>
      <c r="N1263" s="71" t="str">
        <f>IFERROR(VLOOKUP(M1263,NCAA_Bets[[Date]:[Version]],2,0),"")</f>
        <v/>
      </c>
      <c r="O1263" s="94" t="str">
        <f>COUNTIFS(NCAA_Bets[Date],M1263,NCAA_Bets[Result],"W")&amp;"-"&amp;COUNTIFS(NCAA_Bets[Date],M1263,NCAA_Bets[Result],"L")&amp;IF(COUNTIFS(NCAA_Bets[Date],M1263,NCAA_Bets[Result],"Push")&gt;0,"-"&amp;COUNTIFS(NCAA_Bets[Date],M1263,NCAA_Bets[Result],"Push"),"")</f>
        <v>0-0</v>
      </c>
      <c r="P1263" s="90">
        <f>SUMIF(NCAA_Bets[Date],M1263,NCAA_Bets[Winnings])-SUMIF(NCAA_Bets[Date],M1263,NCAA_Bets[Risk])</f>
        <v>0</v>
      </c>
    </row>
    <row r="1264" spans="2:16" x14ac:dyDescent="0.25">
      <c r="B1264" s="101">
        <f t="shared" si="56"/>
        <v>33</v>
      </c>
      <c r="L1264" s="71">
        <f t="shared" si="58"/>
        <v>0</v>
      </c>
      <c r="M1264" s="71">
        <f t="shared" si="57"/>
        <v>0</v>
      </c>
      <c r="N1264" s="71" t="str">
        <f>IFERROR(VLOOKUP(M1264,NCAA_Bets[[Date]:[Version]],2,0),"")</f>
        <v/>
      </c>
      <c r="O1264" s="94" t="str">
        <f>COUNTIFS(NCAA_Bets[Date],M1264,NCAA_Bets[Result],"W")&amp;"-"&amp;COUNTIFS(NCAA_Bets[Date],M1264,NCAA_Bets[Result],"L")&amp;IF(COUNTIFS(NCAA_Bets[Date],M1264,NCAA_Bets[Result],"Push")&gt;0,"-"&amp;COUNTIFS(NCAA_Bets[Date],M1264,NCAA_Bets[Result],"Push"),"")</f>
        <v>0-0</v>
      </c>
      <c r="P1264" s="90">
        <f>SUMIF(NCAA_Bets[Date],M1264,NCAA_Bets[Winnings])-SUMIF(NCAA_Bets[Date],M1264,NCAA_Bets[Risk])</f>
        <v>0</v>
      </c>
    </row>
    <row r="1265" spans="2:16" x14ac:dyDescent="0.25">
      <c r="B1265" s="101">
        <f t="shared" si="56"/>
        <v>33</v>
      </c>
      <c r="L1265" s="71">
        <f t="shared" si="58"/>
        <v>0</v>
      </c>
      <c r="M1265" s="71">
        <f t="shared" si="57"/>
        <v>0</v>
      </c>
      <c r="N1265" s="71" t="str">
        <f>IFERROR(VLOOKUP(M1265,NCAA_Bets[[Date]:[Version]],2,0),"")</f>
        <v/>
      </c>
      <c r="O1265" s="94" t="str">
        <f>COUNTIFS(NCAA_Bets[Date],M1265,NCAA_Bets[Result],"W")&amp;"-"&amp;COUNTIFS(NCAA_Bets[Date],M1265,NCAA_Bets[Result],"L")&amp;IF(COUNTIFS(NCAA_Bets[Date],M1265,NCAA_Bets[Result],"Push")&gt;0,"-"&amp;COUNTIFS(NCAA_Bets[Date],M1265,NCAA_Bets[Result],"Push"),"")</f>
        <v>0-0</v>
      </c>
      <c r="P1265" s="90">
        <f>SUMIF(NCAA_Bets[Date],M1265,NCAA_Bets[Winnings])-SUMIF(NCAA_Bets[Date],M1265,NCAA_Bets[Risk])</f>
        <v>0</v>
      </c>
    </row>
    <row r="1266" spans="2:16" x14ac:dyDescent="0.25">
      <c r="B1266" s="101">
        <f t="shared" si="56"/>
        <v>33</v>
      </c>
      <c r="L1266" s="71">
        <f t="shared" si="58"/>
        <v>0</v>
      </c>
      <c r="M1266" s="71">
        <f t="shared" si="57"/>
        <v>0</v>
      </c>
      <c r="N1266" s="71" t="str">
        <f>IFERROR(VLOOKUP(M1266,NCAA_Bets[[Date]:[Version]],2,0),"")</f>
        <v/>
      </c>
      <c r="O1266" s="94" t="str">
        <f>COUNTIFS(NCAA_Bets[Date],M1266,NCAA_Bets[Result],"W")&amp;"-"&amp;COUNTIFS(NCAA_Bets[Date],M1266,NCAA_Bets[Result],"L")&amp;IF(COUNTIFS(NCAA_Bets[Date],M1266,NCAA_Bets[Result],"Push")&gt;0,"-"&amp;COUNTIFS(NCAA_Bets[Date],M1266,NCAA_Bets[Result],"Push"),"")</f>
        <v>0-0</v>
      </c>
      <c r="P1266" s="90">
        <f>SUMIF(NCAA_Bets[Date],M1266,NCAA_Bets[Winnings])-SUMIF(NCAA_Bets[Date],M1266,NCAA_Bets[Risk])</f>
        <v>0</v>
      </c>
    </row>
    <row r="1267" spans="2:16" x14ac:dyDescent="0.25">
      <c r="B1267" s="101">
        <f t="shared" si="56"/>
        <v>33</v>
      </c>
      <c r="L1267" s="71">
        <f t="shared" si="58"/>
        <v>0</v>
      </c>
      <c r="M1267" s="71">
        <f t="shared" si="57"/>
        <v>0</v>
      </c>
      <c r="N1267" s="71" t="str">
        <f>IFERROR(VLOOKUP(M1267,NCAA_Bets[[Date]:[Version]],2,0),"")</f>
        <v/>
      </c>
      <c r="O1267" s="94" t="str">
        <f>COUNTIFS(NCAA_Bets[Date],M1267,NCAA_Bets[Result],"W")&amp;"-"&amp;COUNTIFS(NCAA_Bets[Date],M1267,NCAA_Bets[Result],"L")&amp;IF(COUNTIFS(NCAA_Bets[Date],M1267,NCAA_Bets[Result],"Push")&gt;0,"-"&amp;COUNTIFS(NCAA_Bets[Date],M1267,NCAA_Bets[Result],"Push"),"")</f>
        <v>0-0</v>
      </c>
      <c r="P1267" s="90">
        <f>SUMIF(NCAA_Bets[Date],M1267,NCAA_Bets[Winnings])-SUMIF(NCAA_Bets[Date],M1267,NCAA_Bets[Risk])</f>
        <v>0</v>
      </c>
    </row>
    <row r="1268" spans="2:16" x14ac:dyDescent="0.25">
      <c r="B1268" s="101">
        <f t="shared" si="56"/>
        <v>33</v>
      </c>
      <c r="L1268" s="71">
        <f t="shared" si="58"/>
        <v>0</v>
      </c>
      <c r="M1268" s="71">
        <f t="shared" si="57"/>
        <v>0</v>
      </c>
      <c r="N1268" s="71" t="str">
        <f>IFERROR(VLOOKUP(M1268,NCAA_Bets[[Date]:[Version]],2,0),"")</f>
        <v/>
      </c>
      <c r="O1268" s="94" t="str">
        <f>COUNTIFS(NCAA_Bets[Date],M1268,NCAA_Bets[Result],"W")&amp;"-"&amp;COUNTIFS(NCAA_Bets[Date],M1268,NCAA_Bets[Result],"L")&amp;IF(COUNTIFS(NCAA_Bets[Date],M1268,NCAA_Bets[Result],"Push")&gt;0,"-"&amp;COUNTIFS(NCAA_Bets[Date],M1268,NCAA_Bets[Result],"Push"),"")</f>
        <v>0-0</v>
      </c>
      <c r="P1268" s="90">
        <f>SUMIF(NCAA_Bets[Date],M1268,NCAA_Bets[Winnings])-SUMIF(NCAA_Bets[Date],M1268,NCAA_Bets[Risk])</f>
        <v>0</v>
      </c>
    </row>
    <row r="1269" spans="2:16" x14ac:dyDescent="0.25">
      <c r="B1269" s="101">
        <f t="shared" si="56"/>
        <v>33</v>
      </c>
      <c r="L1269" s="71">
        <f t="shared" si="58"/>
        <v>0</v>
      </c>
      <c r="M1269" s="71">
        <f t="shared" si="57"/>
        <v>0</v>
      </c>
      <c r="N1269" s="71" t="str">
        <f>IFERROR(VLOOKUP(M1269,NCAA_Bets[[Date]:[Version]],2,0),"")</f>
        <v/>
      </c>
      <c r="O1269" s="94" t="str">
        <f>COUNTIFS(NCAA_Bets[Date],M1269,NCAA_Bets[Result],"W")&amp;"-"&amp;COUNTIFS(NCAA_Bets[Date],M1269,NCAA_Bets[Result],"L")&amp;IF(COUNTIFS(NCAA_Bets[Date],M1269,NCAA_Bets[Result],"Push")&gt;0,"-"&amp;COUNTIFS(NCAA_Bets[Date],M1269,NCAA_Bets[Result],"Push"),"")</f>
        <v>0-0</v>
      </c>
      <c r="P1269" s="90">
        <f>SUMIF(NCAA_Bets[Date],M1269,NCAA_Bets[Winnings])-SUMIF(NCAA_Bets[Date],M1269,NCAA_Bets[Risk])</f>
        <v>0</v>
      </c>
    </row>
    <row r="1270" spans="2:16" x14ac:dyDescent="0.25">
      <c r="B1270" s="101">
        <f t="shared" si="56"/>
        <v>33</v>
      </c>
      <c r="L1270" s="71">
        <f t="shared" si="58"/>
        <v>0</v>
      </c>
      <c r="M1270" s="71">
        <f t="shared" si="57"/>
        <v>0</v>
      </c>
      <c r="N1270" s="71" t="str">
        <f>IFERROR(VLOOKUP(M1270,NCAA_Bets[[Date]:[Version]],2,0),"")</f>
        <v/>
      </c>
      <c r="O1270" s="94" t="str">
        <f>COUNTIFS(NCAA_Bets[Date],M1270,NCAA_Bets[Result],"W")&amp;"-"&amp;COUNTIFS(NCAA_Bets[Date],M1270,NCAA_Bets[Result],"L")&amp;IF(COUNTIFS(NCAA_Bets[Date],M1270,NCAA_Bets[Result],"Push")&gt;0,"-"&amp;COUNTIFS(NCAA_Bets[Date],M1270,NCAA_Bets[Result],"Push"),"")</f>
        <v>0-0</v>
      </c>
      <c r="P1270" s="90">
        <f>SUMIF(NCAA_Bets[Date],M1270,NCAA_Bets[Winnings])-SUMIF(NCAA_Bets[Date],M1270,NCAA_Bets[Risk])</f>
        <v>0</v>
      </c>
    </row>
    <row r="1271" spans="2:16" x14ac:dyDescent="0.25">
      <c r="B1271" s="101">
        <f t="shared" si="56"/>
        <v>33</v>
      </c>
      <c r="L1271" s="71">
        <f t="shared" si="58"/>
        <v>0</v>
      </c>
      <c r="M1271" s="71">
        <f t="shared" si="57"/>
        <v>0</v>
      </c>
      <c r="N1271" s="71" t="str">
        <f>IFERROR(VLOOKUP(M1271,NCAA_Bets[[Date]:[Version]],2,0),"")</f>
        <v/>
      </c>
      <c r="O1271" s="94" t="str">
        <f>COUNTIFS(NCAA_Bets[Date],M1271,NCAA_Bets[Result],"W")&amp;"-"&amp;COUNTIFS(NCAA_Bets[Date],M1271,NCAA_Bets[Result],"L")&amp;IF(COUNTIFS(NCAA_Bets[Date],M1271,NCAA_Bets[Result],"Push")&gt;0,"-"&amp;COUNTIFS(NCAA_Bets[Date],M1271,NCAA_Bets[Result],"Push"),"")</f>
        <v>0-0</v>
      </c>
      <c r="P1271" s="90">
        <f>SUMIF(NCAA_Bets[Date],M1271,NCAA_Bets[Winnings])-SUMIF(NCAA_Bets[Date],M1271,NCAA_Bets[Risk])</f>
        <v>0</v>
      </c>
    </row>
    <row r="1272" spans="2:16" x14ac:dyDescent="0.25">
      <c r="B1272" s="101">
        <f t="shared" si="56"/>
        <v>33</v>
      </c>
      <c r="L1272" s="71">
        <f t="shared" si="58"/>
        <v>0</v>
      </c>
      <c r="M1272" s="71">
        <f t="shared" si="57"/>
        <v>0</v>
      </c>
      <c r="N1272" s="71" t="str">
        <f>IFERROR(VLOOKUP(M1272,NCAA_Bets[[Date]:[Version]],2,0),"")</f>
        <v/>
      </c>
      <c r="O1272" s="94" t="str">
        <f>COUNTIFS(NCAA_Bets[Date],M1272,NCAA_Bets[Result],"W")&amp;"-"&amp;COUNTIFS(NCAA_Bets[Date],M1272,NCAA_Bets[Result],"L")&amp;IF(COUNTIFS(NCAA_Bets[Date],M1272,NCAA_Bets[Result],"Push")&gt;0,"-"&amp;COUNTIFS(NCAA_Bets[Date],M1272,NCAA_Bets[Result],"Push"),"")</f>
        <v>0-0</v>
      </c>
      <c r="P1272" s="90">
        <f>SUMIF(NCAA_Bets[Date],M1272,NCAA_Bets[Winnings])-SUMIF(NCAA_Bets[Date],M1272,NCAA_Bets[Risk])</f>
        <v>0</v>
      </c>
    </row>
    <row r="1273" spans="2:16" x14ac:dyDescent="0.25">
      <c r="B1273" s="101">
        <f t="shared" si="56"/>
        <v>33</v>
      </c>
      <c r="L1273" s="71">
        <f t="shared" si="58"/>
        <v>0</v>
      </c>
      <c r="M1273" s="71">
        <f t="shared" si="57"/>
        <v>0</v>
      </c>
      <c r="N1273" s="71" t="str">
        <f>IFERROR(VLOOKUP(M1273,NCAA_Bets[[Date]:[Version]],2,0),"")</f>
        <v/>
      </c>
      <c r="O1273" s="94" t="str">
        <f>COUNTIFS(NCAA_Bets[Date],M1273,NCAA_Bets[Result],"W")&amp;"-"&amp;COUNTIFS(NCAA_Bets[Date],M1273,NCAA_Bets[Result],"L")&amp;IF(COUNTIFS(NCAA_Bets[Date],M1273,NCAA_Bets[Result],"Push")&gt;0,"-"&amp;COUNTIFS(NCAA_Bets[Date],M1273,NCAA_Bets[Result],"Push"),"")</f>
        <v>0-0</v>
      </c>
      <c r="P1273" s="90">
        <f>SUMIF(NCAA_Bets[Date],M1273,NCAA_Bets[Winnings])-SUMIF(NCAA_Bets[Date],M1273,NCAA_Bets[Risk])</f>
        <v>0</v>
      </c>
    </row>
    <row r="1274" spans="2:16" x14ac:dyDescent="0.25">
      <c r="B1274" s="101">
        <f t="shared" si="56"/>
        <v>33</v>
      </c>
      <c r="L1274" s="71">
        <f t="shared" si="58"/>
        <v>0</v>
      </c>
      <c r="M1274" s="71">
        <f t="shared" si="57"/>
        <v>0</v>
      </c>
      <c r="N1274" s="71" t="str">
        <f>IFERROR(VLOOKUP(M1274,NCAA_Bets[[Date]:[Version]],2,0),"")</f>
        <v/>
      </c>
      <c r="O1274" s="94" t="str">
        <f>COUNTIFS(NCAA_Bets[Date],M1274,NCAA_Bets[Result],"W")&amp;"-"&amp;COUNTIFS(NCAA_Bets[Date],M1274,NCAA_Bets[Result],"L")&amp;IF(COUNTIFS(NCAA_Bets[Date],M1274,NCAA_Bets[Result],"Push")&gt;0,"-"&amp;COUNTIFS(NCAA_Bets[Date],M1274,NCAA_Bets[Result],"Push"),"")</f>
        <v>0-0</v>
      </c>
      <c r="P1274" s="90">
        <f>SUMIF(NCAA_Bets[Date],M1274,NCAA_Bets[Winnings])-SUMIF(NCAA_Bets[Date],M1274,NCAA_Bets[Risk])</f>
        <v>0</v>
      </c>
    </row>
    <row r="1275" spans="2:16" x14ac:dyDescent="0.25">
      <c r="B1275" s="101">
        <f t="shared" si="56"/>
        <v>33</v>
      </c>
      <c r="L1275" s="71">
        <f t="shared" si="58"/>
        <v>0</v>
      </c>
      <c r="M1275" s="71">
        <f t="shared" si="57"/>
        <v>0</v>
      </c>
      <c r="N1275" s="71" t="str">
        <f>IFERROR(VLOOKUP(M1275,NCAA_Bets[[Date]:[Version]],2,0),"")</f>
        <v/>
      </c>
      <c r="O1275" s="94" t="str">
        <f>COUNTIFS(NCAA_Bets[Date],M1275,NCAA_Bets[Result],"W")&amp;"-"&amp;COUNTIFS(NCAA_Bets[Date],M1275,NCAA_Bets[Result],"L")&amp;IF(COUNTIFS(NCAA_Bets[Date],M1275,NCAA_Bets[Result],"Push")&gt;0,"-"&amp;COUNTIFS(NCAA_Bets[Date],M1275,NCAA_Bets[Result],"Push"),"")</f>
        <v>0-0</v>
      </c>
      <c r="P1275" s="90">
        <f>SUMIF(NCAA_Bets[Date],M1275,NCAA_Bets[Winnings])-SUMIF(NCAA_Bets[Date],M1275,NCAA_Bets[Risk])</f>
        <v>0</v>
      </c>
    </row>
    <row r="1276" spans="2:16" x14ac:dyDescent="0.25">
      <c r="B1276" s="101">
        <f t="shared" si="56"/>
        <v>33</v>
      </c>
      <c r="L1276" s="71">
        <f t="shared" si="58"/>
        <v>0</v>
      </c>
      <c r="M1276" s="71">
        <f t="shared" si="57"/>
        <v>0</v>
      </c>
      <c r="N1276" s="71" t="str">
        <f>IFERROR(VLOOKUP(M1276,NCAA_Bets[[Date]:[Version]],2,0),"")</f>
        <v/>
      </c>
      <c r="O1276" s="94" t="str">
        <f>COUNTIFS(NCAA_Bets[Date],M1276,NCAA_Bets[Result],"W")&amp;"-"&amp;COUNTIFS(NCAA_Bets[Date],M1276,NCAA_Bets[Result],"L")&amp;IF(COUNTIFS(NCAA_Bets[Date],M1276,NCAA_Bets[Result],"Push")&gt;0,"-"&amp;COUNTIFS(NCAA_Bets[Date],M1276,NCAA_Bets[Result],"Push"),"")</f>
        <v>0-0</v>
      </c>
      <c r="P1276" s="90">
        <f>SUMIF(NCAA_Bets[Date],M1276,NCAA_Bets[Winnings])-SUMIF(NCAA_Bets[Date],M1276,NCAA_Bets[Risk])</f>
        <v>0</v>
      </c>
    </row>
    <row r="1277" spans="2:16" x14ac:dyDescent="0.25">
      <c r="B1277" s="101">
        <f t="shared" si="56"/>
        <v>33</v>
      </c>
      <c r="L1277" s="71">
        <f t="shared" si="58"/>
        <v>0</v>
      </c>
      <c r="M1277" s="71">
        <f t="shared" si="57"/>
        <v>0</v>
      </c>
      <c r="N1277" s="71" t="str">
        <f>IFERROR(VLOOKUP(M1277,NCAA_Bets[[Date]:[Version]],2,0),"")</f>
        <v/>
      </c>
      <c r="O1277" s="94" t="str">
        <f>COUNTIFS(NCAA_Bets[Date],M1277,NCAA_Bets[Result],"W")&amp;"-"&amp;COUNTIFS(NCAA_Bets[Date],M1277,NCAA_Bets[Result],"L")&amp;IF(COUNTIFS(NCAA_Bets[Date],M1277,NCAA_Bets[Result],"Push")&gt;0,"-"&amp;COUNTIFS(NCAA_Bets[Date],M1277,NCAA_Bets[Result],"Push"),"")</f>
        <v>0-0</v>
      </c>
      <c r="P1277" s="90">
        <f>SUMIF(NCAA_Bets[Date],M1277,NCAA_Bets[Winnings])-SUMIF(NCAA_Bets[Date],M1277,NCAA_Bets[Risk])</f>
        <v>0</v>
      </c>
    </row>
    <row r="1278" spans="2:16" x14ac:dyDescent="0.25">
      <c r="B1278" s="101">
        <f t="shared" si="56"/>
        <v>33</v>
      </c>
      <c r="L1278" s="71">
        <f t="shared" si="58"/>
        <v>0</v>
      </c>
      <c r="M1278" s="71">
        <f t="shared" si="57"/>
        <v>0</v>
      </c>
      <c r="N1278" s="71" t="str">
        <f>IFERROR(VLOOKUP(M1278,NCAA_Bets[[Date]:[Version]],2,0),"")</f>
        <v/>
      </c>
      <c r="O1278" s="94" t="str">
        <f>COUNTIFS(NCAA_Bets[Date],M1278,NCAA_Bets[Result],"W")&amp;"-"&amp;COUNTIFS(NCAA_Bets[Date],M1278,NCAA_Bets[Result],"L")&amp;IF(COUNTIFS(NCAA_Bets[Date],M1278,NCAA_Bets[Result],"Push")&gt;0,"-"&amp;COUNTIFS(NCAA_Bets[Date],M1278,NCAA_Bets[Result],"Push"),"")</f>
        <v>0-0</v>
      </c>
      <c r="P1278" s="90">
        <f>SUMIF(NCAA_Bets[Date],M1278,NCAA_Bets[Winnings])-SUMIF(NCAA_Bets[Date],M1278,NCAA_Bets[Risk])</f>
        <v>0</v>
      </c>
    </row>
    <row r="1279" spans="2:16" x14ac:dyDescent="0.25">
      <c r="B1279" s="101">
        <f t="shared" si="56"/>
        <v>33</v>
      </c>
      <c r="L1279" s="71">
        <f t="shared" si="58"/>
        <v>0</v>
      </c>
      <c r="M1279" s="71">
        <f t="shared" si="57"/>
        <v>0</v>
      </c>
      <c r="N1279" s="71" t="str">
        <f>IFERROR(VLOOKUP(M1279,NCAA_Bets[[Date]:[Version]],2,0),"")</f>
        <v/>
      </c>
      <c r="O1279" s="94" t="str">
        <f>COUNTIFS(NCAA_Bets[Date],M1279,NCAA_Bets[Result],"W")&amp;"-"&amp;COUNTIFS(NCAA_Bets[Date],M1279,NCAA_Bets[Result],"L")&amp;IF(COUNTIFS(NCAA_Bets[Date],M1279,NCAA_Bets[Result],"Push")&gt;0,"-"&amp;COUNTIFS(NCAA_Bets[Date],M1279,NCAA_Bets[Result],"Push"),"")</f>
        <v>0-0</v>
      </c>
      <c r="P1279" s="90">
        <f>SUMIF(NCAA_Bets[Date],M1279,NCAA_Bets[Winnings])-SUMIF(NCAA_Bets[Date],M1279,NCAA_Bets[Risk])</f>
        <v>0</v>
      </c>
    </row>
    <row r="1280" spans="2:16" x14ac:dyDescent="0.25">
      <c r="B1280" s="101">
        <f t="shared" si="56"/>
        <v>33</v>
      </c>
      <c r="L1280" s="71">
        <f t="shared" si="58"/>
        <v>0</v>
      </c>
      <c r="M1280" s="71">
        <f t="shared" si="57"/>
        <v>0</v>
      </c>
      <c r="N1280" s="71" t="str">
        <f>IFERROR(VLOOKUP(M1280,NCAA_Bets[[Date]:[Version]],2,0),"")</f>
        <v/>
      </c>
      <c r="O1280" s="94" t="str">
        <f>COUNTIFS(NCAA_Bets[Date],M1280,NCAA_Bets[Result],"W")&amp;"-"&amp;COUNTIFS(NCAA_Bets[Date],M1280,NCAA_Bets[Result],"L")&amp;IF(COUNTIFS(NCAA_Bets[Date],M1280,NCAA_Bets[Result],"Push")&gt;0,"-"&amp;COUNTIFS(NCAA_Bets[Date],M1280,NCAA_Bets[Result],"Push"),"")</f>
        <v>0-0</v>
      </c>
      <c r="P1280" s="90">
        <f>SUMIF(NCAA_Bets[Date],M1280,NCAA_Bets[Winnings])-SUMIF(NCAA_Bets[Date],M1280,NCAA_Bets[Risk])</f>
        <v>0</v>
      </c>
    </row>
    <row r="1281" spans="2:16" x14ac:dyDescent="0.25">
      <c r="B1281" s="101">
        <f t="shared" si="56"/>
        <v>33</v>
      </c>
      <c r="L1281" s="71">
        <f t="shared" si="58"/>
        <v>0</v>
      </c>
      <c r="M1281" s="71">
        <f t="shared" si="57"/>
        <v>0</v>
      </c>
      <c r="N1281" s="71" t="str">
        <f>IFERROR(VLOOKUP(M1281,NCAA_Bets[[Date]:[Version]],2,0),"")</f>
        <v/>
      </c>
      <c r="O1281" s="94" t="str">
        <f>COUNTIFS(NCAA_Bets[Date],M1281,NCAA_Bets[Result],"W")&amp;"-"&amp;COUNTIFS(NCAA_Bets[Date],M1281,NCAA_Bets[Result],"L")&amp;IF(COUNTIFS(NCAA_Bets[Date],M1281,NCAA_Bets[Result],"Push")&gt;0,"-"&amp;COUNTIFS(NCAA_Bets[Date],M1281,NCAA_Bets[Result],"Push"),"")</f>
        <v>0-0</v>
      </c>
      <c r="P1281" s="90">
        <f>SUMIF(NCAA_Bets[Date],M1281,NCAA_Bets[Winnings])-SUMIF(NCAA_Bets[Date],M1281,NCAA_Bets[Risk])</f>
        <v>0</v>
      </c>
    </row>
    <row r="1282" spans="2:16" x14ac:dyDescent="0.25">
      <c r="B1282" s="101">
        <f t="shared" si="56"/>
        <v>33</v>
      </c>
      <c r="L1282" s="71">
        <f t="shared" si="58"/>
        <v>0</v>
      </c>
      <c r="M1282" s="71">
        <f t="shared" si="57"/>
        <v>0</v>
      </c>
      <c r="N1282" s="71" t="str">
        <f>IFERROR(VLOOKUP(M1282,NCAA_Bets[[Date]:[Version]],2,0),"")</f>
        <v/>
      </c>
      <c r="O1282" s="94" t="str">
        <f>COUNTIFS(NCAA_Bets[Date],M1282,NCAA_Bets[Result],"W")&amp;"-"&amp;COUNTIFS(NCAA_Bets[Date],M1282,NCAA_Bets[Result],"L")&amp;IF(COUNTIFS(NCAA_Bets[Date],M1282,NCAA_Bets[Result],"Push")&gt;0,"-"&amp;COUNTIFS(NCAA_Bets[Date],M1282,NCAA_Bets[Result],"Push"),"")</f>
        <v>0-0</v>
      </c>
      <c r="P1282" s="90">
        <f>SUMIF(NCAA_Bets[Date],M1282,NCAA_Bets[Winnings])-SUMIF(NCAA_Bets[Date],M1282,NCAA_Bets[Risk])</f>
        <v>0</v>
      </c>
    </row>
    <row r="1283" spans="2:16" x14ac:dyDescent="0.25">
      <c r="B1283" s="101">
        <f t="shared" si="56"/>
        <v>33</v>
      </c>
      <c r="L1283" s="71">
        <f t="shared" si="58"/>
        <v>0</v>
      </c>
      <c r="M1283" s="71">
        <f t="shared" si="57"/>
        <v>0</v>
      </c>
      <c r="N1283" s="71" t="str">
        <f>IFERROR(VLOOKUP(M1283,NCAA_Bets[[Date]:[Version]],2,0),"")</f>
        <v/>
      </c>
      <c r="O1283" s="94" t="str">
        <f>COUNTIFS(NCAA_Bets[Date],M1283,NCAA_Bets[Result],"W")&amp;"-"&amp;COUNTIFS(NCAA_Bets[Date],M1283,NCAA_Bets[Result],"L")&amp;IF(COUNTIFS(NCAA_Bets[Date],M1283,NCAA_Bets[Result],"Push")&gt;0,"-"&amp;COUNTIFS(NCAA_Bets[Date],M1283,NCAA_Bets[Result],"Push"),"")</f>
        <v>0-0</v>
      </c>
      <c r="P1283" s="90">
        <f>SUMIF(NCAA_Bets[Date],M1283,NCAA_Bets[Winnings])-SUMIF(NCAA_Bets[Date],M1283,NCAA_Bets[Risk])</f>
        <v>0</v>
      </c>
    </row>
    <row r="1284" spans="2:16" x14ac:dyDescent="0.25">
      <c r="B1284" s="101">
        <f t="shared" si="56"/>
        <v>33</v>
      </c>
      <c r="L1284" s="71">
        <f t="shared" si="58"/>
        <v>0</v>
      </c>
      <c r="M1284" s="71">
        <f t="shared" si="57"/>
        <v>0</v>
      </c>
      <c r="N1284" s="71" t="str">
        <f>IFERROR(VLOOKUP(M1284,NCAA_Bets[[Date]:[Version]],2,0),"")</f>
        <v/>
      </c>
      <c r="O1284" s="94" t="str">
        <f>COUNTIFS(NCAA_Bets[Date],M1284,NCAA_Bets[Result],"W")&amp;"-"&amp;COUNTIFS(NCAA_Bets[Date],M1284,NCAA_Bets[Result],"L")&amp;IF(COUNTIFS(NCAA_Bets[Date],M1284,NCAA_Bets[Result],"Push")&gt;0,"-"&amp;COUNTIFS(NCAA_Bets[Date],M1284,NCAA_Bets[Result],"Push"),"")</f>
        <v>0-0</v>
      </c>
      <c r="P1284" s="90">
        <f>SUMIF(NCAA_Bets[Date],M1284,NCAA_Bets[Winnings])-SUMIF(NCAA_Bets[Date],M1284,NCAA_Bets[Risk])</f>
        <v>0</v>
      </c>
    </row>
    <row r="1285" spans="2:16" x14ac:dyDescent="0.25">
      <c r="B1285" s="101">
        <f t="shared" si="56"/>
        <v>33</v>
      </c>
    </row>
    <row r="1286" spans="2:16" x14ac:dyDescent="0.25">
      <c r="B1286" s="101">
        <f t="shared" ref="B1286:B1349" si="59">IF(C1286=C1285,B1285,B1285+1)</f>
        <v>33</v>
      </c>
    </row>
    <row r="1287" spans="2:16" x14ac:dyDescent="0.25">
      <c r="B1287" s="101">
        <f t="shared" si="59"/>
        <v>33</v>
      </c>
    </row>
    <row r="1288" spans="2:16" x14ac:dyDescent="0.25">
      <c r="B1288" s="101">
        <f t="shared" si="59"/>
        <v>33</v>
      </c>
    </row>
    <row r="1289" spans="2:16" x14ac:dyDescent="0.25">
      <c r="B1289" s="101">
        <f t="shared" si="59"/>
        <v>33</v>
      </c>
    </row>
    <row r="1290" spans="2:16" x14ac:dyDescent="0.25">
      <c r="B1290" s="101">
        <f t="shared" si="59"/>
        <v>33</v>
      </c>
    </row>
    <row r="1291" spans="2:16" x14ac:dyDescent="0.25">
      <c r="B1291" s="101">
        <f t="shared" si="59"/>
        <v>33</v>
      </c>
    </row>
    <row r="1292" spans="2:16" x14ac:dyDescent="0.25">
      <c r="B1292" s="101">
        <f t="shared" si="59"/>
        <v>33</v>
      </c>
    </row>
    <row r="1293" spans="2:16" x14ac:dyDescent="0.25">
      <c r="B1293" s="101">
        <f t="shared" si="59"/>
        <v>33</v>
      </c>
    </row>
    <row r="1294" spans="2:16" x14ac:dyDescent="0.25">
      <c r="B1294" s="101">
        <f t="shared" si="59"/>
        <v>33</v>
      </c>
    </row>
    <row r="1295" spans="2:16" x14ac:dyDescent="0.25">
      <c r="B1295" s="101">
        <f t="shared" si="59"/>
        <v>33</v>
      </c>
    </row>
    <row r="1296" spans="2:16" x14ac:dyDescent="0.25">
      <c r="B1296" s="101">
        <f t="shared" si="59"/>
        <v>33</v>
      </c>
    </row>
    <row r="1297" spans="2:2" x14ac:dyDescent="0.25">
      <c r="B1297" s="101">
        <f t="shared" si="59"/>
        <v>33</v>
      </c>
    </row>
    <row r="1298" spans="2:2" x14ac:dyDescent="0.25">
      <c r="B1298" s="101">
        <f t="shared" si="59"/>
        <v>33</v>
      </c>
    </row>
    <row r="1299" spans="2:2" x14ac:dyDescent="0.25">
      <c r="B1299" s="101">
        <f t="shared" si="59"/>
        <v>33</v>
      </c>
    </row>
    <row r="1300" spans="2:2" x14ac:dyDescent="0.25">
      <c r="B1300" s="101">
        <f t="shared" si="59"/>
        <v>33</v>
      </c>
    </row>
    <row r="1301" spans="2:2" x14ac:dyDescent="0.25">
      <c r="B1301" s="101">
        <f t="shared" si="59"/>
        <v>33</v>
      </c>
    </row>
    <row r="1302" spans="2:2" x14ac:dyDescent="0.25">
      <c r="B1302" s="101">
        <f t="shared" si="59"/>
        <v>33</v>
      </c>
    </row>
    <row r="1303" spans="2:2" x14ac:dyDescent="0.25">
      <c r="B1303" s="101">
        <f t="shared" si="59"/>
        <v>33</v>
      </c>
    </row>
    <row r="1304" spans="2:2" x14ac:dyDescent="0.25">
      <c r="B1304" s="101">
        <f t="shared" si="59"/>
        <v>33</v>
      </c>
    </row>
    <row r="1305" spans="2:2" x14ac:dyDescent="0.25">
      <c r="B1305" s="101">
        <f t="shared" si="59"/>
        <v>33</v>
      </c>
    </row>
    <row r="1306" spans="2:2" x14ac:dyDescent="0.25">
      <c r="B1306" s="101">
        <f t="shared" si="59"/>
        <v>33</v>
      </c>
    </row>
    <row r="1307" spans="2:2" x14ac:dyDescent="0.25">
      <c r="B1307" s="101">
        <f t="shared" si="59"/>
        <v>33</v>
      </c>
    </row>
    <row r="1308" spans="2:2" x14ac:dyDescent="0.25">
      <c r="B1308" s="101">
        <f t="shared" si="59"/>
        <v>33</v>
      </c>
    </row>
    <row r="1309" spans="2:2" x14ac:dyDescent="0.25">
      <c r="B1309" s="101">
        <f t="shared" si="59"/>
        <v>33</v>
      </c>
    </row>
    <row r="1310" spans="2:2" x14ac:dyDescent="0.25">
      <c r="B1310" s="101">
        <f t="shared" si="59"/>
        <v>33</v>
      </c>
    </row>
    <row r="1311" spans="2:2" x14ac:dyDescent="0.25">
      <c r="B1311" s="101">
        <f t="shared" si="59"/>
        <v>33</v>
      </c>
    </row>
    <row r="1312" spans="2:2" x14ac:dyDescent="0.25">
      <c r="B1312" s="101">
        <f t="shared" si="59"/>
        <v>33</v>
      </c>
    </row>
    <row r="1313" spans="2:2" x14ac:dyDescent="0.25">
      <c r="B1313" s="101">
        <f t="shared" si="59"/>
        <v>33</v>
      </c>
    </row>
    <row r="1314" spans="2:2" x14ac:dyDescent="0.25">
      <c r="B1314" s="101">
        <f t="shared" si="59"/>
        <v>33</v>
      </c>
    </row>
    <row r="1315" spans="2:2" x14ac:dyDescent="0.25">
      <c r="B1315" s="101">
        <f t="shared" si="59"/>
        <v>33</v>
      </c>
    </row>
    <row r="1316" spans="2:2" x14ac:dyDescent="0.25">
      <c r="B1316" s="101">
        <f t="shared" si="59"/>
        <v>33</v>
      </c>
    </row>
    <row r="1317" spans="2:2" x14ac:dyDescent="0.25">
      <c r="B1317" s="101">
        <f t="shared" si="59"/>
        <v>33</v>
      </c>
    </row>
    <row r="1318" spans="2:2" x14ac:dyDescent="0.25">
      <c r="B1318" s="101">
        <f t="shared" si="59"/>
        <v>33</v>
      </c>
    </row>
    <row r="1319" spans="2:2" x14ac:dyDescent="0.25">
      <c r="B1319" s="101">
        <f t="shared" si="59"/>
        <v>33</v>
      </c>
    </row>
    <row r="1320" spans="2:2" x14ac:dyDescent="0.25">
      <c r="B1320" s="101">
        <f t="shared" si="59"/>
        <v>33</v>
      </c>
    </row>
    <row r="1321" spans="2:2" x14ac:dyDescent="0.25">
      <c r="B1321" s="101">
        <f t="shared" si="59"/>
        <v>33</v>
      </c>
    </row>
    <row r="1322" spans="2:2" x14ac:dyDescent="0.25">
      <c r="B1322" s="101">
        <f t="shared" si="59"/>
        <v>33</v>
      </c>
    </row>
    <row r="1323" spans="2:2" x14ac:dyDescent="0.25">
      <c r="B1323" s="101">
        <f t="shared" si="59"/>
        <v>33</v>
      </c>
    </row>
    <row r="1324" spans="2:2" x14ac:dyDescent="0.25">
      <c r="B1324" s="101">
        <f t="shared" si="59"/>
        <v>33</v>
      </c>
    </row>
    <row r="1325" spans="2:2" x14ac:dyDescent="0.25">
      <c r="B1325" s="101">
        <f t="shared" si="59"/>
        <v>33</v>
      </c>
    </row>
    <row r="1326" spans="2:2" x14ac:dyDescent="0.25">
      <c r="B1326" s="101">
        <f t="shared" si="59"/>
        <v>33</v>
      </c>
    </row>
    <row r="1327" spans="2:2" x14ac:dyDescent="0.25">
      <c r="B1327" s="101">
        <f t="shared" si="59"/>
        <v>33</v>
      </c>
    </row>
    <row r="1328" spans="2:2" x14ac:dyDescent="0.25">
      <c r="B1328" s="101">
        <f t="shared" si="59"/>
        <v>33</v>
      </c>
    </row>
    <row r="1329" spans="2:2" x14ac:dyDescent="0.25">
      <c r="B1329" s="101">
        <f t="shared" si="59"/>
        <v>33</v>
      </c>
    </row>
    <row r="1330" spans="2:2" x14ac:dyDescent="0.25">
      <c r="B1330" s="101">
        <f t="shared" si="59"/>
        <v>33</v>
      </c>
    </row>
    <row r="1331" spans="2:2" x14ac:dyDescent="0.25">
      <c r="B1331" s="101">
        <f t="shared" si="59"/>
        <v>33</v>
      </c>
    </row>
    <row r="1332" spans="2:2" x14ac:dyDescent="0.25">
      <c r="B1332" s="101">
        <f t="shared" si="59"/>
        <v>33</v>
      </c>
    </row>
    <row r="1333" spans="2:2" x14ac:dyDescent="0.25">
      <c r="B1333" s="101">
        <f t="shared" si="59"/>
        <v>33</v>
      </c>
    </row>
    <row r="1334" spans="2:2" x14ac:dyDescent="0.25">
      <c r="B1334" s="101">
        <f t="shared" si="59"/>
        <v>33</v>
      </c>
    </row>
    <row r="1335" spans="2:2" x14ac:dyDescent="0.25">
      <c r="B1335" s="101">
        <f t="shared" si="59"/>
        <v>33</v>
      </c>
    </row>
    <row r="1336" spans="2:2" x14ac:dyDescent="0.25">
      <c r="B1336" s="101">
        <f t="shared" si="59"/>
        <v>33</v>
      </c>
    </row>
    <row r="1337" spans="2:2" x14ac:dyDescent="0.25">
      <c r="B1337" s="101">
        <f t="shared" si="59"/>
        <v>33</v>
      </c>
    </row>
    <row r="1338" spans="2:2" x14ac:dyDescent="0.25">
      <c r="B1338" s="101">
        <f t="shared" si="59"/>
        <v>33</v>
      </c>
    </row>
    <row r="1339" spans="2:2" x14ac:dyDescent="0.25">
      <c r="B1339" s="101">
        <f t="shared" si="59"/>
        <v>33</v>
      </c>
    </row>
    <row r="1340" spans="2:2" x14ac:dyDescent="0.25">
      <c r="B1340" s="101">
        <f t="shared" si="59"/>
        <v>33</v>
      </c>
    </row>
    <row r="1341" spans="2:2" x14ac:dyDescent="0.25">
      <c r="B1341" s="101">
        <f t="shared" si="59"/>
        <v>33</v>
      </c>
    </row>
    <row r="1342" spans="2:2" x14ac:dyDescent="0.25">
      <c r="B1342" s="101">
        <f t="shared" si="59"/>
        <v>33</v>
      </c>
    </row>
    <row r="1343" spans="2:2" x14ac:dyDescent="0.25">
      <c r="B1343" s="101">
        <f t="shared" si="59"/>
        <v>33</v>
      </c>
    </row>
    <row r="1344" spans="2:2" x14ac:dyDescent="0.25">
      <c r="B1344" s="101">
        <f t="shared" si="59"/>
        <v>33</v>
      </c>
    </row>
    <row r="1345" spans="2:2" x14ac:dyDescent="0.25">
      <c r="B1345" s="101">
        <f t="shared" si="59"/>
        <v>33</v>
      </c>
    </row>
    <row r="1346" spans="2:2" x14ac:dyDescent="0.25">
      <c r="B1346" s="101">
        <f t="shared" si="59"/>
        <v>33</v>
      </c>
    </row>
    <row r="1347" spans="2:2" x14ac:dyDescent="0.25">
      <c r="B1347" s="101">
        <f t="shared" si="59"/>
        <v>33</v>
      </c>
    </row>
    <row r="1348" spans="2:2" x14ac:dyDescent="0.25">
      <c r="B1348" s="101">
        <f t="shared" si="59"/>
        <v>33</v>
      </c>
    </row>
    <row r="1349" spans="2:2" x14ac:dyDescent="0.25">
      <c r="B1349" s="101">
        <f t="shared" si="59"/>
        <v>33</v>
      </c>
    </row>
    <row r="1350" spans="2:2" x14ac:dyDescent="0.25">
      <c r="B1350" s="101">
        <f t="shared" ref="B1350:B1413" si="60">IF(C1350=C1349,B1349,B1349+1)</f>
        <v>33</v>
      </c>
    </row>
    <row r="1351" spans="2:2" x14ac:dyDescent="0.25">
      <c r="B1351" s="101">
        <f t="shared" si="60"/>
        <v>33</v>
      </c>
    </row>
    <row r="1352" spans="2:2" x14ac:dyDescent="0.25">
      <c r="B1352" s="101">
        <f t="shared" si="60"/>
        <v>33</v>
      </c>
    </row>
    <row r="1353" spans="2:2" x14ac:dyDescent="0.25">
      <c r="B1353" s="101">
        <f t="shared" si="60"/>
        <v>33</v>
      </c>
    </row>
    <row r="1354" spans="2:2" x14ac:dyDescent="0.25">
      <c r="B1354" s="101">
        <f t="shared" si="60"/>
        <v>33</v>
      </c>
    </row>
    <row r="1355" spans="2:2" x14ac:dyDescent="0.25">
      <c r="B1355" s="101">
        <f t="shared" si="60"/>
        <v>33</v>
      </c>
    </row>
    <row r="1356" spans="2:2" x14ac:dyDescent="0.25">
      <c r="B1356" s="101">
        <f t="shared" si="60"/>
        <v>33</v>
      </c>
    </row>
    <row r="1357" spans="2:2" x14ac:dyDescent="0.25">
      <c r="B1357" s="101">
        <f t="shared" si="60"/>
        <v>33</v>
      </c>
    </row>
    <row r="1358" spans="2:2" x14ac:dyDescent="0.25">
      <c r="B1358" s="101">
        <f t="shared" si="60"/>
        <v>33</v>
      </c>
    </row>
    <row r="1359" spans="2:2" x14ac:dyDescent="0.25">
      <c r="B1359" s="101">
        <f t="shared" si="60"/>
        <v>33</v>
      </c>
    </row>
    <row r="1360" spans="2:2" x14ac:dyDescent="0.25">
      <c r="B1360" s="101">
        <f t="shared" si="60"/>
        <v>33</v>
      </c>
    </row>
    <row r="1361" spans="2:2" x14ac:dyDescent="0.25">
      <c r="B1361" s="101">
        <f t="shared" si="60"/>
        <v>33</v>
      </c>
    </row>
    <row r="1362" spans="2:2" x14ac:dyDescent="0.25">
      <c r="B1362" s="101">
        <f t="shared" si="60"/>
        <v>33</v>
      </c>
    </row>
    <row r="1363" spans="2:2" x14ac:dyDescent="0.25">
      <c r="B1363" s="101">
        <f t="shared" si="60"/>
        <v>33</v>
      </c>
    </row>
    <row r="1364" spans="2:2" x14ac:dyDescent="0.25">
      <c r="B1364" s="101">
        <f t="shared" si="60"/>
        <v>33</v>
      </c>
    </row>
    <row r="1365" spans="2:2" x14ac:dyDescent="0.25">
      <c r="B1365" s="101">
        <f t="shared" si="60"/>
        <v>33</v>
      </c>
    </row>
    <row r="1366" spans="2:2" x14ac:dyDescent="0.25">
      <c r="B1366" s="101">
        <f t="shared" si="60"/>
        <v>33</v>
      </c>
    </row>
    <row r="1367" spans="2:2" x14ac:dyDescent="0.25">
      <c r="B1367" s="101">
        <f t="shared" si="60"/>
        <v>33</v>
      </c>
    </row>
    <row r="1368" spans="2:2" x14ac:dyDescent="0.25">
      <c r="B1368" s="101">
        <f t="shared" si="60"/>
        <v>33</v>
      </c>
    </row>
    <row r="1369" spans="2:2" x14ac:dyDescent="0.25">
      <c r="B1369" s="101">
        <f t="shared" si="60"/>
        <v>33</v>
      </c>
    </row>
    <row r="1370" spans="2:2" x14ac:dyDescent="0.25">
      <c r="B1370" s="101">
        <f t="shared" si="60"/>
        <v>33</v>
      </c>
    </row>
    <row r="1371" spans="2:2" x14ac:dyDescent="0.25">
      <c r="B1371" s="101">
        <f t="shared" si="60"/>
        <v>33</v>
      </c>
    </row>
    <row r="1372" spans="2:2" x14ac:dyDescent="0.25">
      <c r="B1372" s="101">
        <f t="shared" si="60"/>
        <v>33</v>
      </c>
    </row>
    <row r="1373" spans="2:2" x14ac:dyDescent="0.25">
      <c r="B1373" s="101">
        <f t="shared" si="60"/>
        <v>33</v>
      </c>
    </row>
    <row r="1374" spans="2:2" x14ac:dyDescent="0.25">
      <c r="B1374" s="101">
        <f t="shared" si="60"/>
        <v>33</v>
      </c>
    </row>
    <row r="1375" spans="2:2" x14ac:dyDescent="0.25">
      <c r="B1375" s="101">
        <f t="shared" si="60"/>
        <v>33</v>
      </c>
    </row>
    <row r="1376" spans="2:2" x14ac:dyDescent="0.25">
      <c r="B1376" s="101">
        <f t="shared" si="60"/>
        <v>33</v>
      </c>
    </row>
    <row r="1377" spans="2:2" x14ac:dyDescent="0.25">
      <c r="B1377" s="101">
        <f t="shared" si="60"/>
        <v>33</v>
      </c>
    </row>
    <row r="1378" spans="2:2" x14ac:dyDescent="0.25">
      <c r="B1378" s="101">
        <f t="shared" si="60"/>
        <v>33</v>
      </c>
    </row>
    <row r="1379" spans="2:2" x14ac:dyDescent="0.25">
      <c r="B1379" s="101">
        <f t="shared" si="60"/>
        <v>33</v>
      </c>
    </row>
    <row r="1380" spans="2:2" x14ac:dyDescent="0.25">
      <c r="B1380" s="101">
        <f t="shared" si="60"/>
        <v>33</v>
      </c>
    </row>
    <row r="1381" spans="2:2" x14ac:dyDescent="0.25">
      <c r="B1381" s="101">
        <f t="shared" si="60"/>
        <v>33</v>
      </c>
    </row>
    <row r="1382" spans="2:2" x14ac:dyDescent="0.25">
      <c r="B1382" s="101">
        <f t="shared" si="60"/>
        <v>33</v>
      </c>
    </row>
    <row r="1383" spans="2:2" x14ac:dyDescent="0.25">
      <c r="B1383" s="101">
        <f t="shared" si="60"/>
        <v>33</v>
      </c>
    </row>
    <row r="1384" spans="2:2" x14ac:dyDescent="0.25">
      <c r="B1384" s="101">
        <f t="shared" si="60"/>
        <v>33</v>
      </c>
    </row>
    <row r="1385" spans="2:2" x14ac:dyDescent="0.25">
      <c r="B1385" s="101">
        <f t="shared" si="60"/>
        <v>33</v>
      </c>
    </row>
    <row r="1386" spans="2:2" x14ac:dyDescent="0.25">
      <c r="B1386" s="101">
        <f t="shared" si="60"/>
        <v>33</v>
      </c>
    </row>
    <row r="1387" spans="2:2" x14ac:dyDescent="0.25">
      <c r="B1387" s="101">
        <f t="shared" si="60"/>
        <v>33</v>
      </c>
    </row>
    <row r="1388" spans="2:2" x14ac:dyDescent="0.25">
      <c r="B1388" s="101">
        <f t="shared" si="60"/>
        <v>33</v>
      </c>
    </row>
    <row r="1389" spans="2:2" x14ac:dyDescent="0.25">
      <c r="B1389" s="101">
        <f t="shared" si="60"/>
        <v>33</v>
      </c>
    </row>
    <row r="1390" spans="2:2" x14ac:dyDescent="0.25">
      <c r="B1390" s="101">
        <f t="shared" si="60"/>
        <v>33</v>
      </c>
    </row>
    <row r="1391" spans="2:2" x14ac:dyDescent="0.25">
      <c r="B1391" s="101">
        <f t="shared" si="60"/>
        <v>33</v>
      </c>
    </row>
    <row r="1392" spans="2:2" x14ac:dyDescent="0.25">
      <c r="B1392" s="101">
        <f t="shared" si="60"/>
        <v>33</v>
      </c>
    </row>
    <row r="1393" spans="2:2" x14ac:dyDescent="0.25">
      <c r="B1393" s="101">
        <f t="shared" si="60"/>
        <v>33</v>
      </c>
    </row>
    <row r="1394" spans="2:2" x14ac:dyDescent="0.25">
      <c r="B1394" s="101">
        <f t="shared" si="60"/>
        <v>33</v>
      </c>
    </row>
    <row r="1395" spans="2:2" x14ac:dyDescent="0.25">
      <c r="B1395" s="101">
        <f t="shared" si="60"/>
        <v>33</v>
      </c>
    </row>
    <row r="1396" spans="2:2" x14ac:dyDescent="0.25">
      <c r="B1396" s="101">
        <f t="shared" si="60"/>
        <v>33</v>
      </c>
    </row>
    <row r="1397" spans="2:2" x14ac:dyDescent="0.25">
      <c r="B1397" s="101">
        <f t="shared" si="60"/>
        <v>33</v>
      </c>
    </row>
    <row r="1398" spans="2:2" x14ac:dyDescent="0.25">
      <c r="B1398" s="101">
        <f t="shared" si="60"/>
        <v>33</v>
      </c>
    </row>
    <row r="1399" spans="2:2" x14ac:dyDescent="0.25">
      <c r="B1399" s="101">
        <f t="shared" si="60"/>
        <v>33</v>
      </c>
    </row>
    <row r="1400" spans="2:2" x14ac:dyDescent="0.25">
      <c r="B1400" s="101">
        <f t="shared" si="60"/>
        <v>33</v>
      </c>
    </row>
    <row r="1401" spans="2:2" x14ac:dyDescent="0.25">
      <c r="B1401" s="101">
        <f t="shared" si="60"/>
        <v>33</v>
      </c>
    </row>
    <row r="1402" spans="2:2" x14ac:dyDescent="0.25">
      <c r="B1402" s="101">
        <f t="shared" si="60"/>
        <v>33</v>
      </c>
    </row>
    <row r="1403" spans="2:2" x14ac:dyDescent="0.25">
      <c r="B1403" s="101">
        <f t="shared" si="60"/>
        <v>33</v>
      </c>
    </row>
    <row r="1404" spans="2:2" x14ac:dyDescent="0.25">
      <c r="B1404" s="101">
        <f t="shared" si="60"/>
        <v>33</v>
      </c>
    </row>
    <row r="1405" spans="2:2" x14ac:dyDescent="0.25">
      <c r="B1405" s="101">
        <f t="shared" si="60"/>
        <v>33</v>
      </c>
    </row>
    <row r="1406" spans="2:2" x14ac:dyDescent="0.25">
      <c r="B1406" s="101">
        <f t="shared" si="60"/>
        <v>33</v>
      </c>
    </row>
    <row r="1407" spans="2:2" x14ac:dyDescent="0.25">
      <c r="B1407" s="101">
        <f t="shared" si="60"/>
        <v>33</v>
      </c>
    </row>
    <row r="1408" spans="2:2" x14ac:dyDescent="0.25">
      <c r="B1408" s="101">
        <f t="shared" si="60"/>
        <v>33</v>
      </c>
    </row>
    <row r="1409" spans="2:2" x14ac:dyDescent="0.25">
      <c r="B1409" s="101">
        <f t="shared" si="60"/>
        <v>33</v>
      </c>
    </row>
    <row r="1410" spans="2:2" x14ac:dyDescent="0.25">
      <c r="B1410" s="101">
        <f t="shared" si="60"/>
        <v>33</v>
      </c>
    </row>
    <row r="1411" spans="2:2" x14ac:dyDescent="0.25">
      <c r="B1411" s="101">
        <f t="shared" si="60"/>
        <v>33</v>
      </c>
    </row>
    <row r="1412" spans="2:2" x14ac:dyDescent="0.25">
      <c r="B1412" s="101">
        <f t="shared" si="60"/>
        <v>33</v>
      </c>
    </row>
    <row r="1413" spans="2:2" x14ac:dyDescent="0.25">
      <c r="B1413" s="101">
        <f t="shared" si="60"/>
        <v>33</v>
      </c>
    </row>
    <row r="1414" spans="2:2" x14ac:dyDescent="0.25">
      <c r="B1414" s="101">
        <f t="shared" ref="B1414:B1477" si="61">IF(C1414=C1413,B1413,B1413+1)</f>
        <v>33</v>
      </c>
    </row>
    <row r="1415" spans="2:2" x14ac:dyDescent="0.25">
      <c r="B1415" s="101">
        <f t="shared" si="61"/>
        <v>33</v>
      </c>
    </row>
    <row r="1416" spans="2:2" x14ac:dyDescent="0.25">
      <c r="B1416" s="101">
        <f t="shared" si="61"/>
        <v>33</v>
      </c>
    </row>
    <row r="1417" spans="2:2" x14ac:dyDescent="0.25">
      <c r="B1417" s="101">
        <f t="shared" si="61"/>
        <v>33</v>
      </c>
    </row>
    <row r="1418" spans="2:2" x14ac:dyDescent="0.25">
      <c r="B1418" s="101">
        <f t="shared" si="61"/>
        <v>33</v>
      </c>
    </row>
    <row r="1419" spans="2:2" x14ac:dyDescent="0.25">
      <c r="B1419" s="101">
        <f t="shared" si="61"/>
        <v>33</v>
      </c>
    </row>
    <row r="1420" spans="2:2" x14ac:dyDescent="0.25">
      <c r="B1420" s="101">
        <f t="shared" si="61"/>
        <v>33</v>
      </c>
    </row>
    <row r="1421" spans="2:2" x14ac:dyDescent="0.25">
      <c r="B1421" s="101">
        <f t="shared" si="61"/>
        <v>33</v>
      </c>
    </row>
    <row r="1422" spans="2:2" x14ac:dyDescent="0.25">
      <c r="B1422" s="101">
        <f t="shared" si="61"/>
        <v>33</v>
      </c>
    </row>
    <row r="1423" spans="2:2" x14ac:dyDescent="0.25">
      <c r="B1423" s="101">
        <f t="shared" si="61"/>
        <v>33</v>
      </c>
    </row>
    <row r="1424" spans="2:2" x14ac:dyDescent="0.25">
      <c r="B1424" s="101">
        <f t="shared" si="61"/>
        <v>33</v>
      </c>
    </row>
    <row r="1425" spans="2:2" x14ac:dyDescent="0.25">
      <c r="B1425" s="101">
        <f t="shared" si="61"/>
        <v>33</v>
      </c>
    </row>
    <row r="1426" spans="2:2" x14ac:dyDescent="0.25">
      <c r="B1426" s="101">
        <f t="shared" si="61"/>
        <v>33</v>
      </c>
    </row>
    <row r="1427" spans="2:2" x14ac:dyDescent="0.25">
      <c r="B1427" s="101">
        <f t="shared" si="61"/>
        <v>33</v>
      </c>
    </row>
    <row r="1428" spans="2:2" x14ac:dyDescent="0.25">
      <c r="B1428" s="101">
        <f t="shared" si="61"/>
        <v>33</v>
      </c>
    </row>
    <row r="1429" spans="2:2" x14ac:dyDescent="0.25">
      <c r="B1429" s="101">
        <f t="shared" si="61"/>
        <v>33</v>
      </c>
    </row>
    <row r="1430" spans="2:2" x14ac:dyDescent="0.25">
      <c r="B1430" s="101">
        <f t="shared" si="61"/>
        <v>33</v>
      </c>
    </row>
    <row r="1431" spans="2:2" x14ac:dyDescent="0.25">
      <c r="B1431" s="101">
        <f t="shared" si="61"/>
        <v>33</v>
      </c>
    </row>
    <row r="1432" spans="2:2" x14ac:dyDescent="0.25">
      <c r="B1432" s="101">
        <f t="shared" si="61"/>
        <v>33</v>
      </c>
    </row>
    <row r="1433" spans="2:2" x14ac:dyDescent="0.25">
      <c r="B1433" s="101">
        <f t="shared" si="61"/>
        <v>33</v>
      </c>
    </row>
    <row r="1434" spans="2:2" x14ac:dyDescent="0.25">
      <c r="B1434" s="101">
        <f t="shared" si="61"/>
        <v>33</v>
      </c>
    </row>
    <row r="1435" spans="2:2" x14ac:dyDescent="0.25">
      <c r="B1435" s="101">
        <f t="shared" si="61"/>
        <v>33</v>
      </c>
    </row>
    <row r="1436" spans="2:2" x14ac:dyDescent="0.25">
      <c r="B1436" s="101">
        <f t="shared" si="61"/>
        <v>33</v>
      </c>
    </row>
    <row r="1437" spans="2:2" x14ac:dyDescent="0.25">
      <c r="B1437" s="101">
        <f t="shared" si="61"/>
        <v>33</v>
      </c>
    </row>
    <row r="1438" spans="2:2" x14ac:dyDescent="0.25">
      <c r="B1438" s="101">
        <f t="shared" si="61"/>
        <v>33</v>
      </c>
    </row>
    <row r="1439" spans="2:2" x14ac:dyDescent="0.25">
      <c r="B1439" s="101">
        <f t="shared" si="61"/>
        <v>33</v>
      </c>
    </row>
    <row r="1440" spans="2:2" x14ac:dyDescent="0.25">
      <c r="B1440" s="101">
        <f t="shared" si="61"/>
        <v>33</v>
      </c>
    </row>
    <row r="1441" spans="2:2" x14ac:dyDescent="0.25">
      <c r="B1441" s="101">
        <f t="shared" si="61"/>
        <v>33</v>
      </c>
    </row>
    <row r="1442" spans="2:2" x14ac:dyDescent="0.25">
      <c r="B1442" s="101">
        <f t="shared" si="61"/>
        <v>33</v>
      </c>
    </row>
    <row r="1443" spans="2:2" x14ac:dyDescent="0.25">
      <c r="B1443" s="101">
        <f t="shared" si="61"/>
        <v>33</v>
      </c>
    </row>
    <row r="1444" spans="2:2" x14ac:dyDescent="0.25">
      <c r="B1444" s="101">
        <f t="shared" si="61"/>
        <v>33</v>
      </c>
    </row>
    <row r="1445" spans="2:2" x14ac:dyDescent="0.25">
      <c r="B1445" s="101">
        <f t="shared" si="61"/>
        <v>33</v>
      </c>
    </row>
    <row r="1446" spans="2:2" x14ac:dyDescent="0.25">
      <c r="B1446" s="101">
        <f t="shared" si="61"/>
        <v>33</v>
      </c>
    </row>
    <row r="1447" spans="2:2" x14ac:dyDescent="0.25">
      <c r="B1447" s="101">
        <f t="shared" si="61"/>
        <v>33</v>
      </c>
    </row>
    <row r="1448" spans="2:2" x14ac:dyDescent="0.25">
      <c r="B1448" s="101">
        <f t="shared" si="61"/>
        <v>33</v>
      </c>
    </row>
    <row r="1449" spans="2:2" x14ac:dyDescent="0.25">
      <c r="B1449" s="101">
        <f t="shared" si="61"/>
        <v>33</v>
      </c>
    </row>
    <row r="1450" spans="2:2" x14ac:dyDescent="0.25">
      <c r="B1450" s="101">
        <f t="shared" si="61"/>
        <v>33</v>
      </c>
    </row>
    <row r="1451" spans="2:2" x14ac:dyDescent="0.25">
      <c r="B1451" s="101">
        <f t="shared" si="61"/>
        <v>33</v>
      </c>
    </row>
    <row r="1452" spans="2:2" x14ac:dyDescent="0.25">
      <c r="B1452" s="101">
        <f t="shared" si="61"/>
        <v>33</v>
      </c>
    </row>
    <row r="1453" spans="2:2" x14ac:dyDescent="0.25">
      <c r="B1453" s="101">
        <f t="shared" si="61"/>
        <v>33</v>
      </c>
    </row>
    <row r="1454" spans="2:2" x14ac:dyDescent="0.25">
      <c r="B1454" s="101">
        <f t="shared" si="61"/>
        <v>33</v>
      </c>
    </row>
    <row r="1455" spans="2:2" x14ac:dyDescent="0.25">
      <c r="B1455" s="101">
        <f t="shared" si="61"/>
        <v>33</v>
      </c>
    </row>
    <row r="1456" spans="2:2" x14ac:dyDescent="0.25">
      <c r="B1456" s="101">
        <f t="shared" si="61"/>
        <v>33</v>
      </c>
    </row>
    <row r="1457" spans="2:2" x14ac:dyDescent="0.25">
      <c r="B1457" s="101">
        <f t="shared" si="61"/>
        <v>33</v>
      </c>
    </row>
    <row r="1458" spans="2:2" x14ac:dyDescent="0.25">
      <c r="B1458" s="101">
        <f t="shared" si="61"/>
        <v>33</v>
      </c>
    </row>
    <row r="1459" spans="2:2" x14ac:dyDescent="0.25">
      <c r="B1459" s="101">
        <f t="shared" si="61"/>
        <v>33</v>
      </c>
    </row>
    <row r="1460" spans="2:2" x14ac:dyDescent="0.25">
      <c r="B1460" s="101">
        <f t="shared" si="61"/>
        <v>33</v>
      </c>
    </row>
    <row r="1461" spans="2:2" x14ac:dyDescent="0.25">
      <c r="B1461" s="101">
        <f t="shared" si="61"/>
        <v>33</v>
      </c>
    </row>
    <row r="1462" spans="2:2" x14ac:dyDescent="0.25">
      <c r="B1462" s="101">
        <f t="shared" si="61"/>
        <v>33</v>
      </c>
    </row>
    <row r="1463" spans="2:2" x14ac:dyDescent="0.25">
      <c r="B1463" s="101">
        <f t="shared" si="61"/>
        <v>33</v>
      </c>
    </row>
    <row r="1464" spans="2:2" x14ac:dyDescent="0.25">
      <c r="B1464" s="101">
        <f t="shared" si="61"/>
        <v>33</v>
      </c>
    </row>
    <row r="1465" spans="2:2" x14ac:dyDescent="0.25">
      <c r="B1465" s="101">
        <f t="shared" si="61"/>
        <v>33</v>
      </c>
    </row>
    <row r="1466" spans="2:2" x14ac:dyDescent="0.25">
      <c r="B1466" s="101">
        <f t="shared" si="61"/>
        <v>33</v>
      </c>
    </row>
    <row r="1467" spans="2:2" x14ac:dyDescent="0.25">
      <c r="B1467" s="101">
        <f t="shared" si="61"/>
        <v>33</v>
      </c>
    </row>
    <row r="1468" spans="2:2" x14ac:dyDescent="0.25">
      <c r="B1468" s="101">
        <f t="shared" si="61"/>
        <v>33</v>
      </c>
    </row>
    <row r="1469" spans="2:2" x14ac:dyDescent="0.25">
      <c r="B1469" s="101">
        <f t="shared" si="61"/>
        <v>33</v>
      </c>
    </row>
    <row r="1470" spans="2:2" x14ac:dyDescent="0.25">
      <c r="B1470" s="101">
        <f t="shared" si="61"/>
        <v>33</v>
      </c>
    </row>
    <row r="1471" spans="2:2" x14ac:dyDescent="0.25">
      <c r="B1471" s="101">
        <f t="shared" si="61"/>
        <v>33</v>
      </c>
    </row>
    <row r="1472" spans="2:2" x14ac:dyDescent="0.25">
      <c r="B1472" s="101">
        <f t="shared" si="61"/>
        <v>33</v>
      </c>
    </row>
    <row r="1473" spans="2:2" x14ac:dyDescent="0.25">
      <c r="B1473" s="101">
        <f t="shared" si="61"/>
        <v>33</v>
      </c>
    </row>
    <row r="1474" spans="2:2" x14ac:dyDescent="0.25">
      <c r="B1474" s="101">
        <f t="shared" si="61"/>
        <v>33</v>
      </c>
    </row>
    <row r="1475" spans="2:2" x14ac:dyDescent="0.25">
      <c r="B1475" s="101">
        <f t="shared" si="61"/>
        <v>33</v>
      </c>
    </row>
    <row r="1476" spans="2:2" x14ac:dyDescent="0.25">
      <c r="B1476" s="101">
        <f t="shared" si="61"/>
        <v>33</v>
      </c>
    </row>
    <row r="1477" spans="2:2" x14ac:dyDescent="0.25">
      <c r="B1477" s="101">
        <f t="shared" si="61"/>
        <v>33</v>
      </c>
    </row>
    <row r="1478" spans="2:2" x14ac:dyDescent="0.25">
      <c r="B1478" s="101">
        <f t="shared" ref="B1478:B1541" si="62">IF(C1478=C1477,B1477,B1477+1)</f>
        <v>33</v>
      </c>
    </row>
    <row r="1479" spans="2:2" x14ac:dyDescent="0.25">
      <c r="B1479" s="101">
        <f t="shared" si="62"/>
        <v>33</v>
      </c>
    </row>
    <row r="1480" spans="2:2" x14ac:dyDescent="0.25">
      <c r="B1480" s="101">
        <f t="shared" si="62"/>
        <v>33</v>
      </c>
    </row>
    <row r="1481" spans="2:2" x14ac:dyDescent="0.25">
      <c r="B1481" s="101">
        <f t="shared" si="62"/>
        <v>33</v>
      </c>
    </row>
    <row r="1482" spans="2:2" x14ac:dyDescent="0.25">
      <c r="B1482" s="101">
        <f t="shared" si="62"/>
        <v>33</v>
      </c>
    </row>
    <row r="1483" spans="2:2" x14ac:dyDescent="0.25">
      <c r="B1483" s="101">
        <f t="shared" si="62"/>
        <v>33</v>
      </c>
    </row>
    <row r="1484" spans="2:2" x14ac:dyDescent="0.25">
      <c r="B1484" s="101">
        <f t="shared" si="62"/>
        <v>33</v>
      </c>
    </row>
    <row r="1485" spans="2:2" x14ac:dyDescent="0.25">
      <c r="B1485" s="101">
        <f t="shared" si="62"/>
        <v>33</v>
      </c>
    </row>
    <row r="1486" spans="2:2" x14ac:dyDescent="0.25">
      <c r="B1486" s="101">
        <f t="shared" si="62"/>
        <v>33</v>
      </c>
    </row>
    <row r="1487" spans="2:2" x14ac:dyDescent="0.25">
      <c r="B1487" s="101">
        <f t="shared" si="62"/>
        <v>33</v>
      </c>
    </row>
    <row r="1488" spans="2:2" x14ac:dyDescent="0.25">
      <c r="B1488" s="101">
        <f t="shared" si="62"/>
        <v>33</v>
      </c>
    </row>
    <row r="1489" spans="2:2" x14ac:dyDescent="0.25">
      <c r="B1489" s="101">
        <f t="shared" si="62"/>
        <v>33</v>
      </c>
    </row>
    <row r="1490" spans="2:2" x14ac:dyDescent="0.25">
      <c r="B1490" s="101">
        <f t="shared" si="62"/>
        <v>33</v>
      </c>
    </row>
    <row r="1491" spans="2:2" x14ac:dyDescent="0.25">
      <c r="B1491" s="101">
        <f t="shared" si="62"/>
        <v>33</v>
      </c>
    </row>
    <row r="1492" spans="2:2" x14ac:dyDescent="0.25">
      <c r="B1492" s="101">
        <f t="shared" si="62"/>
        <v>33</v>
      </c>
    </row>
    <row r="1493" spans="2:2" x14ac:dyDescent="0.25">
      <c r="B1493" s="101">
        <f t="shared" si="62"/>
        <v>33</v>
      </c>
    </row>
    <row r="1494" spans="2:2" x14ac:dyDescent="0.25">
      <c r="B1494" s="101">
        <f t="shared" si="62"/>
        <v>33</v>
      </c>
    </row>
    <row r="1495" spans="2:2" x14ac:dyDescent="0.25">
      <c r="B1495" s="101">
        <f t="shared" si="62"/>
        <v>33</v>
      </c>
    </row>
    <row r="1496" spans="2:2" x14ac:dyDescent="0.25">
      <c r="B1496" s="101">
        <f t="shared" si="62"/>
        <v>33</v>
      </c>
    </row>
    <row r="1497" spans="2:2" x14ac:dyDescent="0.25">
      <c r="B1497" s="101">
        <f t="shared" si="62"/>
        <v>33</v>
      </c>
    </row>
    <row r="1498" spans="2:2" x14ac:dyDescent="0.25">
      <c r="B1498" s="101">
        <f t="shared" si="62"/>
        <v>33</v>
      </c>
    </row>
    <row r="1499" spans="2:2" x14ac:dyDescent="0.25">
      <c r="B1499" s="101">
        <f t="shared" si="62"/>
        <v>33</v>
      </c>
    </row>
    <row r="1500" spans="2:2" x14ac:dyDescent="0.25">
      <c r="B1500" s="101">
        <f t="shared" si="62"/>
        <v>33</v>
      </c>
    </row>
    <row r="1501" spans="2:2" x14ac:dyDescent="0.25">
      <c r="B1501" s="101">
        <f t="shared" si="62"/>
        <v>33</v>
      </c>
    </row>
    <row r="1502" spans="2:2" x14ac:dyDescent="0.25">
      <c r="B1502" s="101">
        <f t="shared" si="62"/>
        <v>33</v>
      </c>
    </row>
    <row r="1503" spans="2:2" x14ac:dyDescent="0.25">
      <c r="B1503" s="101">
        <f t="shared" si="62"/>
        <v>33</v>
      </c>
    </row>
    <row r="1504" spans="2:2" x14ac:dyDescent="0.25">
      <c r="B1504" s="101">
        <f t="shared" si="62"/>
        <v>33</v>
      </c>
    </row>
    <row r="1505" spans="2:2" x14ac:dyDescent="0.25">
      <c r="B1505" s="101">
        <f t="shared" si="62"/>
        <v>33</v>
      </c>
    </row>
    <row r="1506" spans="2:2" x14ac:dyDescent="0.25">
      <c r="B1506" s="101">
        <f t="shared" si="62"/>
        <v>33</v>
      </c>
    </row>
    <row r="1507" spans="2:2" x14ac:dyDescent="0.25">
      <c r="B1507" s="101">
        <f t="shared" si="62"/>
        <v>33</v>
      </c>
    </row>
    <row r="1508" spans="2:2" x14ac:dyDescent="0.25">
      <c r="B1508" s="101">
        <f t="shared" si="62"/>
        <v>33</v>
      </c>
    </row>
    <row r="1509" spans="2:2" x14ac:dyDescent="0.25">
      <c r="B1509" s="101">
        <f t="shared" si="62"/>
        <v>33</v>
      </c>
    </row>
    <row r="1510" spans="2:2" x14ac:dyDescent="0.25">
      <c r="B1510" s="101">
        <f t="shared" si="62"/>
        <v>33</v>
      </c>
    </row>
    <row r="1511" spans="2:2" x14ac:dyDescent="0.25">
      <c r="B1511" s="101">
        <f t="shared" si="62"/>
        <v>33</v>
      </c>
    </row>
    <row r="1512" spans="2:2" x14ac:dyDescent="0.25">
      <c r="B1512" s="101">
        <f t="shared" si="62"/>
        <v>33</v>
      </c>
    </row>
    <row r="1513" spans="2:2" x14ac:dyDescent="0.25">
      <c r="B1513" s="101">
        <f t="shared" si="62"/>
        <v>33</v>
      </c>
    </row>
    <row r="1514" spans="2:2" x14ac:dyDescent="0.25">
      <c r="B1514" s="101">
        <f t="shared" si="62"/>
        <v>33</v>
      </c>
    </row>
    <row r="1515" spans="2:2" x14ac:dyDescent="0.25">
      <c r="B1515" s="101">
        <f t="shared" si="62"/>
        <v>33</v>
      </c>
    </row>
    <row r="1516" spans="2:2" x14ac:dyDescent="0.25">
      <c r="B1516" s="101">
        <f t="shared" si="62"/>
        <v>33</v>
      </c>
    </row>
    <row r="1517" spans="2:2" x14ac:dyDescent="0.25">
      <c r="B1517" s="101">
        <f t="shared" si="62"/>
        <v>33</v>
      </c>
    </row>
    <row r="1518" spans="2:2" x14ac:dyDescent="0.25">
      <c r="B1518" s="101">
        <f t="shared" si="62"/>
        <v>33</v>
      </c>
    </row>
    <row r="1519" spans="2:2" x14ac:dyDescent="0.25">
      <c r="B1519" s="101">
        <f t="shared" si="62"/>
        <v>33</v>
      </c>
    </row>
    <row r="1520" spans="2:2" x14ac:dyDescent="0.25">
      <c r="B1520" s="101">
        <f t="shared" si="62"/>
        <v>33</v>
      </c>
    </row>
    <row r="1521" spans="2:2" x14ac:dyDescent="0.25">
      <c r="B1521" s="101">
        <f t="shared" si="62"/>
        <v>33</v>
      </c>
    </row>
    <row r="1522" spans="2:2" x14ac:dyDescent="0.25">
      <c r="B1522" s="101">
        <f t="shared" si="62"/>
        <v>33</v>
      </c>
    </row>
    <row r="1523" spans="2:2" x14ac:dyDescent="0.25">
      <c r="B1523" s="101">
        <f t="shared" si="62"/>
        <v>33</v>
      </c>
    </row>
    <row r="1524" spans="2:2" x14ac:dyDescent="0.25">
      <c r="B1524" s="101">
        <f t="shared" si="62"/>
        <v>33</v>
      </c>
    </row>
    <row r="1525" spans="2:2" x14ac:dyDescent="0.25">
      <c r="B1525" s="101">
        <f t="shared" si="62"/>
        <v>33</v>
      </c>
    </row>
    <row r="1526" spans="2:2" x14ac:dyDescent="0.25">
      <c r="B1526" s="101">
        <f t="shared" si="62"/>
        <v>33</v>
      </c>
    </row>
    <row r="1527" spans="2:2" x14ac:dyDescent="0.25">
      <c r="B1527" s="101">
        <f t="shared" si="62"/>
        <v>33</v>
      </c>
    </row>
    <row r="1528" spans="2:2" x14ac:dyDescent="0.25">
      <c r="B1528" s="101">
        <f t="shared" si="62"/>
        <v>33</v>
      </c>
    </row>
    <row r="1529" spans="2:2" x14ac:dyDescent="0.25">
      <c r="B1529" s="101">
        <f t="shared" si="62"/>
        <v>33</v>
      </c>
    </row>
    <row r="1530" spans="2:2" x14ac:dyDescent="0.25">
      <c r="B1530" s="101">
        <f t="shared" si="62"/>
        <v>33</v>
      </c>
    </row>
    <row r="1531" spans="2:2" x14ac:dyDescent="0.25">
      <c r="B1531" s="101">
        <f t="shared" si="62"/>
        <v>33</v>
      </c>
    </row>
    <row r="1532" spans="2:2" x14ac:dyDescent="0.25">
      <c r="B1532" s="101">
        <f t="shared" si="62"/>
        <v>33</v>
      </c>
    </row>
    <row r="1533" spans="2:2" x14ac:dyDescent="0.25">
      <c r="B1533" s="101">
        <f t="shared" si="62"/>
        <v>33</v>
      </c>
    </row>
    <row r="1534" spans="2:2" x14ac:dyDescent="0.25">
      <c r="B1534" s="101">
        <f t="shared" si="62"/>
        <v>33</v>
      </c>
    </row>
    <row r="1535" spans="2:2" x14ac:dyDescent="0.25">
      <c r="B1535" s="101">
        <f t="shared" si="62"/>
        <v>33</v>
      </c>
    </row>
    <row r="1536" spans="2:2" x14ac:dyDescent="0.25">
      <c r="B1536" s="101">
        <f t="shared" si="62"/>
        <v>33</v>
      </c>
    </row>
    <row r="1537" spans="2:2" x14ac:dyDescent="0.25">
      <c r="B1537" s="101">
        <f t="shared" si="62"/>
        <v>33</v>
      </c>
    </row>
    <row r="1538" spans="2:2" x14ac:dyDescent="0.25">
      <c r="B1538" s="101">
        <f t="shared" si="62"/>
        <v>33</v>
      </c>
    </row>
    <row r="1539" spans="2:2" x14ac:dyDescent="0.25">
      <c r="B1539" s="101">
        <f t="shared" si="62"/>
        <v>33</v>
      </c>
    </row>
    <row r="1540" spans="2:2" x14ac:dyDescent="0.25">
      <c r="B1540" s="101">
        <f t="shared" si="62"/>
        <v>33</v>
      </c>
    </row>
    <row r="1541" spans="2:2" x14ac:dyDescent="0.25">
      <c r="B1541" s="101">
        <f t="shared" si="62"/>
        <v>33</v>
      </c>
    </row>
    <row r="1542" spans="2:2" x14ac:dyDescent="0.25">
      <c r="B1542" s="101">
        <f t="shared" ref="B1542:B1605" si="63">IF(C1542=C1541,B1541,B1541+1)</f>
        <v>33</v>
      </c>
    </row>
    <row r="1543" spans="2:2" x14ac:dyDescent="0.25">
      <c r="B1543" s="101">
        <f t="shared" si="63"/>
        <v>33</v>
      </c>
    </row>
    <row r="1544" spans="2:2" x14ac:dyDescent="0.25">
      <c r="B1544" s="101">
        <f t="shared" si="63"/>
        <v>33</v>
      </c>
    </row>
    <row r="1545" spans="2:2" x14ac:dyDescent="0.25">
      <c r="B1545" s="101">
        <f t="shared" si="63"/>
        <v>33</v>
      </c>
    </row>
    <row r="1546" spans="2:2" x14ac:dyDescent="0.25">
      <c r="B1546" s="101">
        <f t="shared" si="63"/>
        <v>33</v>
      </c>
    </row>
    <row r="1547" spans="2:2" x14ac:dyDescent="0.25">
      <c r="B1547" s="101">
        <f t="shared" si="63"/>
        <v>33</v>
      </c>
    </row>
    <row r="1548" spans="2:2" x14ac:dyDescent="0.25">
      <c r="B1548" s="101">
        <f t="shared" si="63"/>
        <v>33</v>
      </c>
    </row>
    <row r="1549" spans="2:2" x14ac:dyDescent="0.25">
      <c r="B1549" s="101">
        <f t="shared" si="63"/>
        <v>33</v>
      </c>
    </row>
    <row r="1550" spans="2:2" x14ac:dyDescent="0.25">
      <c r="B1550" s="101">
        <f t="shared" si="63"/>
        <v>33</v>
      </c>
    </row>
    <row r="1551" spans="2:2" x14ac:dyDescent="0.25">
      <c r="B1551" s="101">
        <f t="shared" si="63"/>
        <v>33</v>
      </c>
    </row>
    <row r="1552" spans="2:2" x14ac:dyDescent="0.25">
      <c r="B1552" s="101">
        <f t="shared" si="63"/>
        <v>33</v>
      </c>
    </row>
    <row r="1553" spans="2:2" x14ac:dyDescent="0.25">
      <c r="B1553" s="101">
        <f t="shared" si="63"/>
        <v>33</v>
      </c>
    </row>
    <row r="1554" spans="2:2" x14ac:dyDescent="0.25">
      <c r="B1554" s="101">
        <f t="shared" si="63"/>
        <v>33</v>
      </c>
    </row>
    <row r="1555" spans="2:2" x14ac:dyDescent="0.25">
      <c r="B1555" s="101">
        <f t="shared" si="63"/>
        <v>33</v>
      </c>
    </row>
    <row r="1556" spans="2:2" x14ac:dyDescent="0.25">
      <c r="B1556" s="101">
        <f t="shared" si="63"/>
        <v>33</v>
      </c>
    </row>
    <row r="1557" spans="2:2" x14ac:dyDescent="0.25">
      <c r="B1557" s="101">
        <f t="shared" si="63"/>
        <v>33</v>
      </c>
    </row>
    <row r="1558" spans="2:2" x14ac:dyDescent="0.25">
      <c r="B1558" s="101">
        <f t="shared" si="63"/>
        <v>33</v>
      </c>
    </row>
    <row r="1559" spans="2:2" x14ac:dyDescent="0.25">
      <c r="B1559" s="101">
        <f t="shared" si="63"/>
        <v>33</v>
      </c>
    </row>
    <row r="1560" spans="2:2" x14ac:dyDescent="0.25">
      <c r="B1560" s="101">
        <f t="shared" si="63"/>
        <v>33</v>
      </c>
    </row>
    <row r="1561" spans="2:2" x14ac:dyDescent="0.25">
      <c r="B1561" s="101">
        <f t="shared" si="63"/>
        <v>33</v>
      </c>
    </row>
    <row r="1562" spans="2:2" x14ac:dyDescent="0.25">
      <c r="B1562" s="101">
        <f t="shared" si="63"/>
        <v>33</v>
      </c>
    </row>
    <row r="1563" spans="2:2" x14ac:dyDescent="0.25">
      <c r="B1563" s="101">
        <f t="shared" si="63"/>
        <v>33</v>
      </c>
    </row>
    <row r="1564" spans="2:2" x14ac:dyDescent="0.25">
      <c r="B1564" s="101">
        <f t="shared" si="63"/>
        <v>33</v>
      </c>
    </row>
    <row r="1565" spans="2:2" x14ac:dyDescent="0.25">
      <c r="B1565" s="101">
        <f t="shared" si="63"/>
        <v>33</v>
      </c>
    </row>
    <row r="1566" spans="2:2" x14ac:dyDescent="0.25">
      <c r="B1566" s="101">
        <f t="shared" si="63"/>
        <v>33</v>
      </c>
    </row>
    <row r="1567" spans="2:2" x14ac:dyDescent="0.25">
      <c r="B1567" s="101">
        <f t="shared" si="63"/>
        <v>33</v>
      </c>
    </row>
    <row r="1568" spans="2:2" x14ac:dyDescent="0.25">
      <c r="B1568" s="101">
        <f t="shared" si="63"/>
        <v>33</v>
      </c>
    </row>
    <row r="1569" spans="2:2" x14ac:dyDescent="0.25">
      <c r="B1569" s="101">
        <f t="shared" si="63"/>
        <v>33</v>
      </c>
    </row>
    <row r="1570" spans="2:2" x14ac:dyDescent="0.25">
      <c r="B1570" s="101">
        <f t="shared" si="63"/>
        <v>33</v>
      </c>
    </row>
    <row r="1571" spans="2:2" x14ac:dyDescent="0.25">
      <c r="B1571" s="101">
        <f t="shared" si="63"/>
        <v>33</v>
      </c>
    </row>
    <row r="1572" spans="2:2" x14ac:dyDescent="0.25">
      <c r="B1572" s="101">
        <f t="shared" si="63"/>
        <v>33</v>
      </c>
    </row>
    <row r="1573" spans="2:2" x14ac:dyDescent="0.25">
      <c r="B1573" s="101">
        <f t="shared" si="63"/>
        <v>33</v>
      </c>
    </row>
    <row r="1574" spans="2:2" x14ac:dyDescent="0.25">
      <c r="B1574" s="101">
        <f t="shared" si="63"/>
        <v>33</v>
      </c>
    </row>
    <row r="1575" spans="2:2" x14ac:dyDescent="0.25">
      <c r="B1575" s="101">
        <f t="shared" si="63"/>
        <v>33</v>
      </c>
    </row>
    <row r="1576" spans="2:2" x14ac:dyDescent="0.25">
      <c r="B1576" s="101">
        <f t="shared" si="63"/>
        <v>33</v>
      </c>
    </row>
    <row r="1577" spans="2:2" x14ac:dyDescent="0.25">
      <c r="B1577" s="101">
        <f t="shared" si="63"/>
        <v>33</v>
      </c>
    </row>
    <row r="1578" spans="2:2" x14ac:dyDescent="0.25">
      <c r="B1578" s="101">
        <f t="shared" si="63"/>
        <v>33</v>
      </c>
    </row>
    <row r="1579" spans="2:2" x14ac:dyDescent="0.25">
      <c r="B1579" s="101">
        <f t="shared" si="63"/>
        <v>33</v>
      </c>
    </row>
    <row r="1580" spans="2:2" x14ac:dyDescent="0.25">
      <c r="B1580" s="101">
        <f t="shared" si="63"/>
        <v>33</v>
      </c>
    </row>
    <row r="1581" spans="2:2" x14ac:dyDescent="0.25">
      <c r="B1581" s="101">
        <f t="shared" si="63"/>
        <v>33</v>
      </c>
    </row>
    <row r="1582" spans="2:2" x14ac:dyDescent="0.25">
      <c r="B1582" s="101">
        <f t="shared" si="63"/>
        <v>33</v>
      </c>
    </row>
    <row r="1583" spans="2:2" x14ac:dyDescent="0.25">
      <c r="B1583" s="101">
        <f t="shared" si="63"/>
        <v>33</v>
      </c>
    </row>
    <row r="1584" spans="2:2" x14ac:dyDescent="0.25">
      <c r="B1584" s="101">
        <f t="shared" si="63"/>
        <v>33</v>
      </c>
    </row>
    <row r="1585" spans="2:2" x14ac:dyDescent="0.25">
      <c r="B1585" s="101">
        <f t="shared" si="63"/>
        <v>33</v>
      </c>
    </row>
    <row r="1586" spans="2:2" x14ac:dyDescent="0.25">
      <c r="B1586" s="101">
        <f t="shared" si="63"/>
        <v>33</v>
      </c>
    </row>
    <row r="1587" spans="2:2" x14ac:dyDescent="0.25">
      <c r="B1587" s="101">
        <f t="shared" si="63"/>
        <v>33</v>
      </c>
    </row>
    <row r="1588" spans="2:2" x14ac:dyDescent="0.25">
      <c r="B1588" s="101">
        <f t="shared" si="63"/>
        <v>33</v>
      </c>
    </row>
    <row r="1589" spans="2:2" x14ac:dyDescent="0.25">
      <c r="B1589" s="101">
        <f t="shared" si="63"/>
        <v>33</v>
      </c>
    </row>
    <row r="1590" spans="2:2" x14ac:dyDescent="0.25">
      <c r="B1590" s="101">
        <f t="shared" si="63"/>
        <v>33</v>
      </c>
    </row>
    <row r="1591" spans="2:2" x14ac:dyDescent="0.25">
      <c r="B1591" s="101">
        <f t="shared" si="63"/>
        <v>33</v>
      </c>
    </row>
    <row r="1592" spans="2:2" x14ac:dyDescent="0.25">
      <c r="B1592" s="101">
        <f t="shared" si="63"/>
        <v>33</v>
      </c>
    </row>
    <row r="1593" spans="2:2" x14ac:dyDescent="0.25">
      <c r="B1593" s="101">
        <f t="shared" si="63"/>
        <v>33</v>
      </c>
    </row>
    <row r="1594" spans="2:2" x14ac:dyDescent="0.25">
      <c r="B1594" s="101">
        <f t="shared" si="63"/>
        <v>33</v>
      </c>
    </row>
    <row r="1595" spans="2:2" x14ac:dyDescent="0.25">
      <c r="B1595" s="101">
        <f t="shared" si="63"/>
        <v>33</v>
      </c>
    </row>
    <row r="1596" spans="2:2" x14ac:dyDescent="0.25">
      <c r="B1596" s="101">
        <f t="shared" si="63"/>
        <v>33</v>
      </c>
    </row>
    <row r="1597" spans="2:2" x14ac:dyDescent="0.25">
      <c r="B1597" s="101">
        <f t="shared" si="63"/>
        <v>33</v>
      </c>
    </row>
    <row r="1598" spans="2:2" x14ac:dyDescent="0.25">
      <c r="B1598" s="101">
        <f t="shared" si="63"/>
        <v>33</v>
      </c>
    </row>
    <row r="1599" spans="2:2" x14ac:dyDescent="0.25">
      <c r="B1599" s="101">
        <f t="shared" si="63"/>
        <v>33</v>
      </c>
    </row>
    <row r="1600" spans="2:2" x14ac:dyDescent="0.25">
      <c r="B1600" s="101">
        <f t="shared" si="63"/>
        <v>33</v>
      </c>
    </row>
    <row r="1601" spans="2:2" x14ac:dyDescent="0.25">
      <c r="B1601" s="101">
        <f t="shared" si="63"/>
        <v>33</v>
      </c>
    </row>
    <row r="1602" spans="2:2" x14ac:dyDescent="0.25">
      <c r="B1602" s="101">
        <f t="shared" si="63"/>
        <v>33</v>
      </c>
    </row>
    <row r="1603" spans="2:2" x14ac:dyDescent="0.25">
      <c r="B1603" s="101">
        <f t="shared" si="63"/>
        <v>33</v>
      </c>
    </row>
    <row r="1604" spans="2:2" x14ac:dyDescent="0.25">
      <c r="B1604" s="101">
        <f t="shared" si="63"/>
        <v>33</v>
      </c>
    </row>
    <row r="1605" spans="2:2" x14ac:dyDescent="0.25">
      <c r="B1605" s="101">
        <f t="shared" si="63"/>
        <v>33</v>
      </c>
    </row>
    <row r="1606" spans="2:2" x14ac:dyDescent="0.25">
      <c r="B1606" s="101">
        <f t="shared" ref="B1606:B1669" si="64">IF(C1606=C1605,B1605,B1605+1)</f>
        <v>33</v>
      </c>
    </row>
    <row r="1607" spans="2:2" x14ac:dyDescent="0.25">
      <c r="B1607" s="101">
        <f t="shared" si="64"/>
        <v>33</v>
      </c>
    </row>
    <row r="1608" spans="2:2" x14ac:dyDescent="0.25">
      <c r="B1608" s="101">
        <f t="shared" si="64"/>
        <v>33</v>
      </c>
    </row>
    <row r="1609" spans="2:2" x14ac:dyDescent="0.25">
      <c r="B1609" s="101">
        <f t="shared" si="64"/>
        <v>33</v>
      </c>
    </row>
    <row r="1610" spans="2:2" x14ac:dyDescent="0.25">
      <c r="B1610" s="101">
        <f t="shared" si="64"/>
        <v>33</v>
      </c>
    </row>
    <row r="1611" spans="2:2" x14ac:dyDescent="0.25">
      <c r="B1611" s="101">
        <f t="shared" si="64"/>
        <v>33</v>
      </c>
    </row>
    <row r="1612" spans="2:2" x14ac:dyDescent="0.25">
      <c r="B1612" s="101">
        <f t="shared" si="64"/>
        <v>33</v>
      </c>
    </row>
    <row r="1613" spans="2:2" x14ac:dyDescent="0.25">
      <c r="B1613" s="101">
        <f t="shared" si="64"/>
        <v>33</v>
      </c>
    </row>
    <row r="1614" spans="2:2" x14ac:dyDescent="0.25">
      <c r="B1614" s="101">
        <f t="shared" si="64"/>
        <v>33</v>
      </c>
    </row>
    <row r="1615" spans="2:2" x14ac:dyDescent="0.25">
      <c r="B1615" s="101">
        <f t="shared" si="64"/>
        <v>33</v>
      </c>
    </row>
    <row r="1616" spans="2:2" x14ac:dyDescent="0.25">
      <c r="B1616" s="101">
        <f t="shared" si="64"/>
        <v>33</v>
      </c>
    </row>
    <row r="1617" spans="2:2" x14ac:dyDescent="0.25">
      <c r="B1617" s="101">
        <f t="shared" si="64"/>
        <v>33</v>
      </c>
    </row>
    <row r="1618" spans="2:2" x14ac:dyDescent="0.25">
      <c r="B1618" s="101">
        <f t="shared" si="64"/>
        <v>33</v>
      </c>
    </row>
    <row r="1619" spans="2:2" x14ac:dyDescent="0.25">
      <c r="B1619" s="101">
        <f t="shared" si="64"/>
        <v>33</v>
      </c>
    </row>
    <row r="1620" spans="2:2" x14ac:dyDescent="0.25">
      <c r="B1620" s="101">
        <f t="shared" si="64"/>
        <v>33</v>
      </c>
    </row>
    <row r="1621" spans="2:2" x14ac:dyDescent="0.25">
      <c r="B1621" s="101">
        <f t="shared" si="64"/>
        <v>33</v>
      </c>
    </row>
    <row r="1622" spans="2:2" x14ac:dyDescent="0.25">
      <c r="B1622" s="101">
        <f t="shared" si="64"/>
        <v>33</v>
      </c>
    </row>
    <row r="1623" spans="2:2" x14ac:dyDescent="0.25">
      <c r="B1623" s="101">
        <f t="shared" si="64"/>
        <v>33</v>
      </c>
    </row>
    <row r="1624" spans="2:2" x14ac:dyDescent="0.25">
      <c r="B1624" s="101">
        <f t="shared" si="64"/>
        <v>33</v>
      </c>
    </row>
    <row r="1625" spans="2:2" x14ac:dyDescent="0.25">
      <c r="B1625" s="101">
        <f t="shared" si="64"/>
        <v>33</v>
      </c>
    </row>
    <row r="1626" spans="2:2" x14ac:dyDescent="0.25">
      <c r="B1626" s="101">
        <f t="shared" si="64"/>
        <v>33</v>
      </c>
    </row>
    <row r="1627" spans="2:2" x14ac:dyDescent="0.25">
      <c r="B1627" s="101">
        <f t="shared" si="64"/>
        <v>33</v>
      </c>
    </row>
    <row r="1628" spans="2:2" x14ac:dyDescent="0.25">
      <c r="B1628" s="101">
        <f t="shared" si="64"/>
        <v>33</v>
      </c>
    </row>
    <row r="1629" spans="2:2" x14ac:dyDescent="0.25">
      <c r="B1629" s="101">
        <f t="shared" si="64"/>
        <v>33</v>
      </c>
    </row>
    <row r="1630" spans="2:2" x14ac:dyDescent="0.25">
      <c r="B1630" s="101">
        <f t="shared" si="64"/>
        <v>33</v>
      </c>
    </row>
    <row r="1631" spans="2:2" x14ac:dyDescent="0.25">
      <c r="B1631" s="101">
        <f t="shared" si="64"/>
        <v>33</v>
      </c>
    </row>
    <row r="1632" spans="2:2" x14ac:dyDescent="0.25">
      <c r="B1632" s="101">
        <f t="shared" si="64"/>
        <v>33</v>
      </c>
    </row>
    <row r="1633" spans="2:2" x14ac:dyDescent="0.25">
      <c r="B1633" s="101">
        <f t="shared" si="64"/>
        <v>33</v>
      </c>
    </row>
    <row r="1634" spans="2:2" x14ac:dyDescent="0.25">
      <c r="B1634" s="101">
        <f t="shared" si="64"/>
        <v>33</v>
      </c>
    </row>
    <row r="1635" spans="2:2" x14ac:dyDescent="0.25">
      <c r="B1635" s="101">
        <f t="shared" si="64"/>
        <v>33</v>
      </c>
    </row>
    <row r="1636" spans="2:2" x14ac:dyDescent="0.25">
      <c r="B1636" s="101">
        <f t="shared" si="64"/>
        <v>33</v>
      </c>
    </row>
    <row r="1637" spans="2:2" x14ac:dyDescent="0.25">
      <c r="B1637" s="101">
        <f t="shared" si="64"/>
        <v>33</v>
      </c>
    </row>
    <row r="1638" spans="2:2" x14ac:dyDescent="0.25">
      <c r="B1638" s="101">
        <f t="shared" si="64"/>
        <v>33</v>
      </c>
    </row>
    <row r="1639" spans="2:2" x14ac:dyDescent="0.25">
      <c r="B1639" s="101">
        <f t="shared" si="64"/>
        <v>33</v>
      </c>
    </row>
    <row r="1640" spans="2:2" x14ac:dyDescent="0.25">
      <c r="B1640" s="101">
        <f t="shared" si="64"/>
        <v>33</v>
      </c>
    </row>
    <row r="1641" spans="2:2" x14ac:dyDescent="0.25">
      <c r="B1641" s="101">
        <f t="shared" si="64"/>
        <v>33</v>
      </c>
    </row>
    <row r="1642" spans="2:2" x14ac:dyDescent="0.25">
      <c r="B1642" s="101">
        <f t="shared" si="64"/>
        <v>33</v>
      </c>
    </row>
    <row r="1643" spans="2:2" x14ac:dyDescent="0.25">
      <c r="B1643" s="101">
        <f t="shared" si="64"/>
        <v>33</v>
      </c>
    </row>
    <row r="1644" spans="2:2" x14ac:dyDescent="0.25">
      <c r="B1644" s="101">
        <f t="shared" si="64"/>
        <v>33</v>
      </c>
    </row>
    <row r="1645" spans="2:2" x14ac:dyDescent="0.25">
      <c r="B1645" s="101">
        <f t="shared" si="64"/>
        <v>33</v>
      </c>
    </row>
    <row r="1646" spans="2:2" x14ac:dyDescent="0.25">
      <c r="B1646" s="101">
        <f t="shared" si="64"/>
        <v>33</v>
      </c>
    </row>
    <row r="1647" spans="2:2" x14ac:dyDescent="0.25">
      <c r="B1647" s="101">
        <f t="shared" si="64"/>
        <v>33</v>
      </c>
    </row>
    <row r="1648" spans="2:2" x14ac:dyDescent="0.25">
      <c r="B1648" s="101">
        <f t="shared" si="64"/>
        <v>33</v>
      </c>
    </row>
    <row r="1649" spans="2:2" x14ac:dyDescent="0.25">
      <c r="B1649" s="101">
        <f t="shared" si="64"/>
        <v>33</v>
      </c>
    </row>
    <row r="1650" spans="2:2" x14ac:dyDescent="0.25">
      <c r="B1650" s="101">
        <f t="shared" si="64"/>
        <v>33</v>
      </c>
    </row>
    <row r="1651" spans="2:2" x14ac:dyDescent="0.25">
      <c r="B1651" s="101">
        <f t="shared" si="64"/>
        <v>33</v>
      </c>
    </row>
    <row r="1652" spans="2:2" x14ac:dyDescent="0.25">
      <c r="B1652" s="101">
        <f t="shared" si="64"/>
        <v>33</v>
      </c>
    </row>
    <row r="1653" spans="2:2" x14ac:dyDescent="0.25">
      <c r="B1653" s="101">
        <f t="shared" si="64"/>
        <v>33</v>
      </c>
    </row>
    <row r="1654" spans="2:2" x14ac:dyDescent="0.25">
      <c r="B1654" s="101">
        <f t="shared" si="64"/>
        <v>33</v>
      </c>
    </row>
    <row r="1655" spans="2:2" x14ac:dyDescent="0.25">
      <c r="B1655" s="101">
        <f t="shared" si="64"/>
        <v>33</v>
      </c>
    </row>
    <row r="1656" spans="2:2" x14ac:dyDescent="0.25">
      <c r="B1656" s="101">
        <f t="shared" si="64"/>
        <v>33</v>
      </c>
    </row>
    <row r="1657" spans="2:2" x14ac:dyDescent="0.25">
      <c r="B1657" s="101">
        <f t="shared" si="64"/>
        <v>33</v>
      </c>
    </row>
    <row r="1658" spans="2:2" x14ac:dyDescent="0.25">
      <c r="B1658" s="101">
        <f t="shared" si="64"/>
        <v>33</v>
      </c>
    </row>
    <row r="1659" spans="2:2" x14ac:dyDescent="0.25">
      <c r="B1659" s="101">
        <f t="shared" si="64"/>
        <v>33</v>
      </c>
    </row>
    <row r="1660" spans="2:2" x14ac:dyDescent="0.25">
      <c r="B1660" s="101">
        <f t="shared" si="64"/>
        <v>33</v>
      </c>
    </row>
    <row r="1661" spans="2:2" x14ac:dyDescent="0.25">
      <c r="B1661" s="101">
        <f t="shared" si="64"/>
        <v>33</v>
      </c>
    </row>
    <row r="1662" spans="2:2" x14ac:dyDescent="0.25">
      <c r="B1662" s="101">
        <f t="shared" si="64"/>
        <v>33</v>
      </c>
    </row>
    <row r="1663" spans="2:2" x14ac:dyDescent="0.25">
      <c r="B1663" s="101">
        <f t="shared" si="64"/>
        <v>33</v>
      </c>
    </row>
    <row r="1664" spans="2:2" x14ac:dyDescent="0.25">
      <c r="B1664" s="101">
        <f t="shared" si="64"/>
        <v>33</v>
      </c>
    </row>
    <row r="1665" spans="2:2" x14ac:dyDescent="0.25">
      <c r="B1665" s="101">
        <f t="shared" si="64"/>
        <v>33</v>
      </c>
    </row>
    <row r="1666" spans="2:2" x14ac:dyDescent="0.25">
      <c r="B1666" s="101">
        <f t="shared" si="64"/>
        <v>33</v>
      </c>
    </row>
    <row r="1667" spans="2:2" x14ac:dyDescent="0.25">
      <c r="B1667" s="101">
        <f t="shared" si="64"/>
        <v>33</v>
      </c>
    </row>
    <row r="1668" spans="2:2" x14ac:dyDescent="0.25">
      <c r="B1668" s="101">
        <f t="shared" si="64"/>
        <v>33</v>
      </c>
    </row>
    <row r="1669" spans="2:2" x14ac:dyDescent="0.25">
      <c r="B1669" s="101">
        <f t="shared" si="64"/>
        <v>33</v>
      </c>
    </row>
    <row r="1670" spans="2:2" x14ac:dyDescent="0.25">
      <c r="B1670" s="101">
        <f t="shared" ref="B1670:B1733" si="65">IF(C1670=C1669,B1669,B1669+1)</f>
        <v>33</v>
      </c>
    </row>
    <row r="1671" spans="2:2" x14ac:dyDescent="0.25">
      <c r="B1671" s="101">
        <f t="shared" si="65"/>
        <v>33</v>
      </c>
    </row>
    <row r="1672" spans="2:2" x14ac:dyDescent="0.25">
      <c r="B1672" s="101">
        <f t="shared" si="65"/>
        <v>33</v>
      </c>
    </row>
    <row r="1673" spans="2:2" x14ac:dyDescent="0.25">
      <c r="B1673" s="101">
        <f t="shared" si="65"/>
        <v>33</v>
      </c>
    </row>
    <row r="1674" spans="2:2" x14ac:dyDescent="0.25">
      <c r="B1674" s="101">
        <f t="shared" si="65"/>
        <v>33</v>
      </c>
    </row>
    <row r="1675" spans="2:2" x14ac:dyDescent="0.25">
      <c r="B1675" s="101">
        <f t="shared" si="65"/>
        <v>33</v>
      </c>
    </row>
    <row r="1676" spans="2:2" x14ac:dyDescent="0.25">
      <c r="B1676" s="101">
        <f t="shared" si="65"/>
        <v>33</v>
      </c>
    </row>
    <row r="1677" spans="2:2" x14ac:dyDescent="0.25">
      <c r="B1677" s="101">
        <f t="shared" si="65"/>
        <v>33</v>
      </c>
    </row>
    <row r="1678" spans="2:2" x14ac:dyDescent="0.25">
      <c r="B1678" s="101">
        <f t="shared" si="65"/>
        <v>33</v>
      </c>
    </row>
    <row r="1679" spans="2:2" x14ac:dyDescent="0.25">
      <c r="B1679" s="101">
        <f t="shared" si="65"/>
        <v>33</v>
      </c>
    </row>
    <row r="1680" spans="2:2" x14ac:dyDescent="0.25">
      <c r="B1680" s="101">
        <f t="shared" si="65"/>
        <v>33</v>
      </c>
    </row>
    <row r="1681" spans="2:2" x14ac:dyDescent="0.25">
      <c r="B1681" s="101">
        <f t="shared" si="65"/>
        <v>33</v>
      </c>
    </row>
    <row r="1682" spans="2:2" x14ac:dyDescent="0.25">
      <c r="B1682" s="101">
        <f t="shared" si="65"/>
        <v>33</v>
      </c>
    </row>
    <row r="1683" spans="2:2" x14ac:dyDescent="0.25">
      <c r="B1683" s="101">
        <f t="shared" si="65"/>
        <v>33</v>
      </c>
    </row>
    <row r="1684" spans="2:2" x14ac:dyDescent="0.25">
      <c r="B1684" s="101">
        <f t="shared" si="65"/>
        <v>33</v>
      </c>
    </row>
    <row r="1685" spans="2:2" x14ac:dyDescent="0.25">
      <c r="B1685" s="101">
        <f t="shared" si="65"/>
        <v>33</v>
      </c>
    </row>
    <row r="1686" spans="2:2" x14ac:dyDescent="0.25">
      <c r="B1686" s="101">
        <f t="shared" si="65"/>
        <v>33</v>
      </c>
    </row>
    <row r="1687" spans="2:2" x14ac:dyDescent="0.25">
      <c r="B1687" s="101">
        <f t="shared" si="65"/>
        <v>33</v>
      </c>
    </row>
    <row r="1688" spans="2:2" x14ac:dyDescent="0.25">
      <c r="B1688" s="101">
        <f t="shared" si="65"/>
        <v>33</v>
      </c>
    </row>
    <row r="1689" spans="2:2" x14ac:dyDescent="0.25">
      <c r="B1689" s="101">
        <f t="shared" si="65"/>
        <v>33</v>
      </c>
    </row>
    <row r="1690" spans="2:2" x14ac:dyDescent="0.25">
      <c r="B1690" s="101">
        <f t="shared" si="65"/>
        <v>33</v>
      </c>
    </row>
    <row r="1691" spans="2:2" x14ac:dyDescent="0.25">
      <c r="B1691" s="101">
        <f t="shared" si="65"/>
        <v>33</v>
      </c>
    </row>
    <row r="1692" spans="2:2" x14ac:dyDescent="0.25">
      <c r="B1692" s="101">
        <f t="shared" si="65"/>
        <v>33</v>
      </c>
    </row>
    <row r="1693" spans="2:2" x14ac:dyDescent="0.25">
      <c r="B1693" s="101">
        <f t="shared" si="65"/>
        <v>33</v>
      </c>
    </row>
    <row r="1694" spans="2:2" x14ac:dyDescent="0.25">
      <c r="B1694" s="101">
        <f t="shared" si="65"/>
        <v>33</v>
      </c>
    </row>
    <row r="1695" spans="2:2" x14ac:dyDescent="0.25">
      <c r="B1695" s="101">
        <f t="shared" si="65"/>
        <v>33</v>
      </c>
    </row>
    <row r="1696" spans="2:2" x14ac:dyDescent="0.25">
      <c r="B1696" s="101">
        <f t="shared" si="65"/>
        <v>33</v>
      </c>
    </row>
    <row r="1697" spans="2:2" x14ac:dyDescent="0.25">
      <c r="B1697" s="101">
        <f t="shared" si="65"/>
        <v>33</v>
      </c>
    </row>
    <row r="1698" spans="2:2" x14ac:dyDescent="0.25">
      <c r="B1698" s="101">
        <f t="shared" si="65"/>
        <v>33</v>
      </c>
    </row>
    <row r="1699" spans="2:2" x14ac:dyDescent="0.25">
      <c r="B1699" s="101">
        <f t="shared" si="65"/>
        <v>33</v>
      </c>
    </row>
    <row r="1700" spans="2:2" x14ac:dyDescent="0.25">
      <c r="B1700" s="101">
        <f t="shared" si="65"/>
        <v>33</v>
      </c>
    </row>
    <row r="1701" spans="2:2" x14ac:dyDescent="0.25">
      <c r="B1701" s="101">
        <f t="shared" si="65"/>
        <v>33</v>
      </c>
    </row>
    <row r="1702" spans="2:2" x14ac:dyDescent="0.25">
      <c r="B1702" s="101">
        <f t="shared" si="65"/>
        <v>33</v>
      </c>
    </row>
    <row r="1703" spans="2:2" x14ac:dyDescent="0.25">
      <c r="B1703" s="101">
        <f t="shared" si="65"/>
        <v>33</v>
      </c>
    </row>
    <row r="1704" spans="2:2" x14ac:dyDescent="0.25">
      <c r="B1704" s="101">
        <f t="shared" si="65"/>
        <v>33</v>
      </c>
    </row>
    <row r="1705" spans="2:2" x14ac:dyDescent="0.25">
      <c r="B1705" s="101">
        <f t="shared" si="65"/>
        <v>33</v>
      </c>
    </row>
    <row r="1706" spans="2:2" x14ac:dyDescent="0.25">
      <c r="B1706" s="101">
        <f t="shared" si="65"/>
        <v>33</v>
      </c>
    </row>
    <row r="1707" spans="2:2" x14ac:dyDescent="0.25">
      <c r="B1707" s="101">
        <f t="shared" si="65"/>
        <v>33</v>
      </c>
    </row>
    <row r="1708" spans="2:2" x14ac:dyDescent="0.25">
      <c r="B1708" s="101">
        <f t="shared" si="65"/>
        <v>33</v>
      </c>
    </row>
    <row r="1709" spans="2:2" x14ac:dyDescent="0.25">
      <c r="B1709" s="101">
        <f t="shared" si="65"/>
        <v>33</v>
      </c>
    </row>
    <row r="1710" spans="2:2" x14ac:dyDescent="0.25">
      <c r="B1710" s="101">
        <f t="shared" si="65"/>
        <v>33</v>
      </c>
    </row>
    <row r="1711" spans="2:2" x14ac:dyDescent="0.25">
      <c r="B1711" s="101">
        <f t="shared" si="65"/>
        <v>33</v>
      </c>
    </row>
    <row r="1712" spans="2:2" x14ac:dyDescent="0.25">
      <c r="B1712" s="101">
        <f t="shared" si="65"/>
        <v>33</v>
      </c>
    </row>
    <row r="1713" spans="2:2" x14ac:dyDescent="0.25">
      <c r="B1713" s="101">
        <f t="shared" si="65"/>
        <v>33</v>
      </c>
    </row>
    <row r="1714" spans="2:2" x14ac:dyDescent="0.25">
      <c r="B1714" s="101">
        <f t="shared" si="65"/>
        <v>33</v>
      </c>
    </row>
    <row r="1715" spans="2:2" x14ac:dyDescent="0.25">
      <c r="B1715" s="101">
        <f t="shared" si="65"/>
        <v>33</v>
      </c>
    </row>
    <row r="1716" spans="2:2" x14ac:dyDescent="0.25">
      <c r="B1716" s="101">
        <f t="shared" si="65"/>
        <v>33</v>
      </c>
    </row>
    <row r="1717" spans="2:2" x14ac:dyDescent="0.25">
      <c r="B1717" s="101">
        <f t="shared" si="65"/>
        <v>33</v>
      </c>
    </row>
    <row r="1718" spans="2:2" x14ac:dyDescent="0.25">
      <c r="B1718" s="101">
        <f t="shared" si="65"/>
        <v>33</v>
      </c>
    </row>
    <row r="1719" spans="2:2" x14ac:dyDescent="0.25">
      <c r="B1719" s="101">
        <f t="shared" si="65"/>
        <v>33</v>
      </c>
    </row>
    <row r="1720" spans="2:2" x14ac:dyDescent="0.25">
      <c r="B1720" s="101">
        <f t="shared" si="65"/>
        <v>33</v>
      </c>
    </row>
    <row r="1721" spans="2:2" x14ac:dyDescent="0.25">
      <c r="B1721" s="101">
        <f t="shared" si="65"/>
        <v>33</v>
      </c>
    </row>
    <row r="1722" spans="2:2" x14ac:dyDescent="0.25">
      <c r="B1722" s="101">
        <f t="shared" si="65"/>
        <v>33</v>
      </c>
    </row>
    <row r="1723" spans="2:2" x14ac:dyDescent="0.25">
      <c r="B1723" s="101">
        <f t="shared" si="65"/>
        <v>33</v>
      </c>
    </row>
    <row r="1724" spans="2:2" x14ac:dyDescent="0.25">
      <c r="B1724" s="101">
        <f t="shared" si="65"/>
        <v>33</v>
      </c>
    </row>
    <row r="1725" spans="2:2" x14ac:dyDescent="0.25">
      <c r="B1725" s="101">
        <f t="shared" si="65"/>
        <v>33</v>
      </c>
    </row>
    <row r="1726" spans="2:2" x14ac:dyDescent="0.25">
      <c r="B1726" s="101">
        <f t="shared" si="65"/>
        <v>33</v>
      </c>
    </row>
    <row r="1727" spans="2:2" x14ac:dyDescent="0.25">
      <c r="B1727" s="101">
        <f t="shared" si="65"/>
        <v>33</v>
      </c>
    </row>
    <row r="1728" spans="2:2" x14ac:dyDescent="0.25">
      <c r="B1728" s="101">
        <f t="shared" si="65"/>
        <v>33</v>
      </c>
    </row>
    <row r="1729" spans="2:2" x14ac:dyDescent="0.25">
      <c r="B1729" s="101">
        <f t="shared" si="65"/>
        <v>33</v>
      </c>
    </row>
    <row r="1730" spans="2:2" x14ac:dyDescent="0.25">
      <c r="B1730" s="101">
        <f t="shared" si="65"/>
        <v>33</v>
      </c>
    </row>
    <row r="1731" spans="2:2" x14ac:dyDescent="0.25">
      <c r="B1731" s="101">
        <f t="shared" si="65"/>
        <v>33</v>
      </c>
    </row>
    <row r="1732" spans="2:2" x14ac:dyDescent="0.25">
      <c r="B1732" s="101">
        <f t="shared" si="65"/>
        <v>33</v>
      </c>
    </row>
    <row r="1733" spans="2:2" x14ac:dyDescent="0.25">
      <c r="B1733" s="101">
        <f t="shared" si="65"/>
        <v>33</v>
      </c>
    </row>
    <row r="1734" spans="2:2" x14ac:dyDescent="0.25">
      <c r="B1734" s="101">
        <f t="shared" ref="B1734:B1797" si="66">IF(C1734=C1733,B1733,B1733+1)</f>
        <v>33</v>
      </c>
    </row>
    <row r="1735" spans="2:2" x14ac:dyDescent="0.25">
      <c r="B1735" s="101">
        <f t="shared" si="66"/>
        <v>33</v>
      </c>
    </row>
    <row r="1736" spans="2:2" x14ac:dyDescent="0.25">
      <c r="B1736" s="101">
        <f t="shared" si="66"/>
        <v>33</v>
      </c>
    </row>
    <row r="1737" spans="2:2" x14ac:dyDescent="0.25">
      <c r="B1737" s="101">
        <f t="shared" si="66"/>
        <v>33</v>
      </c>
    </row>
    <row r="1738" spans="2:2" x14ac:dyDescent="0.25">
      <c r="B1738" s="101">
        <f t="shared" si="66"/>
        <v>33</v>
      </c>
    </row>
    <row r="1739" spans="2:2" x14ac:dyDescent="0.25">
      <c r="B1739" s="101">
        <f t="shared" si="66"/>
        <v>33</v>
      </c>
    </row>
    <row r="1740" spans="2:2" x14ac:dyDescent="0.25">
      <c r="B1740" s="101">
        <f t="shared" si="66"/>
        <v>33</v>
      </c>
    </row>
    <row r="1741" spans="2:2" x14ac:dyDescent="0.25">
      <c r="B1741" s="101">
        <f t="shared" si="66"/>
        <v>33</v>
      </c>
    </row>
    <row r="1742" spans="2:2" x14ac:dyDescent="0.25">
      <c r="B1742" s="101">
        <f t="shared" si="66"/>
        <v>33</v>
      </c>
    </row>
    <row r="1743" spans="2:2" x14ac:dyDescent="0.25">
      <c r="B1743" s="101">
        <f t="shared" si="66"/>
        <v>33</v>
      </c>
    </row>
    <row r="1744" spans="2:2" x14ac:dyDescent="0.25">
      <c r="B1744" s="101">
        <f t="shared" si="66"/>
        <v>33</v>
      </c>
    </row>
    <row r="1745" spans="2:2" x14ac:dyDescent="0.25">
      <c r="B1745" s="101">
        <f t="shared" si="66"/>
        <v>33</v>
      </c>
    </row>
    <row r="1746" spans="2:2" x14ac:dyDescent="0.25">
      <c r="B1746" s="101">
        <f t="shared" si="66"/>
        <v>33</v>
      </c>
    </row>
    <row r="1747" spans="2:2" x14ac:dyDescent="0.25">
      <c r="B1747" s="101">
        <f t="shared" si="66"/>
        <v>33</v>
      </c>
    </row>
    <row r="1748" spans="2:2" x14ac:dyDescent="0.25">
      <c r="B1748" s="101">
        <f t="shared" si="66"/>
        <v>33</v>
      </c>
    </row>
    <row r="1749" spans="2:2" x14ac:dyDescent="0.25">
      <c r="B1749" s="101">
        <f t="shared" si="66"/>
        <v>33</v>
      </c>
    </row>
    <row r="1750" spans="2:2" x14ac:dyDescent="0.25">
      <c r="B1750" s="101">
        <f t="shared" si="66"/>
        <v>33</v>
      </c>
    </row>
    <row r="1751" spans="2:2" x14ac:dyDescent="0.25">
      <c r="B1751" s="101">
        <f t="shared" si="66"/>
        <v>33</v>
      </c>
    </row>
    <row r="1752" spans="2:2" x14ac:dyDescent="0.25">
      <c r="B1752" s="101">
        <f t="shared" si="66"/>
        <v>33</v>
      </c>
    </row>
    <row r="1753" spans="2:2" x14ac:dyDescent="0.25">
      <c r="B1753" s="101">
        <f t="shared" si="66"/>
        <v>33</v>
      </c>
    </row>
    <row r="1754" spans="2:2" x14ac:dyDescent="0.25">
      <c r="B1754" s="101">
        <f t="shared" si="66"/>
        <v>33</v>
      </c>
    </row>
    <row r="1755" spans="2:2" x14ac:dyDescent="0.25">
      <c r="B1755" s="101">
        <f t="shared" si="66"/>
        <v>33</v>
      </c>
    </row>
    <row r="1756" spans="2:2" x14ac:dyDescent="0.25">
      <c r="B1756" s="101">
        <f t="shared" si="66"/>
        <v>33</v>
      </c>
    </row>
    <row r="1757" spans="2:2" x14ac:dyDescent="0.25">
      <c r="B1757" s="101">
        <f t="shared" si="66"/>
        <v>33</v>
      </c>
    </row>
    <row r="1758" spans="2:2" x14ac:dyDescent="0.25">
      <c r="B1758" s="101">
        <f t="shared" si="66"/>
        <v>33</v>
      </c>
    </row>
    <row r="1759" spans="2:2" x14ac:dyDescent="0.25">
      <c r="B1759" s="101">
        <f t="shared" si="66"/>
        <v>33</v>
      </c>
    </row>
    <row r="1760" spans="2:2" x14ac:dyDescent="0.25">
      <c r="B1760" s="101">
        <f t="shared" si="66"/>
        <v>33</v>
      </c>
    </row>
    <row r="1761" spans="2:2" x14ac:dyDescent="0.25">
      <c r="B1761" s="101">
        <f t="shared" si="66"/>
        <v>33</v>
      </c>
    </row>
    <row r="1762" spans="2:2" x14ac:dyDescent="0.25">
      <c r="B1762" s="101">
        <f t="shared" si="66"/>
        <v>33</v>
      </c>
    </row>
    <row r="1763" spans="2:2" x14ac:dyDescent="0.25">
      <c r="B1763" s="101">
        <f t="shared" si="66"/>
        <v>33</v>
      </c>
    </row>
    <row r="1764" spans="2:2" x14ac:dyDescent="0.25">
      <c r="B1764" s="101">
        <f t="shared" si="66"/>
        <v>33</v>
      </c>
    </row>
    <row r="1765" spans="2:2" x14ac:dyDescent="0.25">
      <c r="B1765" s="101">
        <f t="shared" si="66"/>
        <v>33</v>
      </c>
    </row>
    <row r="1766" spans="2:2" x14ac:dyDescent="0.25">
      <c r="B1766" s="101">
        <f t="shared" si="66"/>
        <v>33</v>
      </c>
    </row>
    <row r="1767" spans="2:2" x14ac:dyDescent="0.25">
      <c r="B1767" s="101">
        <f t="shared" si="66"/>
        <v>33</v>
      </c>
    </row>
    <row r="1768" spans="2:2" x14ac:dyDescent="0.25">
      <c r="B1768" s="101">
        <f t="shared" si="66"/>
        <v>33</v>
      </c>
    </row>
    <row r="1769" spans="2:2" x14ac:dyDescent="0.25">
      <c r="B1769" s="101">
        <f t="shared" si="66"/>
        <v>33</v>
      </c>
    </row>
    <row r="1770" spans="2:2" x14ac:dyDescent="0.25">
      <c r="B1770" s="101">
        <f t="shared" si="66"/>
        <v>33</v>
      </c>
    </row>
    <row r="1771" spans="2:2" x14ac:dyDescent="0.25">
      <c r="B1771" s="101">
        <f t="shared" si="66"/>
        <v>33</v>
      </c>
    </row>
    <row r="1772" spans="2:2" x14ac:dyDescent="0.25">
      <c r="B1772" s="101">
        <f t="shared" si="66"/>
        <v>33</v>
      </c>
    </row>
    <row r="1773" spans="2:2" x14ac:dyDescent="0.25">
      <c r="B1773" s="101">
        <f t="shared" si="66"/>
        <v>33</v>
      </c>
    </row>
    <row r="1774" spans="2:2" x14ac:dyDescent="0.25">
      <c r="B1774" s="101">
        <f t="shared" si="66"/>
        <v>33</v>
      </c>
    </row>
    <row r="1775" spans="2:2" x14ac:dyDescent="0.25">
      <c r="B1775" s="101">
        <f t="shared" si="66"/>
        <v>33</v>
      </c>
    </row>
    <row r="1776" spans="2:2" x14ac:dyDescent="0.25">
      <c r="B1776" s="101">
        <f t="shared" si="66"/>
        <v>33</v>
      </c>
    </row>
    <row r="1777" spans="2:2" x14ac:dyDescent="0.25">
      <c r="B1777" s="101">
        <f t="shared" si="66"/>
        <v>33</v>
      </c>
    </row>
    <row r="1778" spans="2:2" x14ac:dyDescent="0.25">
      <c r="B1778" s="101">
        <f t="shared" si="66"/>
        <v>33</v>
      </c>
    </row>
    <row r="1779" spans="2:2" x14ac:dyDescent="0.25">
      <c r="B1779" s="101">
        <f t="shared" si="66"/>
        <v>33</v>
      </c>
    </row>
    <row r="1780" spans="2:2" x14ac:dyDescent="0.25">
      <c r="B1780" s="101">
        <f t="shared" si="66"/>
        <v>33</v>
      </c>
    </row>
    <row r="1781" spans="2:2" x14ac:dyDescent="0.25">
      <c r="B1781" s="101">
        <f t="shared" si="66"/>
        <v>33</v>
      </c>
    </row>
    <row r="1782" spans="2:2" x14ac:dyDescent="0.25">
      <c r="B1782" s="101">
        <f t="shared" si="66"/>
        <v>33</v>
      </c>
    </row>
    <row r="1783" spans="2:2" x14ac:dyDescent="0.25">
      <c r="B1783" s="101">
        <f t="shared" si="66"/>
        <v>33</v>
      </c>
    </row>
    <row r="1784" spans="2:2" x14ac:dyDescent="0.25">
      <c r="B1784" s="101">
        <f t="shared" si="66"/>
        <v>33</v>
      </c>
    </row>
    <row r="1785" spans="2:2" x14ac:dyDescent="0.25">
      <c r="B1785" s="101">
        <f t="shared" si="66"/>
        <v>33</v>
      </c>
    </row>
    <row r="1786" spans="2:2" x14ac:dyDescent="0.25">
      <c r="B1786" s="101">
        <f t="shared" si="66"/>
        <v>33</v>
      </c>
    </row>
    <row r="1787" spans="2:2" x14ac:dyDescent="0.25">
      <c r="B1787" s="101">
        <f t="shared" si="66"/>
        <v>33</v>
      </c>
    </row>
    <row r="1788" spans="2:2" x14ac:dyDescent="0.25">
      <c r="B1788" s="101">
        <f t="shared" si="66"/>
        <v>33</v>
      </c>
    </row>
    <row r="1789" spans="2:2" x14ac:dyDescent="0.25">
      <c r="B1789" s="101">
        <f t="shared" si="66"/>
        <v>33</v>
      </c>
    </row>
    <row r="1790" spans="2:2" x14ac:dyDescent="0.25">
      <c r="B1790" s="101">
        <f t="shared" si="66"/>
        <v>33</v>
      </c>
    </row>
    <row r="1791" spans="2:2" x14ac:dyDescent="0.25">
      <c r="B1791" s="101">
        <f t="shared" si="66"/>
        <v>33</v>
      </c>
    </row>
    <row r="1792" spans="2:2" x14ac:dyDescent="0.25">
      <c r="B1792" s="101">
        <f t="shared" si="66"/>
        <v>33</v>
      </c>
    </row>
    <row r="1793" spans="2:2" x14ac:dyDescent="0.25">
      <c r="B1793" s="101">
        <f t="shared" si="66"/>
        <v>33</v>
      </c>
    </row>
    <row r="1794" spans="2:2" x14ac:dyDescent="0.25">
      <c r="B1794" s="101">
        <f t="shared" si="66"/>
        <v>33</v>
      </c>
    </row>
    <row r="1795" spans="2:2" x14ac:dyDescent="0.25">
      <c r="B1795" s="101">
        <f t="shared" si="66"/>
        <v>33</v>
      </c>
    </row>
    <row r="1796" spans="2:2" x14ac:dyDescent="0.25">
      <c r="B1796" s="101">
        <f t="shared" si="66"/>
        <v>33</v>
      </c>
    </row>
    <row r="1797" spans="2:2" x14ac:dyDescent="0.25">
      <c r="B1797" s="101">
        <f t="shared" si="66"/>
        <v>33</v>
      </c>
    </row>
    <row r="1798" spans="2:2" x14ac:dyDescent="0.25">
      <c r="B1798" s="101">
        <f t="shared" ref="B1798:B1818" si="67">IF(C1798=C1797,B1797,B1797+1)</f>
        <v>33</v>
      </c>
    </row>
    <row r="1799" spans="2:2" x14ac:dyDescent="0.25">
      <c r="B1799" s="101">
        <f t="shared" si="67"/>
        <v>33</v>
      </c>
    </row>
    <row r="1800" spans="2:2" x14ac:dyDescent="0.25">
      <c r="B1800" s="101">
        <f t="shared" si="67"/>
        <v>33</v>
      </c>
    </row>
    <row r="1801" spans="2:2" x14ac:dyDescent="0.25">
      <c r="B1801" s="101">
        <f t="shared" si="67"/>
        <v>33</v>
      </c>
    </row>
    <row r="1802" spans="2:2" x14ac:dyDescent="0.25">
      <c r="B1802" s="101">
        <f t="shared" si="67"/>
        <v>33</v>
      </c>
    </row>
    <row r="1803" spans="2:2" x14ac:dyDescent="0.25">
      <c r="B1803" s="101">
        <f t="shared" si="67"/>
        <v>33</v>
      </c>
    </row>
    <row r="1804" spans="2:2" x14ac:dyDescent="0.25">
      <c r="B1804" s="101">
        <f t="shared" si="67"/>
        <v>33</v>
      </c>
    </row>
    <row r="1805" spans="2:2" x14ac:dyDescent="0.25">
      <c r="B1805" s="101">
        <f t="shared" si="67"/>
        <v>33</v>
      </c>
    </row>
    <row r="1806" spans="2:2" x14ac:dyDescent="0.25">
      <c r="B1806" s="101">
        <f t="shared" si="67"/>
        <v>33</v>
      </c>
    </row>
    <row r="1807" spans="2:2" x14ac:dyDescent="0.25">
      <c r="B1807" s="101">
        <f t="shared" si="67"/>
        <v>33</v>
      </c>
    </row>
    <row r="1808" spans="2:2" x14ac:dyDescent="0.25">
      <c r="B1808" s="101">
        <f t="shared" si="67"/>
        <v>33</v>
      </c>
    </row>
    <row r="1809" spans="2:2" x14ac:dyDescent="0.25">
      <c r="B1809" s="101">
        <f t="shared" si="67"/>
        <v>33</v>
      </c>
    </row>
    <row r="1810" spans="2:2" x14ac:dyDescent="0.25">
      <c r="B1810" s="101">
        <f t="shared" si="67"/>
        <v>33</v>
      </c>
    </row>
    <row r="1811" spans="2:2" x14ac:dyDescent="0.25">
      <c r="B1811" s="101">
        <f t="shared" si="67"/>
        <v>33</v>
      </c>
    </row>
    <row r="1812" spans="2:2" x14ac:dyDescent="0.25">
      <c r="B1812" s="101">
        <f t="shared" si="67"/>
        <v>33</v>
      </c>
    </row>
    <row r="1813" spans="2:2" x14ac:dyDescent="0.25">
      <c r="B1813" s="101">
        <f t="shared" si="67"/>
        <v>33</v>
      </c>
    </row>
    <row r="1814" spans="2:2" x14ac:dyDescent="0.25">
      <c r="B1814" s="101">
        <f t="shared" si="67"/>
        <v>33</v>
      </c>
    </row>
    <row r="1815" spans="2:2" x14ac:dyDescent="0.25">
      <c r="B1815" s="101">
        <f t="shared" si="67"/>
        <v>33</v>
      </c>
    </row>
    <row r="1816" spans="2:2" x14ac:dyDescent="0.25">
      <c r="B1816" s="101">
        <f t="shared" si="67"/>
        <v>33</v>
      </c>
    </row>
    <row r="1817" spans="2:2" x14ac:dyDescent="0.25">
      <c r="B1817" s="101">
        <f t="shared" si="67"/>
        <v>33</v>
      </c>
    </row>
    <row r="1818" spans="2:2" x14ac:dyDescent="0.25">
      <c r="B1818" s="101">
        <f t="shared" si="67"/>
        <v>33</v>
      </c>
    </row>
  </sheetData>
  <mergeCells count="4">
    <mergeCell ref="G1:H1"/>
    <mergeCell ref="G2:H2"/>
    <mergeCell ref="P4:Q4"/>
    <mergeCell ref="V4:W4"/>
  </mergeCells>
  <conditionalFormatting sqref="C5:K340 C363:K2000 C352:D362 G352:K362 C341:D341 G341:K341 C342:K351">
    <cfRule type="expression" dxfId="31" priority="5">
      <formula>IF($C5=$C4,0,1)</formula>
    </cfRule>
  </conditionalFormatting>
  <conditionalFormatting sqref="L1285:P1300 L164:M1284 O164:P1284">
    <cfRule type="expression" dxfId="30" priority="4">
      <formula>IF($L164=0,1,0)</formula>
    </cfRule>
  </conditionalFormatting>
  <conditionalFormatting sqref="O164:P1284 L164:M1200">
    <cfRule type="expression" dxfId="29" priority="3">
      <formula>IF($L164=0,0,1)</formula>
    </cfRule>
  </conditionalFormatting>
  <conditionalFormatting sqref="O164:P1284">
    <cfRule type="expression" dxfId="28" priority="2">
      <formula>IF(ISNUMBER(CODE($P164)),1,0)</formula>
    </cfRule>
  </conditionalFormatting>
  <conditionalFormatting sqref="M5:Q1284">
    <cfRule type="expression" dxfId="27" priority="10">
      <formula>IF($M5=0,1,0)</formula>
    </cfRule>
    <cfRule type="expression" dxfId="26" priority="11">
      <formula>IF($M5=0,0,1)</formula>
    </cfRule>
  </conditionalFormatting>
  <conditionalFormatting sqref="P5:Q163 P26:P1284">
    <cfRule type="expression" dxfId="25" priority="12">
      <formula>IF(ISNUMBER(CODE($Q5)),1,0)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5"/>
  <sheetViews>
    <sheetView topLeftCell="B1" workbookViewId="0">
      <selection activeCell="G2" sqref="G2:H2"/>
    </sheetView>
  </sheetViews>
  <sheetFormatPr defaultRowHeight="15" x14ac:dyDescent="0.25"/>
  <cols>
    <col min="1" max="1" width="6.5703125" customWidth="1"/>
    <col min="2" max="2" width="9.7109375" bestFit="1" customWidth="1"/>
    <col min="3" max="3" width="47.28515625" bestFit="1" customWidth="1"/>
    <col min="4" max="4" width="16" bestFit="1" customWidth="1"/>
    <col min="5" max="5" width="18.5703125" bestFit="1" customWidth="1"/>
    <col min="6" max="6" width="15.7109375" bestFit="1" customWidth="1"/>
    <col min="9" max="9" width="11.140625" bestFit="1" customWidth="1"/>
    <col min="10" max="10" width="12.140625" bestFit="1" customWidth="1"/>
    <col min="11" max="11" width="15.5703125" bestFit="1" customWidth="1"/>
  </cols>
  <sheetData>
    <row r="1" spans="2:9" x14ac:dyDescent="0.25">
      <c r="C1" s="74" t="s">
        <v>38</v>
      </c>
      <c r="D1" s="74" t="s">
        <v>39</v>
      </c>
      <c r="E1" s="151" t="s">
        <v>138</v>
      </c>
      <c r="F1" s="151"/>
      <c r="G1" s="151" t="s">
        <v>40</v>
      </c>
      <c r="H1" s="151"/>
    </row>
    <row r="2" spans="2:9" x14ac:dyDescent="0.25">
      <c r="C2" s="31">
        <f ca="1">SUMIF(Misc_Bets[Date],"&lt;"&amp;TODAY(),Misc_Bets[Winnings])-SUMIF(Misc_Bets[Date],"&lt;"&amp;TODAY(),Misc_Bets[Risk])</f>
        <v>-18.918660287081337</v>
      </c>
      <c r="D2" s="12">
        <f ca="1">IFERROR(C2/SUMIF(Misc_Bets[Date],"&lt;"&amp;TODAY(),Misc_Bets[Risk]),0)</f>
        <v>-0.235014413504116</v>
      </c>
      <c r="E2" s="152" t="str">
        <f>COUNTIF(Misc_Bets[Result],"W")&amp;"-"&amp;COUNTIF(Misc_Bets[Result],"L")&amp;IF(COUNTIF(Misc_Bets[Result],"Push")=0,"","-"&amp;COUNTIF(Misc_Bets[Result],"Push"))</f>
        <v>4-8</v>
      </c>
      <c r="F2" s="152"/>
      <c r="G2" s="152">
        <f ca="1">IFERROR(COUNTIF(Misc_Bets[Result],"W")/COUNTIF(Misc_Bets[Date],"&lt;"&amp;TODAY()),0)</f>
        <v>0.33333333333333331</v>
      </c>
      <c r="H2" s="152"/>
    </row>
    <row r="3" spans="2:9" ht="3.75" customHeight="1" x14ac:dyDescent="0.25"/>
    <row r="4" spans="2:9" x14ac:dyDescent="0.25">
      <c r="B4" s="75" t="s">
        <v>0</v>
      </c>
      <c r="C4" s="75" t="s">
        <v>278</v>
      </c>
      <c r="D4" s="75" t="s">
        <v>1</v>
      </c>
      <c r="E4" s="75" t="s">
        <v>2</v>
      </c>
      <c r="F4" s="75" t="s">
        <v>109</v>
      </c>
      <c r="G4" s="75" t="s">
        <v>6</v>
      </c>
      <c r="H4" s="75" t="s">
        <v>5</v>
      </c>
    </row>
    <row r="5" spans="2:9" x14ac:dyDescent="0.25">
      <c r="B5" s="6">
        <v>43471</v>
      </c>
      <c r="C5" s="93" t="s">
        <v>247</v>
      </c>
      <c r="D5" s="8" t="s">
        <v>246</v>
      </c>
      <c r="E5" s="9">
        <v>10</v>
      </c>
      <c r="F5" s="30">
        <v>-190</v>
      </c>
      <c r="G5" s="10" t="s">
        <v>37</v>
      </c>
      <c r="H5" s="65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15.263157894736842</v>
      </c>
    </row>
    <row r="6" spans="2:9" x14ac:dyDescent="0.25">
      <c r="B6" s="6">
        <v>43471</v>
      </c>
      <c r="C6" s="93" t="s">
        <v>248</v>
      </c>
      <c r="D6" s="8" t="s">
        <v>277</v>
      </c>
      <c r="E6" s="9">
        <v>5</v>
      </c>
      <c r="F6" s="30">
        <v>675</v>
      </c>
      <c r="G6" s="10" t="s">
        <v>7</v>
      </c>
      <c r="H6" s="9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0</v>
      </c>
    </row>
    <row r="7" spans="2:9" x14ac:dyDescent="0.25">
      <c r="B7" s="6">
        <v>43499</v>
      </c>
      <c r="C7" s="93" t="s">
        <v>249</v>
      </c>
      <c r="D7" s="8" t="s">
        <v>277</v>
      </c>
      <c r="E7" s="9">
        <v>5</v>
      </c>
      <c r="F7" s="30">
        <v>435</v>
      </c>
      <c r="G7" s="10" t="s">
        <v>7</v>
      </c>
      <c r="H7" s="9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0</v>
      </c>
    </row>
    <row r="8" spans="2:9" x14ac:dyDescent="0.25">
      <c r="B8" s="6">
        <v>43471</v>
      </c>
      <c r="C8" s="93" t="s">
        <v>250</v>
      </c>
      <c r="D8" s="8" t="s">
        <v>251</v>
      </c>
      <c r="E8" s="9">
        <v>10</v>
      </c>
      <c r="F8" s="30">
        <v>36.5</v>
      </c>
      <c r="G8" s="10" t="s">
        <v>7</v>
      </c>
      <c r="H8" s="9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0</v>
      </c>
    </row>
    <row r="9" spans="2:9" x14ac:dyDescent="0.25">
      <c r="B9" s="6">
        <v>43471</v>
      </c>
      <c r="C9" s="93" t="s">
        <v>301</v>
      </c>
      <c r="D9" s="7" t="s">
        <v>302</v>
      </c>
      <c r="E9" s="9">
        <v>10</v>
      </c>
      <c r="F9" s="30">
        <v>100</v>
      </c>
      <c r="G9" s="64" t="s">
        <v>37</v>
      </c>
      <c r="H9" s="65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20</v>
      </c>
      <c r="I9" s="9"/>
    </row>
    <row r="10" spans="2:9" x14ac:dyDescent="0.25">
      <c r="B10" s="6">
        <v>43492</v>
      </c>
      <c r="C10" s="93" t="s">
        <v>603</v>
      </c>
      <c r="D10" s="7" t="s">
        <v>604</v>
      </c>
      <c r="E10" s="9">
        <v>12.5</v>
      </c>
      <c r="F10" s="30">
        <v>-125</v>
      </c>
      <c r="G10" s="64" t="s">
        <v>37</v>
      </c>
      <c r="H10" s="65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22.5</v>
      </c>
      <c r="I10" s="9"/>
    </row>
    <row r="11" spans="2:9" x14ac:dyDescent="0.25">
      <c r="B11" s="6">
        <v>43499</v>
      </c>
      <c r="C11" s="93" t="s">
        <v>732</v>
      </c>
      <c r="D11" s="7" t="s">
        <v>316</v>
      </c>
      <c r="E11" s="9">
        <v>10</v>
      </c>
      <c r="F11" s="111">
        <v>100</v>
      </c>
      <c r="G11" s="64" t="s">
        <v>7</v>
      </c>
      <c r="H11" s="65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0</v>
      </c>
      <c r="I11" s="9"/>
    </row>
    <row r="12" spans="2:9" x14ac:dyDescent="0.25">
      <c r="B12" s="6">
        <v>43499</v>
      </c>
      <c r="C12" s="93" t="s">
        <v>733</v>
      </c>
      <c r="D12" s="7" t="s">
        <v>240</v>
      </c>
      <c r="E12" s="9">
        <v>10</v>
      </c>
      <c r="F12" s="111">
        <v>100</v>
      </c>
      <c r="G12" s="64" t="s">
        <v>7</v>
      </c>
      <c r="H12" s="65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0</v>
      </c>
      <c r="I12" s="9"/>
    </row>
    <row r="13" spans="2:9" x14ac:dyDescent="0.25">
      <c r="B13" s="6">
        <v>43505</v>
      </c>
      <c r="C13" s="93" t="s">
        <v>868</v>
      </c>
      <c r="D13" s="7" t="s">
        <v>378</v>
      </c>
      <c r="E13" s="9">
        <v>2</v>
      </c>
      <c r="F13" s="30">
        <v>-110</v>
      </c>
      <c r="G13" s="64" t="s">
        <v>7</v>
      </c>
      <c r="H13" s="65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0</v>
      </c>
      <c r="I13" s="9"/>
    </row>
    <row r="14" spans="2:9" x14ac:dyDescent="0.25">
      <c r="B14" s="6">
        <v>43505</v>
      </c>
      <c r="C14" s="93" t="s">
        <v>869</v>
      </c>
      <c r="D14" s="7" t="s">
        <v>378</v>
      </c>
      <c r="E14" s="9">
        <v>2</v>
      </c>
      <c r="F14" s="30">
        <v>-110</v>
      </c>
      <c r="G14" s="64" t="s">
        <v>7</v>
      </c>
      <c r="H14" s="65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0</v>
      </c>
      <c r="I14" s="9"/>
    </row>
    <row r="15" spans="2:9" x14ac:dyDescent="0.25">
      <c r="B15" s="6">
        <v>43506</v>
      </c>
      <c r="C15" s="93" t="s">
        <v>870</v>
      </c>
      <c r="D15" s="7" t="s">
        <v>35</v>
      </c>
      <c r="E15" s="9">
        <v>2</v>
      </c>
      <c r="F15" s="30">
        <v>-110</v>
      </c>
      <c r="G15" s="64" t="s">
        <v>7</v>
      </c>
      <c r="H15" s="65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0</v>
      </c>
      <c r="I15" s="9"/>
    </row>
    <row r="16" spans="2:9" x14ac:dyDescent="0.25">
      <c r="B16" s="6">
        <v>43506</v>
      </c>
      <c r="C16" s="93" t="s">
        <v>871</v>
      </c>
      <c r="D16" s="7" t="s">
        <v>872</v>
      </c>
      <c r="E16" s="9">
        <v>2</v>
      </c>
      <c r="F16" s="30">
        <v>-110</v>
      </c>
      <c r="G16" s="64" t="s">
        <v>37</v>
      </c>
      <c r="H16" s="65">
        <f>IF(Misc_Bets[[#This Row],[Result]]="L",0,IF(Misc_Bets[[#This Row],[Result]]="Push",Misc_Bets[[#This Row],[Risk]],IF(Misc_Bets[[#This Row],[Result]]="W",IF(Misc_Bets[[#This Row],[Odds]]&gt;0,Misc_Bets[[#This Row],[Odds]]/100*Misc_Bets[[#This Row],[Risk]]+Misc_Bets[[#This Row],[Risk]],(Misc_Bets[[#This Row],[Risk]]/Misc_Bets[[#This Row],[Odds]]*-100)+Misc_Bets[[#This Row],[Risk]]),"")))</f>
        <v>3.8181818181818183</v>
      </c>
      <c r="I16" s="9"/>
    </row>
    <row r="17" spans="2:9" x14ac:dyDescent="0.25">
      <c r="B17" s="6"/>
      <c r="C17" s="40"/>
      <c r="D17" s="7"/>
      <c r="E17" s="8"/>
      <c r="F17" s="9"/>
      <c r="G17" s="30"/>
      <c r="H17" s="10"/>
      <c r="I17" s="9"/>
    </row>
    <row r="18" spans="2:9" x14ac:dyDescent="0.25">
      <c r="B18" s="6"/>
      <c r="C18" s="40"/>
      <c r="D18" s="7"/>
      <c r="E18" s="8"/>
      <c r="F18" s="9"/>
      <c r="G18" s="30"/>
      <c r="H18" s="10"/>
      <c r="I18" s="9"/>
    </row>
    <row r="19" spans="2:9" x14ac:dyDescent="0.25">
      <c r="B19" s="6"/>
      <c r="C19" s="40"/>
      <c r="D19" s="7"/>
      <c r="E19" s="8"/>
      <c r="F19" s="9"/>
      <c r="G19" s="30"/>
      <c r="H19" s="10"/>
      <c r="I19" s="9"/>
    </row>
    <row r="20" spans="2:9" x14ac:dyDescent="0.25">
      <c r="B20" s="6"/>
      <c r="C20" s="40"/>
      <c r="D20" s="7"/>
      <c r="E20" s="8"/>
      <c r="F20" s="9"/>
      <c r="G20" s="30"/>
      <c r="H20" s="10"/>
      <c r="I20" s="9"/>
    </row>
    <row r="21" spans="2:9" x14ac:dyDescent="0.25">
      <c r="B21" s="6"/>
      <c r="C21" s="40"/>
      <c r="D21" s="8"/>
      <c r="E21" s="8"/>
      <c r="F21" s="9"/>
      <c r="G21" s="30"/>
      <c r="H21" s="10"/>
      <c r="I21" s="9"/>
    </row>
    <row r="22" spans="2:9" x14ac:dyDescent="0.25">
      <c r="B22" s="6"/>
      <c r="C22" s="40"/>
      <c r="D22" s="8"/>
      <c r="E22" s="8"/>
      <c r="F22" s="9"/>
      <c r="G22" s="30"/>
      <c r="H22" s="10"/>
      <c r="I22" s="9"/>
    </row>
    <row r="23" spans="2:9" x14ac:dyDescent="0.25">
      <c r="B23" s="6"/>
      <c r="C23" s="40"/>
      <c r="D23" s="8"/>
      <c r="E23" s="8"/>
      <c r="F23" s="9"/>
      <c r="G23" s="30"/>
      <c r="H23" s="10"/>
      <c r="I23" s="9"/>
    </row>
    <row r="24" spans="2:9" x14ac:dyDescent="0.25">
      <c r="B24" s="6"/>
      <c r="C24" s="40"/>
      <c r="D24" s="8"/>
      <c r="E24" s="8"/>
      <c r="F24" s="9"/>
      <c r="G24" s="30"/>
      <c r="H24" s="10"/>
      <c r="I24" s="9"/>
    </row>
    <row r="25" spans="2:9" x14ac:dyDescent="0.25">
      <c r="B25" s="6"/>
      <c r="C25" s="40"/>
      <c r="D25" s="8"/>
      <c r="E25" s="8"/>
      <c r="F25" s="9"/>
      <c r="G25" s="30"/>
      <c r="H25" s="10"/>
      <c r="I25" s="9"/>
    </row>
    <row r="26" spans="2:9" x14ac:dyDescent="0.25">
      <c r="B26" s="6"/>
      <c r="C26" s="40"/>
      <c r="D26" s="8"/>
      <c r="E26" s="8"/>
      <c r="F26" s="9"/>
      <c r="G26" s="30"/>
      <c r="H26" s="10"/>
      <c r="I26" s="9"/>
    </row>
    <row r="27" spans="2:9" x14ac:dyDescent="0.25">
      <c r="B27" s="6"/>
      <c r="C27" s="40"/>
      <c r="D27" s="8"/>
      <c r="E27" s="8"/>
      <c r="F27" s="9"/>
      <c r="G27" s="30"/>
      <c r="H27" s="10"/>
      <c r="I27" s="9"/>
    </row>
    <row r="28" spans="2:9" x14ac:dyDescent="0.25">
      <c r="B28" s="6"/>
      <c r="C28" s="40"/>
      <c r="D28" s="8"/>
      <c r="E28" s="8"/>
      <c r="F28" s="9"/>
      <c r="G28" s="30"/>
      <c r="H28" s="10"/>
      <c r="I28" s="9"/>
    </row>
    <row r="29" spans="2:9" x14ac:dyDescent="0.25">
      <c r="B29" s="6"/>
      <c r="C29" s="40"/>
      <c r="D29" s="7"/>
      <c r="E29" s="8"/>
      <c r="F29" s="9"/>
      <c r="G29" s="30"/>
      <c r="H29" s="10"/>
      <c r="I29" s="9"/>
    </row>
    <row r="30" spans="2:9" x14ac:dyDescent="0.25">
      <c r="B30" s="6"/>
      <c r="C30" s="40"/>
      <c r="D30" s="7"/>
      <c r="E30" s="8"/>
      <c r="F30" s="9"/>
      <c r="G30" s="30"/>
      <c r="H30" s="10"/>
      <c r="I30" s="9"/>
    </row>
    <row r="31" spans="2:9" x14ac:dyDescent="0.25">
      <c r="B31" s="6"/>
      <c r="C31" s="40"/>
      <c r="D31" s="7"/>
      <c r="E31" s="8"/>
      <c r="F31" s="9"/>
      <c r="G31" s="30"/>
      <c r="H31" s="10"/>
      <c r="I31" s="9"/>
    </row>
    <row r="32" spans="2:9" x14ac:dyDescent="0.25">
      <c r="B32" s="6"/>
      <c r="C32" s="40"/>
      <c r="D32" s="7"/>
      <c r="E32" s="8"/>
      <c r="F32" s="9"/>
      <c r="G32" s="30"/>
      <c r="H32" s="10"/>
      <c r="I32" s="9"/>
    </row>
    <row r="33" spans="2:13" x14ac:dyDescent="0.25">
      <c r="B33" s="6"/>
      <c r="C33" s="40"/>
      <c r="D33" s="7"/>
      <c r="E33" s="8"/>
      <c r="F33" s="9"/>
      <c r="G33" s="30"/>
      <c r="H33" s="10"/>
      <c r="I33" s="9"/>
    </row>
    <row r="34" spans="2:13" x14ac:dyDescent="0.25">
      <c r="B34" s="6"/>
      <c r="C34" s="40"/>
      <c r="D34" s="7"/>
      <c r="E34" s="8"/>
      <c r="F34" s="9"/>
      <c r="G34" s="30"/>
      <c r="H34" s="10"/>
      <c r="I34" s="9"/>
    </row>
    <row r="35" spans="2:13" x14ac:dyDescent="0.25">
      <c r="B35" s="6"/>
      <c r="C35" s="40"/>
      <c r="F35" s="9"/>
      <c r="G35" s="30"/>
      <c r="H35" s="10"/>
      <c r="I35" s="9"/>
    </row>
    <row r="36" spans="2:13" x14ac:dyDescent="0.25">
      <c r="B36" s="6"/>
      <c r="C36" s="40"/>
      <c r="F36" s="9"/>
      <c r="G36" s="30"/>
      <c r="H36" s="10"/>
      <c r="I36" s="9"/>
    </row>
    <row r="37" spans="2:13" x14ac:dyDescent="0.25">
      <c r="B37" s="6"/>
      <c r="C37" s="40"/>
      <c r="F37" s="9"/>
      <c r="G37" s="30"/>
      <c r="H37" s="10"/>
      <c r="I37" s="9"/>
    </row>
    <row r="38" spans="2:13" x14ac:dyDescent="0.25">
      <c r="B38" s="6"/>
      <c r="C38" s="40"/>
      <c r="D38" s="7"/>
      <c r="E38" s="8"/>
      <c r="F38" s="9"/>
      <c r="G38" s="30"/>
      <c r="H38" s="10"/>
      <c r="I38" s="9"/>
    </row>
    <row r="39" spans="2:13" x14ac:dyDescent="0.25">
      <c r="B39" s="6"/>
      <c r="C39" s="40"/>
      <c r="D39" s="7"/>
      <c r="E39" s="8"/>
      <c r="F39" s="9"/>
      <c r="G39" s="30"/>
      <c r="H39" s="10"/>
      <c r="I39" s="9"/>
    </row>
    <row r="40" spans="2:13" x14ac:dyDescent="0.25">
      <c r="B40" s="6"/>
      <c r="C40" s="40"/>
      <c r="D40" s="7"/>
      <c r="E40" s="8"/>
      <c r="F40" s="9"/>
      <c r="G40" s="30"/>
      <c r="H40" s="10"/>
      <c r="I40" s="9"/>
    </row>
    <row r="41" spans="2:13" x14ac:dyDescent="0.25">
      <c r="B41" s="6"/>
      <c r="C41" s="40"/>
      <c r="D41" s="7"/>
      <c r="E41" s="8"/>
      <c r="F41" s="9"/>
      <c r="G41" s="30"/>
      <c r="H41" s="10"/>
      <c r="I41" s="9"/>
    </row>
    <row r="42" spans="2:13" x14ac:dyDescent="0.25">
      <c r="B42" s="6"/>
      <c r="C42" s="40"/>
      <c r="D42" s="7"/>
      <c r="E42" s="8"/>
      <c r="F42" s="9"/>
      <c r="G42" s="30"/>
      <c r="H42" s="10"/>
      <c r="I42" s="9"/>
    </row>
    <row r="43" spans="2:13" x14ac:dyDescent="0.25">
      <c r="B43" s="6"/>
      <c r="C43" s="40"/>
      <c r="D43" s="7"/>
      <c r="E43" s="8"/>
      <c r="F43" s="9"/>
      <c r="G43" s="30"/>
      <c r="H43" s="10"/>
      <c r="I43" s="9"/>
    </row>
    <row r="44" spans="2:13" x14ac:dyDescent="0.25">
      <c r="B44" s="6"/>
      <c r="C44" s="40"/>
      <c r="D44" s="7"/>
      <c r="E44" s="8"/>
      <c r="F44" s="9"/>
      <c r="G44" s="30"/>
      <c r="H44" s="10"/>
      <c r="I44" s="9"/>
    </row>
    <row r="45" spans="2:13" x14ac:dyDescent="0.25">
      <c r="B45" s="6"/>
      <c r="C45" s="40"/>
      <c r="D45" s="7"/>
      <c r="E45" s="8"/>
      <c r="F45" s="9"/>
      <c r="G45" s="30"/>
      <c r="H45" s="10"/>
      <c r="I45" s="9"/>
    </row>
    <row r="46" spans="2:13" x14ac:dyDescent="0.25">
      <c r="B46" s="6"/>
      <c r="C46" s="40"/>
      <c r="D46" s="7"/>
      <c r="E46" s="8"/>
      <c r="F46" s="9"/>
      <c r="G46" s="30"/>
      <c r="H46" s="10"/>
      <c r="I46" s="9"/>
      <c r="M46" s="13"/>
    </row>
    <row r="47" spans="2:13" x14ac:dyDescent="0.25">
      <c r="B47" s="6"/>
      <c r="C47" s="40"/>
      <c r="D47" s="7"/>
      <c r="E47" s="8"/>
      <c r="F47" s="9"/>
      <c r="G47" s="30"/>
      <c r="H47" s="10"/>
      <c r="I47" s="9"/>
    </row>
    <row r="48" spans="2:13" x14ac:dyDescent="0.25">
      <c r="B48" s="6"/>
      <c r="C48" s="40"/>
      <c r="D48" s="7"/>
      <c r="E48" s="8"/>
      <c r="F48" s="9"/>
      <c r="G48" s="30"/>
      <c r="H48" s="10"/>
      <c r="I48" s="9"/>
    </row>
    <row r="49" spans="2:9" x14ac:dyDescent="0.25">
      <c r="B49" s="6"/>
      <c r="C49" s="40"/>
      <c r="D49" s="7"/>
      <c r="E49" s="8"/>
      <c r="F49" s="9"/>
      <c r="G49" s="30"/>
      <c r="H49" s="10"/>
      <c r="I49" s="9"/>
    </row>
    <row r="50" spans="2:9" x14ac:dyDescent="0.25">
      <c r="B50" s="6"/>
      <c r="C50" s="40"/>
      <c r="D50" s="7"/>
      <c r="E50" s="8"/>
      <c r="F50" s="9"/>
      <c r="G50" s="30"/>
      <c r="H50" s="10"/>
      <c r="I50" s="9"/>
    </row>
    <row r="51" spans="2:9" x14ac:dyDescent="0.25">
      <c r="B51" s="6"/>
      <c r="C51" s="40"/>
      <c r="D51" s="7"/>
      <c r="E51" s="8"/>
      <c r="F51" s="9"/>
      <c r="G51" s="30"/>
      <c r="H51" s="10"/>
      <c r="I51" s="9"/>
    </row>
    <row r="52" spans="2:9" x14ac:dyDescent="0.25">
      <c r="B52" s="6"/>
      <c r="C52" s="40"/>
      <c r="D52" s="7"/>
      <c r="E52" s="8"/>
      <c r="F52" s="9"/>
      <c r="G52" s="30"/>
      <c r="H52" s="10"/>
      <c r="I52" s="9"/>
    </row>
    <row r="53" spans="2:9" x14ac:dyDescent="0.25">
      <c r="B53" s="6"/>
      <c r="C53" s="40"/>
      <c r="D53" s="7"/>
      <c r="E53" s="8"/>
      <c r="F53" s="9"/>
      <c r="G53" s="30"/>
      <c r="H53" s="10"/>
      <c r="I53" s="9"/>
    </row>
    <row r="54" spans="2:9" x14ac:dyDescent="0.25">
      <c r="B54" s="6"/>
      <c r="C54" s="40"/>
      <c r="D54" s="7"/>
      <c r="E54" s="8"/>
      <c r="F54" s="9"/>
      <c r="G54" s="30"/>
      <c r="H54" s="10"/>
      <c r="I54" s="9"/>
    </row>
    <row r="55" spans="2:9" x14ac:dyDescent="0.25">
      <c r="B55" s="6"/>
      <c r="C55" s="40"/>
      <c r="D55" s="7"/>
      <c r="E55" s="8"/>
      <c r="F55" s="9"/>
      <c r="G55" s="30"/>
      <c r="H55" s="10"/>
      <c r="I55" s="9"/>
    </row>
    <row r="56" spans="2:9" x14ac:dyDescent="0.25">
      <c r="B56" s="6"/>
      <c r="C56" s="40"/>
      <c r="D56" s="7"/>
      <c r="E56" s="8"/>
      <c r="F56" s="9"/>
      <c r="G56" s="30"/>
      <c r="H56" s="10"/>
      <c r="I56" s="9"/>
    </row>
    <row r="57" spans="2:9" x14ac:dyDescent="0.25">
      <c r="B57" s="6"/>
      <c r="C57" s="40"/>
      <c r="D57" s="7"/>
      <c r="E57" s="8"/>
      <c r="F57" s="9"/>
      <c r="G57" s="30"/>
      <c r="H57" s="10"/>
      <c r="I57" s="9"/>
    </row>
    <row r="58" spans="2:9" x14ac:dyDescent="0.25">
      <c r="B58" s="6"/>
      <c r="C58" s="40"/>
      <c r="D58" s="7"/>
      <c r="E58" s="8"/>
      <c r="F58" s="9"/>
      <c r="G58" s="30"/>
      <c r="H58" s="10"/>
      <c r="I58" s="9"/>
    </row>
    <row r="59" spans="2:9" x14ac:dyDescent="0.25">
      <c r="B59" s="6"/>
      <c r="C59" s="40"/>
      <c r="D59" s="7"/>
      <c r="E59" s="8"/>
      <c r="F59" s="9"/>
      <c r="G59" s="73"/>
      <c r="H59" s="10"/>
      <c r="I59" s="9"/>
    </row>
    <row r="60" spans="2:9" x14ac:dyDescent="0.25">
      <c r="B60" s="6"/>
      <c r="C60" s="40"/>
      <c r="D60" s="7"/>
      <c r="E60" s="8"/>
      <c r="F60" s="9"/>
      <c r="G60" s="73"/>
      <c r="H60" s="10"/>
      <c r="I60" s="9"/>
    </row>
    <row r="61" spans="2:9" x14ac:dyDescent="0.25">
      <c r="B61" s="6"/>
      <c r="C61" s="40"/>
      <c r="D61" s="7"/>
      <c r="E61" s="8"/>
      <c r="F61" s="9"/>
      <c r="G61" s="73"/>
      <c r="H61" s="10"/>
      <c r="I61" s="9"/>
    </row>
    <row r="62" spans="2:9" x14ac:dyDescent="0.25">
      <c r="B62" s="6"/>
      <c r="C62" s="40"/>
      <c r="D62" s="7"/>
      <c r="E62" s="8"/>
      <c r="F62" s="9"/>
      <c r="G62" s="73"/>
      <c r="H62" s="10"/>
      <c r="I62" s="9"/>
    </row>
    <row r="63" spans="2:9" x14ac:dyDescent="0.25">
      <c r="B63" s="6"/>
      <c r="C63" s="40"/>
      <c r="D63" s="7"/>
      <c r="E63" s="8"/>
      <c r="F63" s="9"/>
      <c r="G63" s="73"/>
      <c r="H63" s="10"/>
      <c r="I63" s="9"/>
    </row>
    <row r="64" spans="2:9" x14ac:dyDescent="0.25">
      <c r="B64" s="6"/>
      <c r="C64" s="40"/>
      <c r="D64" s="7"/>
      <c r="E64" s="8"/>
      <c r="F64" s="9"/>
      <c r="G64" s="73"/>
      <c r="H64" s="10"/>
      <c r="I64" s="9"/>
    </row>
    <row r="65" spans="2:9" x14ac:dyDescent="0.25">
      <c r="B65" s="6"/>
      <c r="C65" s="40"/>
      <c r="D65" s="7"/>
      <c r="E65" s="8"/>
      <c r="F65" s="9"/>
      <c r="G65" s="73"/>
      <c r="H65" s="10"/>
      <c r="I65" s="9"/>
    </row>
  </sheetData>
  <mergeCells count="4">
    <mergeCell ref="E1:F1"/>
    <mergeCell ref="G1:H1"/>
    <mergeCell ref="E2:F2"/>
    <mergeCell ref="G2:H2"/>
  </mergeCells>
  <conditionalFormatting sqref="B9:I9">
    <cfRule type="expression" dxfId="13" priority="6">
      <formula>IF($C9=#REF!,0,1)</formula>
    </cfRule>
  </conditionalFormatting>
  <conditionalFormatting sqref="B6:H8 B5:G5">
    <cfRule type="expression" dxfId="12" priority="9">
      <formula>IF(#REF!=#REF!,0,1)</formula>
    </cfRule>
  </conditionalFormatting>
  <conditionalFormatting sqref="H5">
    <cfRule type="expression" dxfId="11" priority="1">
      <formula>IF($B5=$B4,0,1)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4"/>
  <sheetViews>
    <sheetView workbookViewId="0">
      <selection activeCell="E8" sqref="E8"/>
    </sheetView>
  </sheetViews>
  <sheetFormatPr defaultRowHeight="15" x14ac:dyDescent="0.25"/>
  <cols>
    <col min="1" max="1" width="9.140625" style="5"/>
    <col min="2" max="3" width="21.5703125" style="34" bestFit="1" customWidth="1"/>
    <col min="4" max="4" width="11.140625" style="34" bestFit="1" customWidth="1"/>
    <col min="5" max="7" width="9.140625" style="2"/>
    <col min="8" max="13" width="11.85546875" customWidth="1"/>
    <col min="14" max="14" width="9.140625" style="70"/>
    <col min="15" max="17" width="9.140625" style="132"/>
    <col min="18" max="23" width="9.140625" style="132" customWidth="1"/>
    <col min="24" max="28" width="9.140625" style="132"/>
    <col min="29" max="33" width="9.140625" style="70"/>
    <col min="34" max="34" width="9.140625" style="28"/>
  </cols>
  <sheetData>
    <row r="1" spans="1:28" ht="15.75" thickBot="1" x14ac:dyDescent="0.3">
      <c r="B1" s="11"/>
      <c r="C1" s="2"/>
      <c r="D1" s="2"/>
      <c r="I1" s="155" t="s">
        <v>53</v>
      </c>
      <c r="J1" s="155"/>
      <c r="K1" s="156">
        <v>0.55000000000000004</v>
      </c>
      <c r="L1" s="156"/>
      <c r="M1" s="100" t="s">
        <v>430</v>
      </c>
      <c r="O1" s="133">
        <v>0.75</v>
      </c>
    </row>
    <row r="2" spans="1:28" ht="15.75" thickBot="1" x14ac:dyDescent="0.3">
      <c r="B2" s="4" t="s">
        <v>3</v>
      </c>
      <c r="C2" s="4" t="s">
        <v>1</v>
      </c>
      <c r="D2" s="4" t="s">
        <v>111</v>
      </c>
      <c r="H2" s="157" t="s">
        <v>44</v>
      </c>
      <c r="I2" s="158"/>
      <c r="J2" s="159" t="s">
        <v>45</v>
      </c>
      <c r="K2" s="159"/>
      <c r="L2" s="160" t="s">
        <v>46</v>
      </c>
      <c r="M2" s="161"/>
      <c r="O2" s="132" t="s">
        <v>54</v>
      </c>
      <c r="AA2" s="132" t="str">
        <f>IF(ISNUMBER(SEARCH("@",Y2)),Y3,"")</f>
        <v/>
      </c>
    </row>
    <row r="3" spans="1:28" ht="15.75" thickTop="1" x14ac:dyDescent="0.25">
      <c r="A3" s="5">
        <f>IF(ISNUMBER(CODE(B3)),1,0)</f>
        <v>1</v>
      </c>
      <c r="B3" s="4" t="str">
        <f>IFERROR(VLOOKUP(ROW()-2,$X$3:$AA$290,3,0),"")</f>
        <v>Warriors @ Grizzlies</v>
      </c>
      <c r="C3" s="4" t="str">
        <f>IFERROR(VLOOKUP(ROW()-2,$X$3:$AA$290,4,0),"")</f>
        <v>Grizzlies +10.5</v>
      </c>
      <c r="D3" s="36">
        <f>IFERROR(VLOOKUP(ROW()-2,$X$3:$AB$290,5,0),"")</f>
        <v>0.67315999999999998</v>
      </c>
      <c r="E3" s="2" t="s">
        <v>7</v>
      </c>
      <c r="H3" s="14" t="s">
        <v>1296</v>
      </c>
      <c r="I3" s="15" t="s">
        <v>1297</v>
      </c>
      <c r="J3" s="16" t="s">
        <v>47</v>
      </c>
      <c r="K3" s="16" t="s">
        <v>48</v>
      </c>
      <c r="L3" s="17" t="s">
        <v>1296</v>
      </c>
      <c r="M3" s="15" t="s">
        <v>1297</v>
      </c>
      <c r="O3" s="132" t="str">
        <f>IF(J3="under",IF(HLOOKUP("Under",J3:K5,3,0)&gt;=$K$1,I3&amp;" @ "&amp;H3,IF(HLOOKUP("Over",J3:K5,3,0)&gt;=$K$1,I3&amp;" @ "&amp;H3,"")),"")</f>
        <v/>
      </c>
      <c r="P3" s="132" t="str">
        <f>IF(J3="under",IF(HLOOKUP("Under",J3:K5,3,0)&gt;=$K$1,"Under "&amp;J4,IF(HLOOKUP("Over",J3:K5,3,0)&gt;=$K$1,"Over "&amp;J4,"")),"")</f>
        <v/>
      </c>
      <c r="Q3" s="132" t="str">
        <f t="shared" ref="Q3:Q67" si="0">IF(J3="under",IF(HLOOKUP("Under",J3:K5,3,0)&gt;=$K$1,J5,IF(HLOOKUP("Over",J3:K5,3,0)&gt;=$K$1,K5,"")),"")</f>
        <v/>
      </c>
      <c r="R3" s="132" t="str">
        <f>IF(MOD(ROW(),3)=0,IF(L5&gt;=$K$1,I3&amp;" @ "&amp;H3,IF(M5&gt;=$K$1,I3&amp;" @ "&amp;H3,"")),"")</f>
        <v>Warriors @ Grizzlies</v>
      </c>
      <c r="S3" s="132" t="str">
        <f>IF(MOD(ROW(),3)=0,IF(L5&gt;=$K$1,L3&amp;" "&amp;L4,IF(M5&gt;=$K$1,M3&amp;" "&amp;M4,"")),"")</f>
        <v>Grizzlies +10.5</v>
      </c>
      <c r="T3" s="132">
        <f>IF(MOD(ROW(),3)=0,IF(L5&gt;=$K$1,L5,IF(M5&gt;=$K$1,M5,"")),"")</f>
        <v>0.67315999999999998</v>
      </c>
      <c r="U3" s="132" t="str">
        <f>IF(MOD(ROW(),3)=0,IF(H5&gt;=$O$1,I3&amp;" @ "&amp;H3,IF(I5&gt;=$O$1,I3&amp;" @ "&amp;H3,"")),"")</f>
        <v/>
      </c>
      <c r="V3" s="132" t="str">
        <f>IF(MOD(ROW(),3)=0,IF(H5&gt;$O$1,H3&amp;" Moneyline",IF(I5&gt;=$O$1,I3&amp;" Moneyline","")),"")</f>
        <v/>
      </c>
      <c r="W3" s="132" t="str">
        <f>IF(MOD(ROW(),3)=0,IF(H5&gt;=$O$1,H5,IF(I5&gt;=$O$1,I5,"")),"")</f>
        <v/>
      </c>
      <c r="X3" s="132">
        <f>IF(ISNUMBER(CODE(Z3)),X2+1,X2)</f>
        <v>0</v>
      </c>
      <c r="Y3" s="132" t="str">
        <f>INDEX($O$3:$W$50,1+INT((ROW(A1)-1)/COLUMNS($O$3:$W$50)),MOD(ROW(A1)-1+COLUMNS($O$3:$W$50),COLUMNS($O$3:$W$50))+1)</f>
        <v/>
      </c>
      <c r="Z3" s="132" t="str">
        <f>IF(ISNUMBER(SEARCH("@",Y3)),Y3,"")</f>
        <v/>
      </c>
      <c r="AA3" s="132" t="str">
        <f>IF(ISNUMBER(SEARCH("@",Y3)),Y4,"")</f>
        <v/>
      </c>
      <c r="AB3" s="132" t="str">
        <f>IF(ISNUMBER(SEARCH("@",Y3)),Y5,"")</f>
        <v/>
      </c>
    </row>
    <row r="4" spans="1:28" x14ac:dyDescent="0.25">
      <c r="A4" s="5">
        <f t="shared" ref="A4:A67" si="1">IF(ISNUMBER(CODE(B4)),1,0)</f>
        <v>1</v>
      </c>
      <c r="B4" s="4" t="str">
        <f t="shared" ref="B4:B67" si="2">IFERROR(VLOOKUP(ROW()-2,$X$3:$AA$290,3,0),"")</f>
        <v>Pacers @ Thunder</v>
      </c>
      <c r="C4" s="4" t="str">
        <f t="shared" ref="C4:C67" si="3">IFERROR(VLOOKUP(ROW()-2,$X$3:$AA$290,4,0),"")</f>
        <v>Over 217</v>
      </c>
      <c r="D4" s="36">
        <f t="shared" ref="D4:D67" si="4">IFERROR(VLOOKUP(ROW()-2,$X$3:$AB$290,5,0),"")</f>
        <v>0.58003000000000005</v>
      </c>
      <c r="E4" s="2" t="s">
        <v>7</v>
      </c>
      <c r="H4" s="18" t="s">
        <v>50</v>
      </c>
      <c r="I4" s="19" t="s">
        <v>49</v>
      </c>
      <c r="J4" s="20">
        <v>219</v>
      </c>
      <c r="K4" s="20">
        <v>219</v>
      </c>
      <c r="L4" s="21" t="s">
        <v>1298</v>
      </c>
      <c r="M4" s="22">
        <v>-10.5</v>
      </c>
      <c r="O4" s="132" t="str">
        <f t="shared" ref="O4:O50" si="5">IF(J4="under",IF(HLOOKUP("Under",J4:K6,3,0)&gt;=$K$1,I4&amp;" @ "&amp;H4,IF(HLOOKUP("Over",J4:K6,3,0)&gt;=$K$1,I4&amp;" @ "&amp;H4,"")),"")</f>
        <v/>
      </c>
      <c r="P4" s="132" t="str">
        <f t="shared" ref="P4:P67" si="6">IF(J4="under",IF(HLOOKUP("Under",J4:K6,3,0)&gt;=$K$1,"Under "&amp;J5,IF(HLOOKUP("Over",J4:K6,3,0)&gt;=$K$1,"Over "&amp;J5,"")),"")</f>
        <v/>
      </c>
      <c r="Q4" s="132" t="str">
        <f t="shared" si="0"/>
        <v/>
      </c>
      <c r="R4" s="132" t="str">
        <f t="shared" ref="R4:R67" si="7">IF(MOD(ROW(),3)=0,IF(L6&gt;=$K$1,I4&amp;" @ "&amp;H4,IF(M6&gt;=$K$1,I4&amp;" @ "&amp;H4,"")),"")</f>
        <v/>
      </c>
      <c r="S4" s="132" t="str">
        <f t="shared" ref="S4:S50" si="8">IF(MOD(ROW(),3)=0,IF(L6&gt;=$K$1,L4&amp;" "&amp;L5,IF(M6&gt;=$K$1,M4&amp;" "&amp;M5,"")),"")</f>
        <v/>
      </c>
      <c r="T4" s="132" t="str">
        <f t="shared" ref="T4:T67" si="9">IF(MOD(ROW(),3)=0,IF(L6&gt;=$K$1,L6,IF(M6&gt;=$K$1,M6,"")),"")</f>
        <v/>
      </c>
      <c r="U4" s="132" t="str">
        <f>IF(MOD(ROW(),3)=0,IF(H6&gt;=$O$1,I4&amp;" @ "&amp;H4,IF(I6&gt;=$O$1,I4&amp;" @ "&amp;H4,"")),"")</f>
        <v/>
      </c>
      <c r="V4" s="132" t="str">
        <f t="shared" ref="V4:V67" si="10">IF(MOD(ROW(),3)=0,IF(H6&gt;$O$1,H4&amp;" Moneyline",IF(I6&gt;=$O$1,I4&amp;" Moneyline","")),"")</f>
        <v/>
      </c>
      <c r="W4" s="132" t="str">
        <f t="shared" ref="W4:W67" si="11">IF(MOD(ROW(),3)=0,IF(H6&gt;=$O$1,H6,IF(I6&gt;=$O$1,I6,"")),"")</f>
        <v/>
      </c>
      <c r="X4" s="132">
        <f t="shared" ref="X4:X67" si="12">IF(ISNUMBER(CODE(Z4)),X3+1,X3)</f>
        <v>0</v>
      </c>
      <c r="Y4" s="132" t="str">
        <f t="shared" ref="Y4:Y67" si="13">INDEX($O$3:$W$50,1+INT((ROW(A2)-1)/COLUMNS($O$3:$W$50)),MOD(ROW(A2)-1+COLUMNS($O$3:$W$50),COLUMNS($O$3:$W$50))+1)</f>
        <v/>
      </c>
      <c r="Z4" s="132" t="str">
        <f t="shared" ref="Z4:Z67" si="14">IF(ISNUMBER(SEARCH("@",Y4)),Y4,"")</f>
        <v/>
      </c>
      <c r="AA4" s="132" t="str">
        <f t="shared" ref="AA4:AA67" si="15">IF(ISNUMBER(SEARCH("@",Y4)),Y5,"")</f>
        <v/>
      </c>
      <c r="AB4" s="132" t="str">
        <f t="shared" ref="AB4:AB67" si="16">IF(ISNUMBER(SEARCH("@",Y4)),Y6,"")</f>
        <v/>
      </c>
    </row>
    <row r="5" spans="1:28" ht="15.75" thickBot="1" x14ac:dyDescent="0.3">
      <c r="A5" s="5">
        <f t="shared" si="1"/>
        <v>1</v>
      </c>
      <c r="B5" s="4" t="str">
        <f t="shared" si="2"/>
        <v>Pacers @ Thunder</v>
      </c>
      <c r="C5" s="4" t="str">
        <f t="shared" si="3"/>
        <v>Pacers +6.5</v>
      </c>
      <c r="D5" s="36">
        <f t="shared" si="4"/>
        <v>0.68718999999999997</v>
      </c>
      <c r="E5" s="2" t="s">
        <v>7</v>
      </c>
      <c r="H5" s="23">
        <v>0.46326000000000001</v>
      </c>
      <c r="I5" s="24">
        <v>0.53673999999999999</v>
      </c>
      <c r="J5" s="25">
        <v>0.53217000000000003</v>
      </c>
      <c r="K5" s="25">
        <v>0.46783000000000002</v>
      </c>
      <c r="L5" s="26">
        <v>0.67315999999999998</v>
      </c>
      <c r="M5" s="27">
        <v>0.32684000000000002</v>
      </c>
      <c r="O5" s="132" t="str">
        <f t="shared" si="5"/>
        <v/>
      </c>
      <c r="P5" s="132" t="str">
        <f t="shared" si="6"/>
        <v/>
      </c>
      <c r="Q5" s="132" t="str">
        <f t="shared" si="0"/>
        <v/>
      </c>
      <c r="R5" s="132" t="str">
        <f t="shared" si="7"/>
        <v/>
      </c>
      <c r="S5" s="132" t="str">
        <f t="shared" si="8"/>
        <v/>
      </c>
      <c r="T5" s="132" t="str">
        <f t="shared" si="9"/>
        <v/>
      </c>
      <c r="U5" s="132" t="str">
        <f t="shared" ref="U5:U68" si="17">IF(MOD(ROW(),3)=0,IF(H7&gt;=$O$1,I5&amp;" @ "&amp;H5,IF(I7&gt;=$O$1,I5&amp;" @ "&amp;H5,"")),"")</f>
        <v/>
      </c>
      <c r="V5" s="132" t="str">
        <f t="shared" si="10"/>
        <v/>
      </c>
      <c r="W5" s="132" t="str">
        <f t="shared" si="11"/>
        <v/>
      </c>
      <c r="X5" s="132">
        <f t="shared" si="12"/>
        <v>0</v>
      </c>
      <c r="Y5" s="132" t="str">
        <f t="shared" si="13"/>
        <v/>
      </c>
      <c r="Z5" s="132" t="str">
        <f t="shared" si="14"/>
        <v/>
      </c>
      <c r="AA5" s="132" t="str">
        <f t="shared" si="15"/>
        <v/>
      </c>
      <c r="AB5" s="132" t="str">
        <f t="shared" si="16"/>
        <v/>
      </c>
    </row>
    <row r="6" spans="1:28" x14ac:dyDescent="0.25">
      <c r="A6" s="5">
        <f t="shared" si="1"/>
        <v>1</v>
      </c>
      <c r="B6" s="4" t="str">
        <f t="shared" si="2"/>
        <v>Trailblazers @ Bulls</v>
      </c>
      <c r="C6" s="4" t="str">
        <f t="shared" si="3"/>
        <v>Over 214</v>
      </c>
      <c r="D6" s="36">
        <f t="shared" si="4"/>
        <v>0.66734000000000004</v>
      </c>
      <c r="E6" s="2" t="s">
        <v>37</v>
      </c>
      <c r="H6" s="14" t="s">
        <v>1299</v>
      </c>
      <c r="I6" s="15" t="s">
        <v>1300</v>
      </c>
      <c r="J6" s="16" t="s">
        <v>47</v>
      </c>
      <c r="K6" s="16" t="s">
        <v>48</v>
      </c>
      <c r="L6" s="17" t="s">
        <v>1299</v>
      </c>
      <c r="M6" s="15" t="s">
        <v>1300</v>
      </c>
      <c r="O6" s="132" t="str">
        <f t="shared" si="5"/>
        <v>Pacers @ Thunder</v>
      </c>
      <c r="P6" s="132" t="str">
        <f t="shared" si="6"/>
        <v>Over 217</v>
      </c>
      <c r="Q6" s="132">
        <f t="shared" si="0"/>
        <v>0.58003000000000005</v>
      </c>
      <c r="R6" s="132" t="str">
        <f t="shared" si="7"/>
        <v>Pacers @ Thunder</v>
      </c>
      <c r="S6" s="132" t="str">
        <f t="shared" si="8"/>
        <v>Pacers +6.5</v>
      </c>
      <c r="T6" s="132">
        <f t="shared" si="9"/>
        <v>0.68718999999999997</v>
      </c>
      <c r="U6" s="132" t="str">
        <f t="shared" si="17"/>
        <v/>
      </c>
      <c r="V6" s="132" t="str">
        <f t="shared" si="10"/>
        <v/>
      </c>
      <c r="W6" s="132" t="str">
        <f t="shared" si="11"/>
        <v/>
      </c>
      <c r="X6" s="132">
        <f t="shared" si="12"/>
        <v>1</v>
      </c>
      <c r="Y6" s="132" t="str">
        <f t="shared" si="13"/>
        <v>Warriors @ Grizzlies</v>
      </c>
      <c r="Z6" s="132" t="str">
        <f t="shared" si="14"/>
        <v>Warriors @ Grizzlies</v>
      </c>
      <c r="AA6" s="132" t="str">
        <f t="shared" si="15"/>
        <v>Grizzlies +10.5</v>
      </c>
      <c r="AB6" s="132">
        <f t="shared" si="16"/>
        <v>0.67315999999999998</v>
      </c>
    </row>
    <row r="7" spans="1:28" x14ac:dyDescent="0.25">
      <c r="A7" s="5">
        <f t="shared" si="1"/>
        <v>1</v>
      </c>
      <c r="B7" s="4" t="str">
        <f t="shared" si="2"/>
        <v>Trailblazers @ Bulls</v>
      </c>
      <c r="C7" s="4" t="str">
        <f t="shared" si="3"/>
        <v>Bulls +9</v>
      </c>
      <c r="D7" s="36">
        <f t="shared" si="4"/>
        <v>0.57238</v>
      </c>
      <c r="E7" s="2" t="s">
        <v>7</v>
      </c>
      <c r="H7" s="18" t="s">
        <v>49</v>
      </c>
      <c r="I7" s="19" t="s">
        <v>50</v>
      </c>
      <c r="J7" s="20">
        <v>217</v>
      </c>
      <c r="K7" s="20">
        <v>217</v>
      </c>
      <c r="L7" s="21">
        <v>-6.5</v>
      </c>
      <c r="M7" s="22" t="s">
        <v>1301</v>
      </c>
      <c r="O7" s="132" t="str">
        <f t="shared" si="5"/>
        <v/>
      </c>
      <c r="P7" s="132" t="str">
        <f t="shared" si="6"/>
        <v/>
      </c>
      <c r="Q7" s="132" t="str">
        <f t="shared" si="0"/>
        <v/>
      </c>
      <c r="R7" s="132" t="str">
        <f t="shared" si="7"/>
        <v/>
      </c>
      <c r="S7" s="132" t="str">
        <f t="shared" si="8"/>
        <v/>
      </c>
      <c r="T7" s="132" t="str">
        <f t="shared" si="9"/>
        <v/>
      </c>
      <c r="U7" s="132" t="str">
        <f t="shared" si="17"/>
        <v/>
      </c>
      <c r="V7" s="132" t="str">
        <f t="shared" si="10"/>
        <v/>
      </c>
      <c r="W7" s="132" t="str">
        <f t="shared" si="11"/>
        <v/>
      </c>
      <c r="X7" s="132">
        <f t="shared" si="12"/>
        <v>1</v>
      </c>
      <c r="Y7" s="132" t="str">
        <f t="shared" si="13"/>
        <v>Grizzlies +10.5</v>
      </c>
      <c r="Z7" s="132" t="str">
        <f t="shared" si="14"/>
        <v/>
      </c>
      <c r="AA7" s="132" t="str">
        <f t="shared" si="15"/>
        <v/>
      </c>
      <c r="AB7" s="132" t="str">
        <f t="shared" si="16"/>
        <v/>
      </c>
    </row>
    <row r="8" spans="1:28" ht="15.75" thickBot="1" x14ac:dyDescent="0.3">
      <c r="A8" s="5">
        <f t="shared" si="1"/>
        <v>1</v>
      </c>
      <c r="B8" s="4" t="str">
        <f t="shared" si="2"/>
        <v>Wizards @ Jazz</v>
      </c>
      <c r="C8" s="4" t="str">
        <f t="shared" si="3"/>
        <v>Over 217</v>
      </c>
      <c r="D8" s="36">
        <f t="shared" si="4"/>
        <v>0.59909999999999997</v>
      </c>
      <c r="H8" s="23">
        <v>0.46400000000000002</v>
      </c>
      <c r="I8" s="24">
        <v>0.53600000000000003</v>
      </c>
      <c r="J8" s="25">
        <v>0.41997000000000001</v>
      </c>
      <c r="K8" s="25">
        <v>0.58003000000000005</v>
      </c>
      <c r="L8" s="26">
        <v>0.31280999999999998</v>
      </c>
      <c r="M8" s="27">
        <v>0.68718999999999997</v>
      </c>
      <c r="O8" s="132" t="str">
        <f t="shared" si="5"/>
        <v/>
      </c>
      <c r="P8" s="132" t="str">
        <f t="shared" si="6"/>
        <v/>
      </c>
      <c r="Q8" s="132" t="str">
        <f t="shared" si="0"/>
        <v/>
      </c>
      <c r="R8" s="132" t="str">
        <f t="shared" si="7"/>
        <v/>
      </c>
      <c r="S8" s="132" t="str">
        <f t="shared" si="8"/>
        <v/>
      </c>
      <c r="T8" s="132" t="str">
        <f t="shared" si="9"/>
        <v/>
      </c>
      <c r="U8" s="132" t="str">
        <f t="shared" si="17"/>
        <v/>
      </c>
      <c r="V8" s="132" t="str">
        <f t="shared" si="10"/>
        <v/>
      </c>
      <c r="W8" s="132" t="str">
        <f t="shared" si="11"/>
        <v/>
      </c>
      <c r="X8" s="132">
        <f t="shared" si="12"/>
        <v>1</v>
      </c>
      <c r="Y8" s="132">
        <f t="shared" si="13"/>
        <v>0.67315999999999998</v>
      </c>
      <c r="Z8" s="132" t="str">
        <f t="shared" si="14"/>
        <v/>
      </c>
      <c r="AA8" s="132" t="str">
        <f t="shared" si="15"/>
        <v/>
      </c>
      <c r="AB8" s="132" t="str">
        <f t="shared" si="16"/>
        <v/>
      </c>
    </row>
    <row r="9" spans="1:28" x14ac:dyDescent="0.25">
      <c r="A9" s="5">
        <f t="shared" si="1"/>
        <v>1</v>
      </c>
      <c r="B9" s="4" t="str">
        <f t="shared" si="2"/>
        <v>Wizards @ Jazz</v>
      </c>
      <c r="C9" s="4" t="str">
        <f t="shared" si="3"/>
        <v>Jazz Moneyline</v>
      </c>
      <c r="D9" s="36">
        <f t="shared" si="4"/>
        <v>0.77939000000000003</v>
      </c>
      <c r="H9" s="14" t="s">
        <v>1266</v>
      </c>
      <c r="I9" s="15" t="s">
        <v>1302</v>
      </c>
      <c r="J9" s="16" t="s">
        <v>47</v>
      </c>
      <c r="K9" s="16" t="s">
        <v>48</v>
      </c>
      <c r="L9" s="17" t="s">
        <v>1266</v>
      </c>
      <c r="M9" s="15" t="s">
        <v>1302</v>
      </c>
      <c r="O9" s="132" t="str">
        <f t="shared" si="5"/>
        <v>Trailblazers @ Bulls</v>
      </c>
      <c r="P9" s="132" t="str">
        <f t="shared" si="6"/>
        <v>Over 214</v>
      </c>
      <c r="Q9" s="132">
        <f t="shared" si="0"/>
        <v>0.66734000000000004</v>
      </c>
      <c r="R9" s="132" t="str">
        <f t="shared" si="7"/>
        <v>Trailblazers @ Bulls</v>
      </c>
      <c r="S9" s="132" t="str">
        <f t="shared" si="8"/>
        <v>Bulls +9</v>
      </c>
      <c r="T9" s="132">
        <f t="shared" si="9"/>
        <v>0.57238</v>
      </c>
      <c r="U9" s="132" t="str">
        <f t="shared" si="17"/>
        <v/>
      </c>
      <c r="V9" s="132" t="str">
        <f t="shared" si="10"/>
        <v/>
      </c>
      <c r="W9" s="132" t="str">
        <f t="shared" si="11"/>
        <v/>
      </c>
      <c r="X9" s="132">
        <f t="shared" si="12"/>
        <v>1</v>
      </c>
      <c r="Y9" s="132" t="str">
        <f t="shared" si="13"/>
        <v/>
      </c>
      <c r="Z9" s="132" t="str">
        <f t="shared" si="14"/>
        <v/>
      </c>
      <c r="AA9" s="132" t="str">
        <f t="shared" si="15"/>
        <v/>
      </c>
      <c r="AB9" s="132" t="str">
        <f t="shared" si="16"/>
        <v/>
      </c>
    </row>
    <row r="10" spans="1:28" x14ac:dyDescent="0.25">
      <c r="A10" s="5">
        <f t="shared" si="1"/>
        <v>1</v>
      </c>
      <c r="B10" s="4" t="str">
        <f t="shared" si="2"/>
        <v>Magic @ Pistons</v>
      </c>
      <c r="C10" s="4" t="str">
        <f t="shared" si="3"/>
        <v>Over 206</v>
      </c>
      <c r="D10" s="36">
        <f t="shared" si="4"/>
        <v>0.56850000000000001</v>
      </c>
      <c r="H10" s="18" t="s">
        <v>50</v>
      </c>
      <c r="I10" s="19" t="s">
        <v>49</v>
      </c>
      <c r="J10" s="20">
        <v>214</v>
      </c>
      <c r="K10" s="20">
        <v>214</v>
      </c>
      <c r="L10" s="21" t="s">
        <v>1303</v>
      </c>
      <c r="M10" s="22">
        <v>-9</v>
      </c>
      <c r="O10" s="132" t="str">
        <f t="shared" si="5"/>
        <v/>
      </c>
      <c r="P10" s="132" t="str">
        <f t="shared" si="6"/>
        <v/>
      </c>
      <c r="Q10" s="132" t="str">
        <f t="shared" si="0"/>
        <v/>
      </c>
      <c r="R10" s="132" t="str">
        <f t="shared" si="7"/>
        <v/>
      </c>
      <c r="S10" s="132" t="str">
        <f t="shared" si="8"/>
        <v/>
      </c>
      <c r="T10" s="132" t="str">
        <f t="shared" si="9"/>
        <v/>
      </c>
      <c r="U10" s="132" t="str">
        <f t="shared" si="17"/>
        <v/>
      </c>
      <c r="V10" s="132" t="str">
        <f t="shared" si="10"/>
        <v/>
      </c>
      <c r="W10" s="132" t="str">
        <f t="shared" si="11"/>
        <v/>
      </c>
      <c r="X10" s="132">
        <f t="shared" si="12"/>
        <v>1</v>
      </c>
      <c r="Y10" s="132" t="str">
        <f t="shared" si="13"/>
        <v/>
      </c>
      <c r="Z10" s="132" t="str">
        <f t="shared" si="14"/>
        <v/>
      </c>
      <c r="AA10" s="132" t="str">
        <f t="shared" si="15"/>
        <v/>
      </c>
      <c r="AB10" s="132" t="str">
        <f t="shared" si="16"/>
        <v/>
      </c>
    </row>
    <row r="11" spans="1:28" ht="15.75" thickBot="1" x14ac:dyDescent="0.3">
      <c r="A11" s="5">
        <f t="shared" si="1"/>
        <v>1</v>
      </c>
      <c r="B11" s="4" t="str">
        <f t="shared" si="2"/>
        <v>Magic @ Pistons</v>
      </c>
      <c r="C11" s="4" t="str">
        <f t="shared" si="3"/>
        <v>Magic +3.5</v>
      </c>
      <c r="D11" s="36">
        <f t="shared" si="4"/>
        <v>0.58015000000000005</v>
      </c>
      <c r="H11" s="23">
        <v>0.34354000000000001</v>
      </c>
      <c r="I11" s="24">
        <v>0.65646000000000004</v>
      </c>
      <c r="J11" s="25">
        <v>0.33266000000000001</v>
      </c>
      <c r="K11" s="25">
        <v>0.66734000000000004</v>
      </c>
      <c r="L11" s="26">
        <v>0.57238</v>
      </c>
      <c r="M11" s="27">
        <v>0.42762</v>
      </c>
      <c r="O11" s="132" t="str">
        <f t="shared" si="5"/>
        <v/>
      </c>
      <c r="P11" s="132" t="str">
        <f t="shared" si="6"/>
        <v/>
      </c>
      <c r="Q11" s="132" t="str">
        <f t="shared" si="0"/>
        <v/>
      </c>
      <c r="R11" s="132" t="str">
        <f t="shared" si="7"/>
        <v/>
      </c>
      <c r="S11" s="132" t="str">
        <f t="shared" si="8"/>
        <v/>
      </c>
      <c r="T11" s="132" t="str">
        <f t="shared" si="9"/>
        <v/>
      </c>
      <c r="U11" s="132" t="str">
        <f t="shared" si="17"/>
        <v/>
      </c>
      <c r="V11" s="132" t="str">
        <f t="shared" si="10"/>
        <v/>
      </c>
      <c r="W11" s="132" t="str">
        <f t="shared" si="11"/>
        <v/>
      </c>
      <c r="X11" s="132">
        <f t="shared" si="12"/>
        <v>1</v>
      </c>
      <c r="Y11" s="132" t="str">
        <f t="shared" si="13"/>
        <v/>
      </c>
      <c r="Z11" s="132" t="str">
        <f t="shared" si="14"/>
        <v/>
      </c>
      <c r="AA11" s="132" t="str">
        <f t="shared" si="15"/>
        <v/>
      </c>
      <c r="AB11" s="132" t="str">
        <f t="shared" si="16"/>
        <v/>
      </c>
    </row>
    <row r="12" spans="1:28" x14ac:dyDescent="0.25">
      <c r="A12" s="5">
        <f t="shared" si="1"/>
        <v>1</v>
      </c>
      <c r="B12" s="4" t="str">
        <f t="shared" si="2"/>
        <v>Mavericks @ Heat</v>
      </c>
      <c r="C12" s="4" t="str">
        <f t="shared" si="3"/>
        <v>Over 209</v>
      </c>
      <c r="D12" s="36">
        <f t="shared" si="4"/>
        <v>0.71611999999999998</v>
      </c>
      <c r="H12" s="14" t="s">
        <v>1304</v>
      </c>
      <c r="I12" s="15" t="s">
        <v>1276</v>
      </c>
      <c r="J12" s="16" t="s">
        <v>47</v>
      </c>
      <c r="K12" s="16" t="s">
        <v>48</v>
      </c>
      <c r="L12" s="17" t="s">
        <v>1304</v>
      </c>
      <c r="M12" s="15" t="s">
        <v>1276</v>
      </c>
      <c r="O12" s="132" t="str">
        <f t="shared" si="5"/>
        <v>Wizards @ Jazz</v>
      </c>
      <c r="P12" s="132" t="str">
        <f t="shared" si="6"/>
        <v>Over 217</v>
      </c>
      <c r="Q12" s="132">
        <f t="shared" si="0"/>
        <v>0.59909999999999997</v>
      </c>
      <c r="R12" s="132" t="str">
        <f t="shared" si="7"/>
        <v/>
      </c>
      <c r="S12" s="132" t="str">
        <f t="shared" si="8"/>
        <v/>
      </c>
      <c r="T12" s="132" t="str">
        <f t="shared" si="9"/>
        <v/>
      </c>
      <c r="U12" s="132" t="str">
        <f t="shared" si="17"/>
        <v>Wizards @ Jazz</v>
      </c>
      <c r="V12" s="132" t="str">
        <f t="shared" si="10"/>
        <v>Jazz Moneyline</v>
      </c>
      <c r="W12" s="132">
        <f t="shared" si="11"/>
        <v>0.77939000000000003</v>
      </c>
      <c r="X12" s="132">
        <f t="shared" si="12"/>
        <v>1</v>
      </c>
      <c r="Y12" s="132" t="str">
        <f t="shared" si="13"/>
        <v/>
      </c>
      <c r="Z12" s="132" t="str">
        <f t="shared" si="14"/>
        <v/>
      </c>
      <c r="AA12" s="132" t="str">
        <f t="shared" si="15"/>
        <v/>
      </c>
      <c r="AB12" s="132" t="str">
        <f t="shared" si="16"/>
        <v/>
      </c>
    </row>
    <row r="13" spans="1:28" x14ac:dyDescent="0.25">
      <c r="A13" s="5">
        <f t="shared" si="1"/>
        <v>1</v>
      </c>
      <c r="B13" s="4" t="str">
        <f t="shared" si="2"/>
        <v>Raptors @ Knicks</v>
      </c>
      <c r="C13" s="4" t="str">
        <f t="shared" si="3"/>
        <v>Over 217</v>
      </c>
      <c r="D13" s="36">
        <f t="shared" si="4"/>
        <v>0.57991000000000004</v>
      </c>
      <c r="H13" s="18" t="s">
        <v>49</v>
      </c>
      <c r="I13" s="19" t="s">
        <v>50</v>
      </c>
      <c r="J13" s="20">
        <v>217</v>
      </c>
      <c r="K13" s="20">
        <v>217</v>
      </c>
      <c r="L13" s="21">
        <v>-16</v>
      </c>
      <c r="M13" s="22" t="s">
        <v>1305</v>
      </c>
      <c r="O13" s="132" t="str">
        <f t="shared" si="5"/>
        <v/>
      </c>
      <c r="P13" s="132" t="str">
        <f t="shared" si="6"/>
        <v/>
      </c>
      <c r="Q13" s="132" t="str">
        <f t="shared" si="0"/>
        <v/>
      </c>
      <c r="R13" s="132" t="str">
        <f t="shared" si="7"/>
        <v/>
      </c>
      <c r="S13" s="132" t="str">
        <f t="shared" si="8"/>
        <v/>
      </c>
      <c r="T13" s="132" t="str">
        <f t="shared" si="9"/>
        <v/>
      </c>
      <c r="U13" s="132" t="str">
        <f t="shared" si="17"/>
        <v/>
      </c>
      <c r="V13" s="132" t="str">
        <f t="shared" si="10"/>
        <v/>
      </c>
      <c r="W13" s="132" t="str">
        <f t="shared" si="11"/>
        <v/>
      </c>
      <c r="X13" s="132">
        <f t="shared" si="12"/>
        <v>1</v>
      </c>
      <c r="Y13" s="132" t="str">
        <f t="shared" si="13"/>
        <v/>
      </c>
      <c r="Z13" s="132" t="str">
        <f t="shared" si="14"/>
        <v/>
      </c>
      <c r="AA13" s="132" t="str">
        <f t="shared" si="15"/>
        <v/>
      </c>
      <c r="AB13" s="132" t="str">
        <f t="shared" si="16"/>
        <v/>
      </c>
    </row>
    <row r="14" spans="1:28" ht="15.75" thickBot="1" x14ac:dyDescent="0.3">
      <c r="A14" s="5">
        <f t="shared" si="1"/>
        <v>1</v>
      </c>
      <c r="B14" s="4" t="str">
        <f t="shared" si="2"/>
        <v>Raptors @ Knicks</v>
      </c>
      <c r="C14" s="4" t="str">
        <f t="shared" si="3"/>
        <v>Knicks +12</v>
      </c>
      <c r="D14" s="36">
        <f t="shared" si="4"/>
        <v>0.66617000000000004</v>
      </c>
      <c r="H14" s="23">
        <v>0.77939000000000003</v>
      </c>
      <c r="I14" s="24">
        <v>0.22061</v>
      </c>
      <c r="J14" s="25">
        <v>0.40089999999999998</v>
      </c>
      <c r="K14" s="25">
        <v>0.59909999999999997</v>
      </c>
      <c r="L14" s="26">
        <v>0.47112999999999999</v>
      </c>
      <c r="M14" s="27">
        <v>0.52886999999999995</v>
      </c>
      <c r="O14" s="132" t="str">
        <f t="shared" si="5"/>
        <v/>
      </c>
      <c r="P14" s="132" t="str">
        <f t="shared" si="6"/>
        <v/>
      </c>
      <c r="Q14" s="132" t="str">
        <f t="shared" si="0"/>
        <v/>
      </c>
      <c r="R14" s="132" t="str">
        <f t="shared" si="7"/>
        <v/>
      </c>
      <c r="S14" s="132" t="str">
        <f t="shared" si="8"/>
        <v/>
      </c>
      <c r="T14" s="132" t="str">
        <f t="shared" si="9"/>
        <v/>
      </c>
      <c r="U14" s="132" t="str">
        <f t="shared" si="17"/>
        <v/>
      </c>
      <c r="V14" s="132" t="str">
        <f t="shared" si="10"/>
        <v/>
      </c>
      <c r="W14" s="132" t="str">
        <f t="shared" si="11"/>
        <v/>
      </c>
      <c r="X14" s="132">
        <f t="shared" si="12"/>
        <v>1</v>
      </c>
      <c r="Y14" s="132" t="str">
        <f t="shared" si="13"/>
        <v/>
      </c>
      <c r="Z14" s="132" t="str">
        <f t="shared" si="14"/>
        <v/>
      </c>
      <c r="AA14" s="132" t="str">
        <f t="shared" si="15"/>
        <v/>
      </c>
      <c r="AB14" s="132" t="str">
        <f t="shared" si="16"/>
        <v/>
      </c>
    </row>
    <row r="15" spans="1:28" x14ac:dyDescent="0.25">
      <c r="A15" s="5">
        <f t="shared" si="1"/>
        <v>1</v>
      </c>
      <c r="B15" s="4" t="str">
        <f t="shared" si="2"/>
        <v>Nuggets @ Rockets</v>
      </c>
      <c r="C15" s="4" t="str">
        <f t="shared" si="3"/>
        <v>Over 218</v>
      </c>
      <c r="D15" s="36">
        <f t="shared" si="4"/>
        <v>0.58638000000000001</v>
      </c>
      <c r="H15" s="14" t="s">
        <v>1274</v>
      </c>
      <c r="I15" s="15" t="s">
        <v>1255</v>
      </c>
      <c r="J15" s="16" t="s">
        <v>47</v>
      </c>
      <c r="K15" s="16" t="s">
        <v>48</v>
      </c>
      <c r="L15" s="17" t="s">
        <v>1274</v>
      </c>
      <c r="M15" s="15" t="s">
        <v>1255</v>
      </c>
      <c r="O15" s="132" t="str">
        <f t="shared" si="5"/>
        <v>Magic @ Pistons</v>
      </c>
      <c r="P15" s="132" t="str">
        <f t="shared" si="6"/>
        <v>Over 206</v>
      </c>
      <c r="Q15" s="132">
        <f t="shared" si="0"/>
        <v>0.56850000000000001</v>
      </c>
      <c r="R15" s="132" t="str">
        <f t="shared" si="7"/>
        <v>Magic @ Pistons</v>
      </c>
      <c r="S15" s="132" t="str">
        <f t="shared" si="8"/>
        <v>Magic +3.5</v>
      </c>
      <c r="T15" s="132">
        <f t="shared" si="9"/>
        <v>0.58015000000000005</v>
      </c>
      <c r="U15" s="132" t="str">
        <f t="shared" si="17"/>
        <v/>
      </c>
      <c r="V15" s="132" t="str">
        <f t="shared" si="10"/>
        <v/>
      </c>
      <c r="W15" s="132" t="str">
        <f t="shared" si="11"/>
        <v/>
      </c>
      <c r="X15" s="132">
        <f t="shared" si="12"/>
        <v>1</v>
      </c>
      <c r="Y15" s="132" t="str">
        <f t="shared" si="13"/>
        <v/>
      </c>
      <c r="Z15" s="132" t="str">
        <f t="shared" si="14"/>
        <v/>
      </c>
      <c r="AA15" s="132" t="str">
        <f t="shared" si="15"/>
        <v/>
      </c>
      <c r="AB15" s="132" t="str">
        <f t="shared" si="16"/>
        <v/>
      </c>
    </row>
    <row r="16" spans="1:28" x14ac:dyDescent="0.25">
      <c r="A16" s="5">
        <f t="shared" si="1"/>
        <v>1</v>
      </c>
      <c r="B16" s="4" t="str">
        <f t="shared" si="2"/>
        <v>Nuggets @ Rockets</v>
      </c>
      <c r="C16" s="4" t="str">
        <f t="shared" si="3"/>
        <v>Nuggets +5</v>
      </c>
      <c r="D16" s="36">
        <f t="shared" si="4"/>
        <v>0.63482000000000005</v>
      </c>
      <c r="H16" s="18" t="s">
        <v>49</v>
      </c>
      <c r="I16" s="19" t="s">
        <v>50</v>
      </c>
      <c r="J16" s="20">
        <v>206</v>
      </c>
      <c r="K16" s="20">
        <v>206</v>
      </c>
      <c r="L16" s="21">
        <v>-3.5</v>
      </c>
      <c r="M16" s="22" t="s">
        <v>1270</v>
      </c>
      <c r="O16" s="132" t="str">
        <f t="shared" si="5"/>
        <v/>
      </c>
      <c r="P16" s="132" t="str">
        <f t="shared" si="6"/>
        <v/>
      </c>
      <c r="Q16" s="132" t="str">
        <f t="shared" si="0"/>
        <v/>
      </c>
      <c r="R16" s="132" t="str">
        <f t="shared" si="7"/>
        <v/>
      </c>
      <c r="S16" s="132" t="str">
        <f t="shared" si="8"/>
        <v/>
      </c>
      <c r="T16" s="132" t="str">
        <f t="shared" si="9"/>
        <v/>
      </c>
      <c r="U16" s="132" t="str">
        <f t="shared" si="17"/>
        <v/>
      </c>
      <c r="V16" s="132" t="str">
        <f t="shared" si="10"/>
        <v/>
      </c>
      <c r="W16" s="132" t="str">
        <f t="shared" si="11"/>
        <v/>
      </c>
      <c r="X16" s="132">
        <f t="shared" si="12"/>
        <v>1</v>
      </c>
      <c r="Y16" s="132" t="str">
        <f t="shared" si="13"/>
        <v/>
      </c>
      <c r="Z16" s="132" t="str">
        <f t="shared" si="14"/>
        <v/>
      </c>
      <c r="AA16" s="132" t="str">
        <f t="shared" si="15"/>
        <v/>
      </c>
      <c r="AB16" s="132" t="str">
        <f t="shared" si="16"/>
        <v/>
      </c>
    </row>
    <row r="17" spans="1:28" ht="15.75" thickBot="1" x14ac:dyDescent="0.3">
      <c r="A17" s="5">
        <f t="shared" si="1"/>
        <v>1</v>
      </c>
      <c r="B17" s="4" t="str">
        <f t="shared" si="2"/>
        <v>Clippers @ Bucks</v>
      </c>
      <c r="C17" s="4" t="str">
        <f t="shared" si="3"/>
        <v>Under 232</v>
      </c>
      <c r="D17" s="36">
        <f t="shared" si="4"/>
        <v>0.69857999999999998</v>
      </c>
      <c r="H17" s="23">
        <v>0.51232</v>
      </c>
      <c r="I17" s="24">
        <v>0.48768</v>
      </c>
      <c r="J17" s="25">
        <v>0.43149999999999999</v>
      </c>
      <c r="K17" s="25">
        <v>0.56850000000000001</v>
      </c>
      <c r="L17" s="26">
        <v>0.41985</v>
      </c>
      <c r="M17" s="27">
        <v>0.58015000000000005</v>
      </c>
      <c r="O17" s="132" t="str">
        <f t="shared" si="5"/>
        <v/>
      </c>
      <c r="P17" s="132" t="str">
        <f t="shared" si="6"/>
        <v/>
      </c>
      <c r="Q17" s="132" t="str">
        <f t="shared" si="0"/>
        <v/>
      </c>
      <c r="R17" s="132" t="str">
        <f t="shared" si="7"/>
        <v/>
      </c>
      <c r="S17" s="132" t="str">
        <f t="shared" si="8"/>
        <v/>
      </c>
      <c r="T17" s="132" t="str">
        <f t="shared" si="9"/>
        <v/>
      </c>
      <c r="U17" s="132" t="str">
        <f t="shared" si="17"/>
        <v/>
      </c>
      <c r="V17" s="132" t="str">
        <f t="shared" si="10"/>
        <v/>
      </c>
      <c r="W17" s="132" t="str">
        <f t="shared" si="11"/>
        <v/>
      </c>
      <c r="X17" s="132">
        <f t="shared" si="12"/>
        <v>1</v>
      </c>
      <c r="Y17" s="132" t="str">
        <f t="shared" si="13"/>
        <v/>
      </c>
      <c r="Z17" s="132" t="str">
        <f t="shared" si="14"/>
        <v/>
      </c>
      <c r="AA17" s="132" t="str">
        <f t="shared" si="15"/>
        <v/>
      </c>
      <c r="AB17" s="132" t="str">
        <f t="shared" si="16"/>
        <v/>
      </c>
    </row>
    <row r="18" spans="1:28" x14ac:dyDescent="0.25">
      <c r="A18" s="5">
        <f t="shared" si="1"/>
        <v>1</v>
      </c>
      <c r="B18" s="4" t="str">
        <f t="shared" si="2"/>
        <v>Cavaliers @ Spurs</v>
      </c>
      <c r="C18" s="4" t="str">
        <f t="shared" si="3"/>
        <v>Over 218</v>
      </c>
      <c r="D18" s="36">
        <f t="shared" si="4"/>
        <v>0.56362999999999996</v>
      </c>
      <c r="H18" s="14" t="s">
        <v>1267</v>
      </c>
      <c r="I18" s="15" t="s">
        <v>1272</v>
      </c>
      <c r="J18" s="16" t="s">
        <v>47</v>
      </c>
      <c r="K18" s="16" t="s">
        <v>48</v>
      </c>
      <c r="L18" s="17" t="s">
        <v>1267</v>
      </c>
      <c r="M18" s="15" t="s">
        <v>1272</v>
      </c>
      <c r="O18" s="132" t="str">
        <f t="shared" si="5"/>
        <v>Mavericks @ Heat</v>
      </c>
      <c r="P18" s="132" t="str">
        <f t="shared" si="6"/>
        <v>Over 209</v>
      </c>
      <c r="Q18" s="132">
        <f t="shared" si="0"/>
        <v>0.71611999999999998</v>
      </c>
      <c r="R18" s="132" t="str">
        <f t="shared" si="7"/>
        <v/>
      </c>
      <c r="S18" s="132" t="str">
        <f t="shared" si="8"/>
        <v/>
      </c>
      <c r="T18" s="132" t="str">
        <f t="shared" si="9"/>
        <v/>
      </c>
      <c r="U18" s="132" t="str">
        <f t="shared" si="17"/>
        <v/>
      </c>
      <c r="V18" s="132" t="str">
        <f t="shared" si="10"/>
        <v/>
      </c>
      <c r="W18" s="132" t="str">
        <f t="shared" si="11"/>
        <v/>
      </c>
      <c r="X18" s="132">
        <f t="shared" si="12"/>
        <v>1</v>
      </c>
      <c r="Y18" s="132" t="str">
        <f t="shared" si="13"/>
        <v/>
      </c>
      <c r="Z18" s="132" t="str">
        <f t="shared" si="14"/>
        <v/>
      </c>
      <c r="AA18" s="132" t="str">
        <f t="shared" si="15"/>
        <v/>
      </c>
      <c r="AB18" s="132" t="str">
        <f t="shared" si="16"/>
        <v/>
      </c>
    </row>
    <row r="19" spans="1:28" x14ac:dyDescent="0.25">
      <c r="A19" s="5">
        <f t="shared" si="1"/>
        <v>1</v>
      </c>
      <c r="B19" s="4" t="str">
        <f t="shared" si="2"/>
        <v>Cavaliers @ Spurs</v>
      </c>
      <c r="C19" s="4" t="str">
        <f t="shared" si="3"/>
        <v>Spurs Moneyline</v>
      </c>
      <c r="D19" s="36">
        <f t="shared" si="4"/>
        <v>0.80342000000000002</v>
      </c>
      <c r="H19" s="18" t="s">
        <v>49</v>
      </c>
      <c r="I19" s="19" t="s">
        <v>50</v>
      </c>
      <c r="J19" s="20">
        <v>209</v>
      </c>
      <c r="K19" s="20">
        <v>209</v>
      </c>
      <c r="L19" s="21">
        <v>-7.5</v>
      </c>
      <c r="M19" s="22" t="s">
        <v>1275</v>
      </c>
      <c r="O19" s="132" t="str">
        <f t="shared" si="5"/>
        <v/>
      </c>
      <c r="P19" s="132" t="str">
        <f t="shared" si="6"/>
        <v/>
      </c>
      <c r="Q19" s="132" t="str">
        <f t="shared" si="0"/>
        <v/>
      </c>
      <c r="R19" s="132" t="str">
        <f t="shared" si="7"/>
        <v/>
      </c>
      <c r="S19" s="132" t="str">
        <f t="shared" si="8"/>
        <v/>
      </c>
      <c r="T19" s="132" t="str">
        <f t="shared" si="9"/>
        <v/>
      </c>
      <c r="U19" s="132" t="str">
        <f t="shared" si="17"/>
        <v/>
      </c>
      <c r="V19" s="132" t="str">
        <f t="shared" si="10"/>
        <v/>
      </c>
      <c r="W19" s="132" t="str">
        <f t="shared" si="11"/>
        <v/>
      </c>
      <c r="X19" s="132">
        <f t="shared" si="12"/>
        <v>1</v>
      </c>
      <c r="Y19" s="132" t="str">
        <f t="shared" si="13"/>
        <v/>
      </c>
      <c r="Z19" s="132" t="str">
        <f t="shared" si="14"/>
        <v/>
      </c>
      <c r="AA19" s="132" t="str">
        <f t="shared" si="15"/>
        <v/>
      </c>
      <c r="AB19" s="132" t="str">
        <f t="shared" si="16"/>
        <v/>
      </c>
    </row>
    <row r="20" spans="1:28" ht="15.75" thickBot="1" x14ac:dyDescent="0.3">
      <c r="A20" s="5">
        <f t="shared" si="1"/>
        <v>0</v>
      </c>
      <c r="B20" s="4" t="str">
        <f t="shared" si="2"/>
        <v/>
      </c>
      <c r="C20" s="4" t="str">
        <f t="shared" si="3"/>
        <v/>
      </c>
      <c r="D20" s="36" t="str">
        <f t="shared" si="4"/>
        <v/>
      </c>
      <c r="H20" s="23">
        <v>0.67200000000000004</v>
      </c>
      <c r="I20" s="24">
        <v>0.32800000000000001</v>
      </c>
      <c r="J20" s="25">
        <v>0.28388000000000002</v>
      </c>
      <c r="K20" s="25">
        <v>0.71611999999999998</v>
      </c>
      <c r="L20" s="26">
        <v>0.46856999999999999</v>
      </c>
      <c r="M20" s="27">
        <v>0.53142999999999996</v>
      </c>
      <c r="O20" s="132" t="str">
        <f t="shared" si="5"/>
        <v/>
      </c>
      <c r="P20" s="132" t="str">
        <f t="shared" si="6"/>
        <v/>
      </c>
      <c r="Q20" s="132" t="str">
        <f t="shared" si="0"/>
        <v/>
      </c>
      <c r="R20" s="132" t="str">
        <f t="shared" si="7"/>
        <v/>
      </c>
      <c r="S20" s="132" t="str">
        <f t="shared" si="8"/>
        <v/>
      </c>
      <c r="T20" s="132" t="str">
        <f t="shared" si="9"/>
        <v/>
      </c>
      <c r="U20" s="132" t="str">
        <f t="shared" si="17"/>
        <v/>
      </c>
      <c r="V20" s="132" t="str">
        <f t="shared" si="10"/>
        <v/>
      </c>
      <c r="W20" s="132" t="str">
        <f t="shared" si="11"/>
        <v/>
      </c>
      <c r="X20" s="132">
        <f t="shared" si="12"/>
        <v>1</v>
      </c>
      <c r="Y20" s="132" t="str">
        <f t="shared" si="13"/>
        <v/>
      </c>
      <c r="Z20" s="132" t="str">
        <f t="shared" si="14"/>
        <v/>
      </c>
      <c r="AA20" s="132" t="str">
        <f t="shared" si="15"/>
        <v/>
      </c>
      <c r="AB20" s="132" t="str">
        <f t="shared" si="16"/>
        <v/>
      </c>
    </row>
    <row r="21" spans="1:28" x14ac:dyDescent="0.25">
      <c r="A21" s="5">
        <f t="shared" si="1"/>
        <v>0</v>
      </c>
      <c r="B21" s="4" t="str">
        <f t="shared" si="2"/>
        <v/>
      </c>
      <c r="C21" s="4" t="str">
        <f t="shared" si="3"/>
        <v/>
      </c>
      <c r="D21" s="36" t="str">
        <f t="shared" si="4"/>
        <v/>
      </c>
      <c r="H21" s="14" t="s">
        <v>1306</v>
      </c>
      <c r="I21" s="15" t="s">
        <v>1265</v>
      </c>
      <c r="J21" s="16" t="s">
        <v>47</v>
      </c>
      <c r="K21" s="16" t="s">
        <v>48</v>
      </c>
      <c r="L21" s="17" t="s">
        <v>1306</v>
      </c>
      <c r="M21" s="15" t="s">
        <v>1265</v>
      </c>
      <c r="O21" s="132" t="str">
        <f t="shared" si="5"/>
        <v>Raptors @ Knicks</v>
      </c>
      <c r="P21" s="132" t="str">
        <f t="shared" si="6"/>
        <v>Over 217</v>
      </c>
      <c r="Q21" s="132">
        <f t="shared" si="0"/>
        <v>0.57991000000000004</v>
      </c>
      <c r="R21" s="132" t="str">
        <f t="shared" si="7"/>
        <v>Raptors @ Knicks</v>
      </c>
      <c r="S21" s="132" t="str">
        <f t="shared" si="8"/>
        <v>Knicks +12</v>
      </c>
      <c r="T21" s="132">
        <f t="shared" si="9"/>
        <v>0.66617000000000004</v>
      </c>
      <c r="U21" s="132" t="str">
        <f t="shared" si="17"/>
        <v/>
      </c>
      <c r="V21" s="132" t="str">
        <f t="shared" si="10"/>
        <v/>
      </c>
      <c r="W21" s="132" t="str">
        <f t="shared" si="11"/>
        <v/>
      </c>
      <c r="X21" s="132">
        <f t="shared" si="12"/>
        <v>1</v>
      </c>
      <c r="Y21" s="132" t="str">
        <f t="shared" si="13"/>
        <v/>
      </c>
      <c r="Z21" s="132" t="str">
        <f t="shared" si="14"/>
        <v/>
      </c>
      <c r="AA21" s="132" t="str">
        <f t="shared" si="15"/>
        <v/>
      </c>
      <c r="AB21" s="132" t="str">
        <f t="shared" si="16"/>
        <v/>
      </c>
    </row>
    <row r="22" spans="1:28" x14ac:dyDescent="0.25">
      <c r="A22" s="5">
        <f t="shared" si="1"/>
        <v>0</v>
      </c>
      <c r="B22" s="4" t="str">
        <f t="shared" si="2"/>
        <v/>
      </c>
      <c r="C22" s="4" t="str">
        <f t="shared" si="3"/>
        <v/>
      </c>
      <c r="D22" s="36" t="str">
        <f t="shared" si="4"/>
        <v/>
      </c>
      <c r="H22" s="18" t="s">
        <v>50</v>
      </c>
      <c r="I22" s="19" t="s">
        <v>49</v>
      </c>
      <c r="J22" s="20">
        <v>217</v>
      </c>
      <c r="K22" s="20">
        <v>217</v>
      </c>
      <c r="L22" s="21" t="s">
        <v>1307</v>
      </c>
      <c r="M22" s="22">
        <v>-12</v>
      </c>
      <c r="O22" s="132" t="str">
        <f t="shared" si="5"/>
        <v/>
      </c>
      <c r="P22" s="132" t="str">
        <f t="shared" si="6"/>
        <v/>
      </c>
      <c r="Q22" s="132" t="str">
        <f t="shared" si="0"/>
        <v/>
      </c>
      <c r="R22" s="132" t="str">
        <f t="shared" si="7"/>
        <v/>
      </c>
      <c r="S22" s="132" t="str">
        <f t="shared" si="8"/>
        <v/>
      </c>
      <c r="T22" s="132" t="str">
        <f t="shared" si="9"/>
        <v/>
      </c>
      <c r="U22" s="132" t="str">
        <f t="shared" si="17"/>
        <v/>
      </c>
      <c r="V22" s="132" t="str">
        <f t="shared" si="10"/>
        <v/>
      </c>
      <c r="W22" s="132" t="str">
        <f t="shared" si="11"/>
        <v/>
      </c>
      <c r="X22" s="132">
        <f t="shared" si="12"/>
        <v>1</v>
      </c>
      <c r="Y22" s="132" t="str">
        <f t="shared" si="13"/>
        <v/>
      </c>
      <c r="Z22" s="132" t="str">
        <f t="shared" si="14"/>
        <v/>
      </c>
      <c r="AA22" s="132" t="str">
        <f t="shared" si="15"/>
        <v/>
      </c>
      <c r="AB22" s="132" t="str">
        <f t="shared" si="16"/>
        <v/>
      </c>
    </row>
    <row r="23" spans="1:28" ht="15.75" thickBot="1" x14ac:dyDescent="0.3">
      <c r="A23" s="5">
        <f t="shared" si="1"/>
        <v>0</v>
      </c>
      <c r="B23" s="4" t="str">
        <f t="shared" si="2"/>
        <v/>
      </c>
      <c r="C23" s="4" t="str">
        <f t="shared" si="3"/>
        <v/>
      </c>
      <c r="D23" s="36" t="str">
        <f t="shared" si="4"/>
        <v/>
      </c>
      <c r="H23" s="23">
        <v>0.38461000000000001</v>
      </c>
      <c r="I23" s="24">
        <v>0.61538999999999999</v>
      </c>
      <c r="J23" s="25">
        <v>0.42009000000000002</v>
      </c>
      <c r="K23" s="25">
        <v>0.57991000000000004</v>
      </c>
      <c r="L23" s="26">
        <v>0.66617000000000004</v>
      </c>
      <c r="M23" s="27">
        <v>0.33383000000000002</v>
      </c>
      <c r="O23" s="132" t="str">
        <f t="shared" si="5"/>
        <v/>
      </c>
      <c r="P23" s="132" t="str">
        <f t="shared" si="6"/>
        <v/>
      </c>
      <c r="Q23" s="132" t="str">
        <f t="shared" si="0"/>
        <v/>
      </c>
      <c r="R23" s="132" t="str">
        <f t="shared" si="7"/>
        <v/>
      </c>
      <c r="S23" s="132" t="str">
        <f t="shared" si="8"/>
        <v/>
      </c>
      <c r="T23" s="132" t="str">
        <f t="shared" si="9"/>
        <v/>
      </c>
      <c r="U23" s="132" t="str">
        <f t="shared" si="17"/>
        <v/>
      </c>
      <c r="V23" s="132" t="str">
        <f t="shared" si="10"/>
        <v/>
      </c>
      <c r="W23" s="132" t="str">
        <f t="shared" si="11"/>
        <v/>
      </c>
      <c r="X23" s="132">
        <f t="shared" si="12"/>
        <v>1</v>
      </c>
      <c r="Y23" s="132" t="str">
        <f t="shared" si="13"/>
        <v/>
      </c>
      <c r="Z23" s="132" t="str">
        <f t="shared" si="14"/>
        <v/>
      </c>
      <c r="AA23" s="132" t="str">
        <f t="shared" si="15"/>
        <v/>
      </c>
      <c r="AB23" s="132" t="str">
        <f t="shared" si="16"/>
        <v/>
      </c>
    </row>
    <row r="24" spans="1:28" x14ac:dyDescent="0.25">
      <c r="A24" s="5">
        <f t="shared" si="1"/>
        <v>0</v>
      </c>
      <c r="B24" s="4" t="str">
        <f t="shared" si="2"/>
        <v/>
      </c>
      <c r="C24" s="4" t="str">
        <f t="shared" si="3"/>
        <v/>
      </c>
      <c r="D24" s="36" t="str">
        <f t="shared" si="4"/>
        <v/>
      </c>
      <c r="E24" s="11"/>
      <c r="H24" s="14" t="s">
        <v>1269</v>
      </c>
      <c r="I24" s="15" t="s">
        <v>1273</v>
      </c>
      <c r="J24" s="16" t="s">
        <v>47</v>
      </c>
      <c r="K24" s="16" t="s">
        <v>48</v>
      </c>
      <c r="L24" s="17" t="s">
        <v>1269</v>
      </c>
      <c r="M24" s="15" t="s">
        <v>1273</v>
      </c>
      <c r="O24" s="132" t="str">
        <f t="shared" si="5"/>
        <v>Nuggets @ Rockets</v>
      </c>
      <c r="P24" s="132" t="str">
        <f t="shared" si="6"/>
        <v>Over 218</v>
      </c>
      <c r="Q24" s="132">
        <f t="shared" si="0"/>
        <v>0.58638000000000001</v>
      </c>
      <c r="R24" s="132" t="str">
        <f t="shared" si="7"/>
        <v>Nuggets @ Rockets</v>
      </c>
      <c r="S24" s="132" t="str">
        <f t="shared" si="8"/>
        <v>Nuggets +5</v>
      </c>
      <c r="T24" s="132">
        <f t="shared" si="9"/>
        <v>0.63482000000000005</v>
      </c>
      <c r="U24" s="132" t="str">
        <f t="shared" si="17"/>
        <v/>
      </c>
      <c r="V24" s="132" t="str">
        <f t="shared" si="10"/>
        <v/>
      </c>
      <c r="W24" s="132" t="str">
        <f t="shared" si="11"/>
        <v/>
      </c>
      <c r="X24" s="132">
        <f t="shared" si="12"/>
        <v>1</v>
      </c>
      <c r="Y24" s="132" t="str">
        <f t="shared" si="13"/>
        <v/>
      </c>
      <c r="Z24" s="132" t="str">
        <f t="shared" si="14"/>
        <v/>
      </c>
      <c r="AA24" s="132" t="str">
        <f t="shared" si="15"/>
        <v/>
      </c>
      <c r="AB24" s="132" t="str">
        <f t="shared" si="16"/>
        <v/>
      </c>
    </row>
    <row r="25" spans="1:28" x14ac:dyDescent="0.25">
      <c r="A25" s="5">
        <f t="shared" si="1"/>
        <v>0</v>
      </c>
      <c r="B25" s="4" t="str">
        <f t="shared" si="2"/>
        <v/>
      </c>
      <c r="C25" s="4" t="str">
        <f t="shared" si="3"/>
        <v/>
      </c>
      <c r="D25" s="36" t="str">
        <f t="shared" si="4"/>
        <v/>
      </c>
      <c r="H25" s="18" t="s">
        <v>49</v>
      </c>
      <c r="I25" s="19" t="s">
        <v>50</v>
      </c>
      <c r="J25" s="20">
        <v>218</v>
      </c>
      <c r="K25" s="20">
        <v>218</v>
      </c>
      <c r="L25" s="21">
        <v>-5</v>
      </c>
      <c r="M25" s="22" t="s">
        <v>339</v>
      </c>
      <c r="O25" s="132" t="str">
        <f t="shared" si="5"/>
        <v/>
      </c>
      <c r="P25" s="132" t="str">
        <f t="shared" si="6"/>
        <v/>
      </c>
      <c r="Q25" s="132" t="str">
        <f t="shared" si="0"/>
        <v/>
      </c>
      <c r="R25" s="132" t="str">
        <f t="shared" si="7"/>
        <v/>
      </c>
      <c r="S25" s="132" t="str">
        <f t="shared" si="8"/>
        <v/>
      </c>
      <c r="T25" s="132" t="str">
        <f t="shared" si="9"/>
        <v/>
      </c>
      <c r="U25" s="132" t="str">
        <f t="shared" si="17"/>
        <v/>
      </c>
      <c r="V25" s="132" t="str">
        <f t="shared" si="10"/>
        <v/>
      </c>
      <c r="W25" s="132" t="str">
        <f t="shared" si="11"/>
        <v/>
      </c>
      <c r="X25" s="132">
        <f t="shared" si="12"/>
        <v>1</v>
      </c>
      <c r="Y25" s="132" t="str">
        <f t="shared" si="13"/>
        <v/>
      </c>
      <c r="Z25" s="132" t="str">
        <f t="shared" si="14"/>
        <v/>
      </c>
      <c r="AA25" s="132" t="str">
        <f t="shared" si="15"/>
        <v/>
      </c>
      <c r="AB25" s="132" t="str">
        <f t="shared" si="16"/>
        <v/>
      </c>
    </row>
    <row r="26" spans="1:28" ht="15.75" thickBot="1" x14ac:dyDescent="0.3">
      <c r="A26" s="5">
        <f t="shared" si="1"/>
        <v>0</v>
      </c>
      <c r="B26" s="4" t="str">
        <f t="shared" si="2"/>
        <v/>
      </c>
      <c r="C26" s="4" t="str">
        <f t="shared" si="3"/>
        <v/>
      </c>
      <c r="D26" s="35" t="str">
        <f t="shared" si="4"/>
        <v/>
      </c>
      <c r="H26" s="23">
        <v>0.48441000000000001</v>
      </c>
      <c r="I26" s="24">
        <v>0.51558999999999999</v>
      </c>
      <c r="J26" s="25">
        <v>0.41361999999999999</v>
      </c>
      <c r="K26" s="25">
        <v>0.58638000000000001</v>
      </c>
      <c r="L26" s="26">
        <v>0.36518</v>
      </c>
      <c r="M26" s="27">
        <v>0.63482000000000005</v>
      </c>
      <c r="O26" s="132" t="str">
        <f t="shared" si="5"/>
        <v/>
      </c>
      <c r="P26" s="132" t="str">
        <f t="shared" si="6"/>
        <v/>
      </c>
      <c r="Q26" s="132" t="str">
        <f t="shared" si="0"/>
        <v/>
      </c>
      <c r="R26" s="132" t="str">
        <f t="shared" si="7"/>
        <v/>
      </c>
      <c r="S26" s="132" t="str">
        <f t="shared" si="8"/>
        <v/>
      </c>
      <c r="T26" s="132" t="str">
        <f t="shared" si="9"/>
        <v/>
      </c>
      <c r="U26" s="132" t="str">
        <f t="shared" si="17"/>
        <v/>
      </c>
      <c r="V26" s="132" t="str">
        <f t="shared" si="10"/>
        <v/>
      </c>
      <c r="W26" s="132" t="str">
        <f t="shared" si="11"/>
        <v/>
      </c>
      <c r="X26" s="132">
        <f t="shared" si="12"/>
        <v>1</v>
      </c>
      <c r="Y26" s="132" t="str">
        <f t="shared" si="13"/>
        <v/>
      </c>
      <c r="Z26" s="132" t="str">
        <f t="shared" si="14"/>
        <v/>
      </c>
      <c r="AA26" s="132" t="str">
        <f t="shared" si="15"/>
        <v/>
      </c>
      <c r="AB26" s="132" t="str">
        <f t="shared" si="16"/>
        <v/>
      </c>
    </row>
    <row r="27" spans="1:28" x14ac:dyDescent="0.25">
      <c r="A27" s="5">
        <f t="shared" si="1"/>
        <v>0</v>
      </c>
      <c r="B27" s="4" t="str">
        <f t="shared" si="2"/>
        <v/>
      </c>
      <c r="C27" s="4" t="str">
        <f t="shared" si="3"/>
        <v/>
      </c>
      <c r="D27" s="35" t="str">
        <f t="shared" si="4"/>
        <v/>
      </c>
      <c r="H27" s="14" t="s">
        <v>1268</v>
      </c>
      <c r="I27" s="15" t="s">
        <v>1271</v>
      </c>
      <c r="J27" s="16" t="s">
        <v>47</v>
      </c>
      <c r="K27" s="16" t="s">
        <v>48</v>
      </c>
      <c r="L27" s="17" t="s">
        <v>1268</v>
      </c>
      <c r="M27" s="15" t="s">
        <v>1271</v>
      </c>
      <c r="O27" s="132" t="str">
        <f t="shared" si="5"/>
        <v>Clippers @ Bucks</v>
      </c>
      <c r="P27" s="132" t="str">
        <f t="shared" si="6"/>
        <v>Under 232</v>
      </c>
      <c r="Q27" s="132">
        <f t="shared" si="0"/>
        <v>0.69857999999999998</v>
      </c>
      <c r="R27" s="132" t="str">
        <f t="shared" si="7"/>
        <v/>
      </c>
      <c r="S27" s="132" t="str">
        <f t="shared" si="8"/>
        <v/>
      </c>
      <c r="T27" s="132" t="str">
        <f t="shared" si="9"/>
        <v/>
      </c>
      <c r="U27" s="132" t="str">
        <f t="shared" si="17"/>
        <v/>
      </c>
      <c r="V27" s="132" t="str">
        <f t="shared" si="10"/>
        <v/>
      </c>
      <c r="W27" s="132" t="str">
        <f t="shared" si="11"/>
        <v/>
      </c>
      <c r="X27" s="132">
        <f t="shared" si="12"/>
        <v>1</v>
      </c>
      <c r="Y27" s="132" t="str">
        <f t="shared" si="13"/>
        <v/>
      </c>
      <c r="Z27" s="132" t="str">
        <f t="shared" si="14"/>
        <v/>
      </c>
      <c r="AA27" s="132" t="str">
        <f t="shared" si="15"/>
        <v/>
      </c>
      <c r="AB27" s="132" t="str">
        <f t="shared" si="16"/>
        <v/>
      </c>
    </row>
    <row r="28" spans="1:28" x14ac:dyDescent="0.25">
      <c r="A28" s="5">
        <f t="shared" si="1"/>
        <v>0</v>
      </c>
      <c r="B28" s="4" t="str">
        <f t="shared" si="2"/>
        <v/>
      </c>
      <c r="C28" s="4" t="str">
        <f t="shared" si="3"/>
        <v/>
      </c>
      <c r="D28" s="35" t="str">
        <f t="shared" si="4"/>
        <v/>
      </c>
      <c r="H28" s="18" t="s">
        <v>49</v>
      </c>
      <c r="I28" s="19" t="s">
        <v>50</v>
      </c>
      <c r="J28" s="20">
        <v>232</v>
      </c>
      <c r="K28" s="20">
        <v>232</v>
      </c>
      <c r="L28" s="21">
        <v>-9</v>
      </c>
      <c r="M28" s="22" t="s">
        <v>1303</v>
      </c>
      <c r="O28" s="132" t="str">
        <f t="shared" si="5"/>
        <v/>
      </c>
      <c r="P28" s="132" t="str">
        <f t="shared" si="6"/>
        <v/>
      </c>
      <c r="Q28" s="132" t="str">
        <f t="shared" si="0"/>
        <v/>
      </c>
      <c r="R28" s="132" t="str">
        <f t="shared" si="7"/>
        <v/>
      </c>
      <c r="S28" s="132" t="str">
        <f t="shared" si="8"/>
        <v/>
      </c>
      <c r="T28" s="132" t="str">
        <f t="shared" si="9"/>
        <v/>
      </c>
      <c r="U28" s="132" t="str">
        <f t="shared" si="17"/>
        <v/>
      </c>
      <c r="V28" s="132" t="str">
        <f t="shared" si="10"/>
        <v/>
      </c>
      <c r="W28" s="132" t="str">
        <f t="shared" si="11"/>
        <v/>
      </c>
      <c r="X28" s="132">
        <f t="shared" si="12"/>
        <v>1</v>
      </c>
      <c r="Y28" s="132" t="str">
        <f t="shared" si="13"/>
        <v/>
      </c>
      <c r="Z28" s="132" t="str">
        <f t="shared" si="14"/>
        <v/>
      </c>
      <c r="AA28" s="132" t="str">
        <f t="shared" si="15"/>
        <v/>
      </c>
      <c r="AB28" s="132" t="str">
        <f t="shared" si="16"/>
        <v/>
      </c>
    </row>
    <row r="29" spans="1:28" ht="15.75" thickBot="1" x14ac:dyDescent="0.3">
      <c r="A29" s="5">
        <f t="shared" si="1"/>
        <v>0</v>
      </c>
      <c r="B29" s="4" t="str">
        <f t="shared" si="2"/>
        <v/>
      </c>
      <c r="C29" s="4" t="str">
        <f t="shared" si="3"/>
        <v/>
      </c>
      <c r="D29" s="35" t="str">
        <f t="shared" si="4"/>
        <v/>
      </c>
      <c r="H29" s="23">
        <v>0.70033000000000001</v>
      </c>
      <c r="I29" s="24">
        <v>0.29966999999999999</v>
      </c>
      <c r="J29" s="25">
        <v>0.69857999999999998</v>
      </c>
      <c r="K29" s="25">
        <v>0.30142000000000002</v>
      </c>
      <c r="L29" s="26">
        <v>0.51380000000000003</v>
      </c>
      <c r="M29" s="27">
        <v>0.48620000000000002</v>
      </c>
      <c r="O29" s="132" t="str">
        <f t="shared" si="5"/>
        <v/>
      </c>
      <c r="P29" s="132" t="str">
        <f t="shared" si="6"/>
        <v/>
      </c>
      <c r="Q29" s="132" t="str">
        <f t="shared" si="0"/>
        <v/>
      </c>
      <c r="R29" s="132" t="str">
        <f t="shared" si="7"/>
        <v/>
      </c>
      <c r="S29" s="132" t="str">
        <f t="shared" si="8"/>
        <v/>
      </c>
      <c r="T29" s="132" t="str">
        <f t="shared" si="9"/>
        <v/>
      </c>
      <c r="U29" s="132" t="str">
        <f t="shared" si="17"/>
        <v/>
      </c>
      <c r="V29" s="132" t="str">
        <f t="shared" si="10"/>
        <v/>
      </c>
      <c r="W29" s="132" t="str">
        <f t="shared" si="11"/>
        <v/>
      </c>
      <c r="X29" s="132">
        <f t="shared" si="12"/>
        <v>1</v>
      </c>
      <c r="Y29" s="132" t="str">
        <f t="shared" si="13"/>
        <v/>
      </c>
      <c r="Z29" s="132" t="str">
        <f t="shared" si="14"/>
        <v/>
      </c>
      <c r="AA29" s="132" t="str">
        <f t="shared" si="15"/>
        <v/>
      </c>
      <c r="AB29" s="132" t="str">
        <f t="shared" si="16"/>
        <v/>
      </c>
    </row>
    <row r="30" spans="1:28" x14ac:dyDescent="0.25">
      <c r="A30" s="5">
        <f t="shared" si="1"/>
        <v>0</v>
      </c>
      <c r="B30" s="4" t="str">
        <f t="shared" si="2"/>
        <v/>
      </c>
      <c r="C30" s="4" t="str">
        <f t="shared" si="3"/>
        <v/>
      </c>
      <c r="D30" s="35" t="str">
        <f t="shared" si="4"/>
        <v/>
      </c>
      <c r="H30" s="14" t="s">
        <v>1264</v>
      </c>
      <c r="I30" s="15" t="s">
        <v>1263</v>
      </c>
      <c r="J30" s="16" t="s">
        <v>47</v>
      </c>
      <c r="K30" s="16" t="s">
        <v>48</v>
      </c>
      <c r="L30" s="17" t="s">
        <v>1264</v>
      </c>
      <c r="M30" s="15" t="s">
        <v>1263</v>
      </c>
      <c r="O30" s="132" t="str">
        <f t="shared" si="5"/>
        <v>Cavaliers @ Spurs</v>
      </c>
      <c r="P30" s="132" t="str">
        <f t="shared" si="6"/>
        <v>Over 218</v>
      </c>
      <c r="Q30" s="132">
        <f t="shared" si="0"/>
        <v>0.56362999999999996</v>
      </c>
      <c r="R30" s="132" t="str">
        <f t="shared" si="7"/>
        <v/>
      </c>
      <c r="S30" s="132" t="str">
        <f t="shared" si="8"/>
        <v/>
      </c>
      <c r="T30" s="132" t="str">
        <f t="shared" si="9"/>
        <v/>
      </c>
      <c r="U30" s="132" t="str">
        <f t="shared" si="17"/>
        <v>Cavaliers @ Spurs</v>
      </c>
      <c r="V30" s="132" t="str">
        <f t="shared" si="10"/>
        <v>Spurs Moneyline</v>
      </c>
      <c r="W30" s="132">
        <f t="shared" si="11"/>
        <v>0.80342000000000002</v>
      </c>
      <c r="X30" s="132">
        <f t="shared" si="12"/>
        <v>2</v>
      </c>
      <c r="Y30" s="132" t="str">
        <f t="shared" si="13"/>
        <v>Pacers @ Thunder</v>
      </c>
      <c r="Z30" s="132" t="str">
        <f t="shared" si="14"/>
        <v>Pacers @ Thunder</v>
      </c>
      <c r="AA30" s="132" t="str">
        <f t="shared" si="15"/>
        <v>Over 217</v>
      </c>
      <c r="AB30" s="132">
        <f t="shared" si="16"/>
        <v>0.58003000000000005</v>
      </c>
    </row>
    <row r="31" spans="1:28" x14ac:dyDescent="0.25">
      <c r="A31" s="5">
        <f t="shared" si="1"/>
        <v>0</v>
      </c>
      <c r="B31" s="4" t="str">
        <f t="shared" si="2"/>
        <v/>
      </c>
      <c r="C31" s="4" t="str">
        <f t="shared" si="3"/>
        <v/>
      </c>
      <c r="D31" s="35" t="str">
        <f t="shared" si="4"/>
        <v/>
      </c>
      <c r="H31" s="18" t="s">
        <v>49</v>
      </c>
      <c r="I31" s="19" t="s">
        <v>50</v>
      </c>
      <c r="J31" s="20">
        <v>218</v>
      </c>
      <c r="K31" s="20">
        <v>218</v>
      </c>
      <c r="L31" s="21">
        <v>-13</v>
      </c>
      <c r="M31" s="22" t="s">
        <v>1308</v>
      </c>
      <c r="O31" s="132" t="str">
        <f t="shared" si="5"/>
        <v/>
      </c>
      <c r="P31" s="132" t="str">
        <f t="shared" si="6"/>
        <v/>
      </c>
      <c r="Q31" s="132" t="str">
        <f t="shared" si="0"/>
        <v/>
      </c>
      <c r="R31" s="132" t="str">
        <f t="shared" si="7"/>
        <v/>
      </c>
      <c r="S31" s="132" t="str">
        <f t="shared" si="8"/>
        <v/>
      </c>
      <c r="T31" s="132" t="str">
        <f t="shared" si="9"/>
        <v/>
      </c>
      <c r="U31" s="132" t="str">
        <f t="shared" si="17"/>
        <v/>
      </c>
      <c r="V31" s="132" t="str">
        <f t="shared" si="10"/>
        <v/>
      </c>
      <c r="W31" s="132" t="str">
        <f t="shared" si="11"/>
        <v/>
      </c>
      <c r="X31" s="132">
        <f t="shared" si="12"/>
        <v>2</v>
      </c>
      <c r="Y31" s="132" t="str">
        <f t="shared" si="13"/>
        <v>Over 217</v>
      </c>
      <c r="Z31" s="132" t="str">
        <f t="shared" si="14"/>
        <v/>
      </c>
      <c r="AA31" s="132" t="str">
        <f t="shared" si="15"/>
        <v/>
      </c>
      <c r="AB31" s="132" t="str">
        <f t="shared" si="16"/>
        <v/>
      </c>
    </row>
    <row r="32" spans="1:28" ht="15.75" thickBot="1" x14ac:dyDescent="0.3">
      <c r="A32" s="5">
        <f t="shared" si="1"/>
        <v>0</v>
      </c>
      <c r="B32" s="4" t="str">
        <f t="shared" si="2"/>
        <v/>
      </c>
      <c r="C32" s="4" t="str">
        <f t="shared" si="3"/>
        <v/>
      </c>
      <c r="D32" s="35" t="str">
        <f t="shared" si="4"/>
        <v/>
      </c>
      <c r="H32" s="23">
        <v>0.80342000000000002</v>
      </c>
      <c r="I32" s="24">
        <v>0.19658</v>
      </c>
      <c r="J32" s="25">
        <v>0.43636999999999998</v>
      </c>
      <c r="K32" s="25">
        <v>0.56362999999999996</v>
      </c>
      <c r="L32" s="26">
        <v>0.48726999999999998</v>
      </c>
      <c r="M32" s="27">
        <v>0.51273000000000002</v>
      </c>
      <c r="O32" s="132" t="str">
        <f t="shared" si="5"/>
        <v/>
      </c>
      <c r="P32" s="132" t="str">
        <f t="shared" si="6"/>
        <v/>
      </c>
      <c r="Q32" s="132" t="str">
        <f t="shared" si="0"/>
        <v/>
      </c>
      <c r="R32" s="132" t="str">
        <f t="shared" si="7"/>
        <v/>
      </c>
      <c r="S32" s="132" t="str">
        <f t="shared" si="8"/>
        <v/>
      </c>
      <c r="T32" s="132" t="str">
        <f t="shared" si="9"/>
        <v/>
      </c>
      <c r="U32" s="132" t="str">
        <f t="shared" si="17"/>
        <v/>
      </c>
      <c r="V32" s="132" t="str">
        <f t="shared" si="10"/>
        <v/>
      </c>
      <c r="W32" s="132" t="str">
        <f t="shared" si="11"/>
        <v/>
      </c>
      <c r="X32" s="132">
        <f t="shared" si="12"/>
        <v>2</v>
      </c>
      <c r="Y32" s="132">
        <f t="shared" si="13"/>
        <v>0.58003000000000005</v>
      </c>
      <c r="Z32" s="132" t="str">
        <f t="shared" si="14"/>
        <v/>
      </c>
      <c r="AA32" s="132" t="str">
        <f t="shared" si="15"/>
        <v/>
      </c>
      <c r="AB32" s="132" t="str">
        <f t="shared" si="16"/>
        <v/>
      </c>
    </row>
    <row r="33" spans="1:28" x14ac:dyDescent="0.25">
      <c r="A33" s="5">
        <f t="shared" si="1"/>
        <v>0</v>
      </c>
      <c r="B33" s="4" t="str">
        <f t="shared" si="2"/>
        <v/>
      </c>
      <c r="C33" s="4" t="str">
        <f t="shared" si="3"/>
        <v/>
      </c>
      <c r="D33" s="35" t="str">
        <f t="shared" si="4"/>
        <v/>
      </c>
      <c r="O33" s="132" t="str">
        <f t="shared" si="5"/>
        <v/>
      </c>
      <c r="P33" s="132" t="str">
        <f t="shared" si="6"/>
        <v/>
      </c>
      <c r="Q33" s="132" t="str">
        <f t="shared" si="0"/>
        <v/>
      </c>
      <c r="R33" s="132" t="str">
        <f t="shared" si="7"/>
        <v/>
      </c>
      <c r="S33" s="132" t="str">
        <f t="shared" si="8"/>
        <v/>
      </c>
      <c r="T33" s="132" t="str">
        <f t="shared" si="9"/>
        <v/>
      </c>
      <c r="U33" s="132" t="str">
        <f t="shared" si="17"/>
        <v/>
      </c>
      <c r="V33" s="132" t="str">
        <f t="shared" si="10"/>
        <v/>
      </c>
      <c r="W33" s="132" t="str">
        <f t="shared" si="11"/>
        <v/>
      </c>
      <c r="X33" s="132">
        <f t="shared" si="12"/>
        <v>3</v>
      </c>
      <c r="Y33" s="132" t="str">
        <f t="shared" si="13"/>
        <v>Pacers @ Thunder</v>
      </c>
      <c r="Z33" s="132" t="str">
        <f t="shared" si="14"/>
        <v>Pacers @ Thunder</v>
      </c>
      <c r="AA33" s="132" t="str">
        <f t="shared" si="15"/>
        <v>Pacers +6.5</v>
      </c>
      <c r="AB33" s="132">
        <f t="shared" si="16"/>
        <v>0.68718999999999997</v>
      </c>
    </row>
    <row r="34" spans="1:28" x14ac:dyDescent="0.25">
      <c r="A34" s="5">
        <f t="shared" si="1"/>
        <v>0</v>
      </c>
      <c r="B34" s="4" t="str">
        <f t="shared" si="2"/>
        <v/>
      </c>
      <c r="C34" s="4" t="str">
        <f t="shared" si="3"/>
        <v/>
      </c>
      <c r="D34" s="35" t="str">
        <f t="shared" si="4"/>
        <v/>
      </c>
      <c r="O34" s="132" t="str">
        <f t="shared" si="5"/>
        <v/>
      </c>
      <c r="P34" s="132" t="str">
        <f t="shared" si="6"/>
        <v/>
      </c>
      <c r="Q34" s="132" t="str">
        <f t="shared" si="0"/>
        <v/>
      </c>
      <c r="R34" s="132" t="str">
        <f t="shared" si="7"/>
        <v/>
      </c>
      <c r="S34" s="132" t="str">
        <f t="shared" si="8"/>
        <v/>
      </c>
      <c r="T34" s="132" t="str">
        <f t="shared" si="9"/>
        <v/>
      </c>
      <c r="U34" s="132" t="str">
        <f t="shared" si="17"/>
        <v/>
      </c>
      <c r="V34" s="132" t="str">
        <f t="shared" si="10"/>
        <v/>
      </c>
      <c r="W34" s="132" t="str">
        <f t="shared" si="11"/>
        <v/>
      </c>
      <c r="X34" s="132">
        <f t="shared" si="12"/>
        <v>3</v>
      </c>
      <c r="Y34" s="132" t="str">
        <f t="shared" si="13"/>
        <v>Pacers +6.5</v>
      </c>
      <c r="Z34" s="132" t="str">
        <f t="shared" si="14"/>
        <v/>
      </c>
      <c r="AA34" s="132" t="str">
        <f t="shared" si="15"/>
        <v/>
      </c>
      <c r="AB34" s="132" t="str">
        <f t="shared" si="16"/>
        <v/>
      </c>
    </row>
    <row r="35" spans="1:28" x14ac:dyDescent="0.25">
      <c r="A35" s="5">
        <f t="shared" si="1"/>
        <v>0</v>
      </c>
      <c r="B35" s="4" t="str">
        <f t="shared" si="2"/>
        <v/>
      </c>
      <c r="C35" s="4" t="str">
        <f t="shared" si="3"/>
        <v/>
      </c>
      <c r="D35" s="35" t="str">
        <f t="shared" si="4"/>
        <v/>
      </c>
      <c r="O35" s="132" t="str">
        <f t="shared" si="5"/>
        <v/>
      </c>
      <c r="P35" s="132" t="str">
        <f t="shared" si="6"/>
        <v/>
      </c>
      <c r="Q35" s="132" t="str">
        <f t="shared" si="0"/>
        <v/>
      </c>
      <c r="R35" s="132" t="str">
        <f t="shared" si="7"/>
        <v/>
      </c>
      <c r="S35" s="132" t="str">
        <f t="shared" si="8"/>
        <v/>
      </c>
      <c r="T35" s="132" t="str">
        <f t="shared" si="9"/>
        <v/>
      </c>
      <c r="U35" s="132" t="str">
        <f t="shared" si="17"/>
        <v/>
      </c>
      <c r="V35" s="132" t="str">
        <f t="shared" si="10"/>
        <v/>
      </c>
      <c r="W35" s="132" t="str">
        <f t="shared" si="11"/>
        <v/>
      </c>
      <c r="X35" s="132">
        <f t="shared" si="12"/>
        <v>3</v>
      </c>
      <c r="Y35" s="132">
        <f t="shared" si="13"/>
        <v>0.68718999999999997</v>
      </c>
      <c r="Z35" s="132" t="str">
        <f t="shared" si="14"/>
        <v/>
      </c>
      <c r="AA35" s="132" t="str">
        <f t="shared" si="15"/>
        <v/>
      </c>
      <c r="AB35" s="132" t="str">
        <f t="shared" si="16"/>
        <v/>
      </c>
    </row>
    <row r="36" spans="1:28" x14ac:dyDescent="0.25">
      <c r="A36" s="5">
        <f t="shared" si="1"/>
        <v>0</v>
      </c>
      <c r="B36" s="4" t="str">
        <f t="shared" si="2"/>
        <v/>
      </c>
      <c r="C36" s="4" t="str">
        <f t="shared" si="3"/>
        <v/>
      </c>
      <c r="D36" s="35" t="str">
        <f t="shared" si="4"/>
        <v/>
      </c>
      <c r="O36" s="132" t="str">
        <f t="shared" si="5"/>
        <v/>
      </c>
      <c r="P36" s="132" t="str">
        <f t="shared" si="6"/>
        <v/>
      </c>
      <c r="Q36" s="132" t="str">
        <f t="shared" si="0"/>
        <v/>
      </c>
      <c r="R36" s="132" t="str">
        <f t="shared" si="7"/>
        <v/>
      </c>
      <c r="S36" s="132" t="str">
        <f t="shared" si="8"/>
        <v/>
      </c>
      <c r="T36" s="132" t="str">
        <f t="shared" si="9"/>
        <v/>
      </c>
      <c r="U36" s="132" t="str">
        <f t="shared" si="17"/>
        <v/>
      </c>
      <c r="V36" s="132" t="str">
        <f t="shared" si="10"/>
        <v/>
      </c>
      <c r="W36" s="132" t="str">
        <f t="shared" si="11"/>
        <v/>
      </c>
      <c r="X36" s="132">
        <f t="shared" si="12"/>
        <v>3</v>
      </c>
      <c r="Y36" s="132" t="str">
        <f t="shared" si="13"/>
        <v/>
      </c>
      <c r="Z36" s="132" t="str">
        <f t="shared" si="14"/>
        <v/>
      </c>
      <c r="AA36" s="132" t="str">
        <f t="shared" si="15"/>
        <v/>
      </c>
      <c r="AB36" s="132" t="str">
        <f t="shared" si="16"/>
        <v/>
      </c>
    </row>
    <row r="37" spans="1:28" x14ac:dyDescent="0.25">
      <c r="A37" s="5">
        <f t="shared" si="1"/>
        <v>0</v>
      </c>
      <c r="B37" s="4" t="str">
        <f t="shared" si="2"/>
        <v/>
      </c>
      <c r="C37" s="4" t="str">
        <f t="shared" si="3"/>
        <v/>
      </c>
      <c r="D37" s="35" t="str">
        <f t="shared" si="4"/>
        <v/>
      </c>
      <c r="O37" s="132" t="str">
        <f t="shared" si="5"/>
        <v/>
      </c>
      <c r="P37" s="132" t="str">
        <f t="shared" si="6"/>
        <v/>
      </c>
      <c r="Q37" s="132" t="str">
        <f t="shared" si="0"/>
        <v/>
      </c>
      <c r="R37" s="132" t="str">
        <f t="shared" si="7"/>
        <v/>
      </c>
      <c r="S37" s="132" t="str">
        <f t="shared" si="8"/>
        <v/>
      </c>
      <c r="T37" s="132" t="str">
        <f t="shared" si="9"/>
        <v/>
      </c>
      <c r="U37" s="132" t="str">
        <f t="shared" si="17"/>
        <v/>
      </c>
      <c r="V37" s="132" t="str">
        <f t="shared" si="10"/>
        <v/>
      </c>
      <c r="W37" s="132" t="str">
        <f t="shared" si="11"/>
        <v/>
      </c>
      <c r="X37" s="132">
        <f t="shared" si="12"/>
        <v>3</v>
      </c>
      <c r="Y37" s="132" t="str">
        <f t="shared" si="13"/>
        <v/>
      </c>
      <c r="Z37" s="132" t="str">
        <f t="shared" si="14"/>
        <v/>
      </c>
      <c r="AA37" s="132" t="str">
        <f t="shared" si="15"/>
        <v/>
      </c>
      <c r="AB37" s="132" t="str">
        <f t="shared" si="16"/>
        <v/>
      </c>
    </row>
    <row r="38" spans="1:28" x14ac:dyDescent="0.25">
      <c r="A38" s="5">
        <f t="shared" si="1"/>
        <v>0</v>
      </c>
      <c r="B38" s="4" t="str">
        <f t="shared" si="2"/>
        <v/>
      </c>
      <c r="C38" s="4" t="str">
        <f t="shared" si="3"/>
        <v/>
      </c>
      <c r="D38" s="35" t="str">
        <f t="shared" si="4"/>
        <v/>
      </c>
      <c r="O38" s="132" t="str">
        <f t="shared" si="5"/>
        <v/>
      </c>
      <c r="P38" s="132" t="str">
        <f t="shared" si="6"/>
        <v/>
      </c>
      <c r="Q38" s="132" t="str">
        <f t="shared" si="0"/>
        <v/>
      </c>
      <c r="R38" s="132" t="str">
        <f t="shared" si="7"/>
        <v/>
      </c>
      <c r="S38" s="132" t="str">
        <f t="shared" si="8"/>
        <v/>
      </c>
      <c r="T38" s="132" t="str">
        <f t="shared" si="9"/>
        <v/>
      </c>
      <c r="U38" s="132" t="str">
        <f t="shared" si="17"/>
        <v/>
      </c>
      <c r="V38" s="132" t="str">
        <f t="shared" si="10"/>
        <v/>
      </c>
      <c r="W38" s="132" t="str">
        <f t="shared" si="11"/>
        <v/>
      </c>
      <c r="X38" s="132">
        <f t="shared" si="12"/>
        <v>3</v>
      </c>
      <c r="Y38" s="132" t="str">
        <f t="shared" si="13"/>
        <v/>
      </c>
      <c r="Z38" s="132" t="str">
        <f t="shared" si="14"/>
        <v/>
      </c>
      <c r="AA38" s="132" t="str">
        <f t="shared" si="15"/>
        <v/>
      </c>
      <c r="AB38" s="132" t="str">
        <f t="shared" si="16"/>
        <v/>
      </c>
    </row>
    <row r="39" spans="1:28" x14ac:dyDescent="0.25">
      <c r="A39" s="5">
        <f t="shared" si="1"/>
        <v>0</v>
      </c>
      <c r="B39" s="4" t="str">
        <f t="shared" si="2"/>
        <v/>
      </c>
      <c r="C39" s="4" t="str">
        <f t="shared" si="3"/>
        <v/>
      </c>
      <c r="D39" s="35" t="str">
        <f t="shared" si="4"/>
        <v/>
      </c>
      <c r="O39" s="132" t="str">
        <f t="shared" si="5"/>
        <v/>
      </c>
      <c r="P39" s="132" t="str">
        <f t="shared" si="6"/>
        <v/>
      </c>
      <c r="Q39" s="132" t="str">
        <f t="shared" si="0"/>
        <v/>
      </c>
      <c r="R39" s="132" t="str">
        <f t="shared" si="7"/>
        <v/>
      </c>
      <c r="S39" s="132" t="str">
        <f t="shared" si="8"/>
        <v/>
      </c>
      <c r="T39" s="132" t="str">
        <f t="shared" si="9"/>
        <v/>
      </c>
      <c r="U39" s="132" t="str">
        <f t="shared" si="17"/>
        <v/>
      </c>
      <c r="V39" s="132" t="str">
        <f t="shared" si="10"/>
        <v/>
      </c>
      <c r="W39" s="132" t="str">
        <f t="shared" si="11"/>
        <v/>
      </c>
      <c r="X39" s="132">
        <f t="shared" si="12"/>
        <v>3</v>
      </c>
      <c r="Y39" s="132" t="str">
        <f t="shared" si="13"/>
        <v/>
      </c>
      <c r="Z39" s="132" t="str">
        <f t="shared" si="14"/>
        <v/>
      </c>
      <c r="AA39" s="132" t="str">
        <f t="shared" si="15"/>
        <v/>
      </c>
      <c r="AB39" s="132" t="str">
        <f t="shared" si="16"/>
        <v/>
      </c>
    </row>
    <row r="40" spans="1:28" x14ac:dyDescent="0.25">
      <c r="A40" s="5">
        <f t="shared" si="1"/>
        <v>0</v>
      </c>
      <c r="B40" s="4" t="str">
        <f t="shared" si="2"/>
        <v/>
      </c>
      <c r="C40" s="4" t="str">
        <f t="shared" si="3"/>
        <v/>
      </c>
      <c r="D40" s="35" t="str">
        <f t="shared" si="4"/>
        <v/>
      </c>
      <c r="O40" s="132" t="str">
        <f t="shared" si="5"/>
        <v/>
      </c>
      <c r="P40" s="132" t="str">
        <f t="shared" si="6"/>
        <v/>
      </c>
      <c r="Q40" s="132" t="str">
        <f t="shared" si="0"/>
        <v/>
      </c>
      <c r="R40" s="132" t="str">
        <f t="shared" si="7"/>
        <v/>
      </c>
      <c r="S40" s="132" t="str">
        <f t="shared" si="8"/>
        <v/>
      </c>
      <c r="T40" s="132" t="str">
        <f t="shared" si="9"/>
        <v/>
      </c>
      <c r="U40" s="132" t="str">
        <f t="shared" si="17"/>
        <v/>
      </c>
      <c r="V40" s="132" t="str">
        <f t="shared" si="10"/>
        <v/>
      </c>
      <c r="W40" s="132" t="str">
        <f t="shared" si="11"/>
        <v/>
      </c>
      <c r="X40" s="132">
        <f t="shared" si="12"/>
        <v>3</v>
      </c>
      <c r="Y40" s="132" t="str">
        <f t="shared" si="13"/>
        <v/>
      </c>
      <c r="Z40" s="132" t="str">
        <f t="shared" si="14"/>
        <v/>
      </c>
      <c r="AA40" s="132" t="str">
        <f t="shared" si="15"/>
        <v/>
      </c>
      <c r="AB40" s="132" t="str">
        <f t="shared" si="16"/>
        <v/>
      </c>
    </row>
    <row r="41" spans="1:28" x14ac:dyDescent="0.25">
      <c r="A41" s="5">
        <f t="shared" si="1"/>
        <v>0</v>
      </c>
      <c r="B41" s="4" t="str">
        <f t="shared" si="2"/>
        <v/>
      </c>
      <c r="C41" s="4" t="str">
        <f t="shared" si="3"/>
        <v/>
      </c>
      <c r="D41" s="35" t="str">
        <f t="shared" si="4"/>
        <v/>
      </c>
      <c r="O41" s="132" t="str">
        <f t="shared" si="5"/>
        <v/>
      </c>
      <c r="P41" s="132" t="str">
        <f t="shared" si="6"/>
        <v/>
      </c>
      <c r="Q41" s="132" t="str">
        <f t="shared" si="0"/>
        <v/>
      </c>
      <c r="R41" s="132" t="str">
        <f t="shared" si="7"/>
        <v/>
      </c>
      <c r="S41" s="132" t="str">
        <f t="shared" si="8"/>
        <v/>
      </c>
      <c r="T41" s="132" t="str">
        <f t="shared" si="9"/>
        <v/>
      </c>
      <c r="U41" s="132" t="str">
        <f t="shared" si="17"/>
        <v/>
      </c>
      <c r="V41" s="132" t="str">
        <f t="shared" si="10"/>
        <v/>
      </c>
      <c r="W41" s="132" t="str">
        <f t="shared" si="11"/>
        <v/>
      </c>
      <c r="X41" s="132">
        <f t="shared" si="12"/>
        <v>3</v>
      </c>
      <c r="Y41" s="132" t="str">
        <f t="shared" si="13"/>
        <v/>
      </c>
      <c r="Z41" s="132" t="str">
        <f t="shared" si="14"/>
        <v/>
      </c>
      <c r="AA41" s="132" t="str">
        <f t="shared" si="15"/>
        <v/>
      </c>
      <c r="AB41" s="132" t="str">
        <f t="shared" si="16"/>
        <v/>
      </c>
    </row>
    <row r="42" spans="1:28" x14ac:dyDescent="0.25">
      <c r="A42" s="5">
        <f t="shared" si="1"/>
        <v>0</v>
      </c>
      <c r="B42" s="4" t="str">
        <f t="shared" si="2"/>
        <v/>
      </c>
      <c r="C42" s="4" t="str">
        <f t="shared" si="3"/>
        <v/>
      </c>
      <c r="D42" s="35" t="str">
        <f t="shared" si="4"/>
        <v/>
      </c>
      <c r="O42" s="132" t="str">
        <f t="shared" si="5"/>
        <v/>
      </c>
      <c r="P42" s="132" t="str">
        <f t="shared" si="6"/>
        <v/>
      </c>
      <c r="Q42" s="132" t="str">
        <f t="shared" si="0"/>
        <v/>
      </c>
      <c r="R42" s="132" t="str">
        <f t="shared" si="7"/>
        <v/>
      </c>
      <c r="S42" s="132" t="str">
        <f t="shared" si="8"/>
        <v/>
      </c>
      <c r="T42" s="132" t="str">
        <f t="shared" si="9"/>
        <v/>
      </c>
      <c r="U42" s="132" t="str">
        <f t="shared" si="17"/>
        <v/>
      </c>
      <c r="V42" s="132" t="str">
        <f t="shared" si="10"/>
        <v/>
      </c>
      <c r="W42" s="132" t="str">
        <f t="shared" si="11"/>
        <v/>
      </c>
      <c r="X42" s="132">
        <f t="shared" si="12"/>
        <v>3</v>
      </c>
      <c r="Y42" s="132" t="str">
        <f t="shared" si="13"/>
        <v/>
      </c>
      <c r="Z42" s="132" t="str">
        <f t="shared" si="14"/>
        <v/>
      </c>
      <c r="AA42" s="132" t="str">
        <f t="shared" si="15"/>
        <v/>
      </c>
      <c r="AB42" s="132" t="str">
        <f t="shared" si="16"/>
        <v/>
      </c>
    </row>
    <row r="43" spans="1:28" x14ac:dyDescent="0.25">
      <c r="A43" s="5">
        <f t="shared" si="1"/>
        <v>0</v>
      </c>
      <c r="B43" s="4" t="str">
        <f t="shared" si="2"/>
        <v/>
      </c>
      <c r="C43" s="4" t="str">
        <f t="shared" si="3"/>
        <v/>
      </c>
      <c r="D43" s="35" t="str">
        <f t="shared" si="4"/>
        <v/>
      </c>
      <c r="O43" s="132" t="str">
        <f t="shared" si="5"/>
        <v/>
      </c>
      <c r="P43" s="132" t="str">
        <f t="shared" si="6"/>
        <v/>
      </c>
      <c r="Q43" s="132" t="str">
        <f t="shared" si="0"/>
        <v/>
      </c>
      <c r="R43" s="132" t="str">
        <f t="shared" si="7"/>
        <v/>
      </c>
      <c r="S43" s="132" t="str">
        <f t="shared" si="8"/>
        <v/>
      </c>
      <c r="T43" s="132" t="str">
        <f t="shared" si="9"/>
        <v/>
      </c>
      <c r="U43" s="132" t="str">
        <f t="shared" si="17"/>
        <v/>
      </c>
      <c r="V43" s="132" t="str">
        <f t="shared" si="10"/>
        <v/>
      </c>
      <c r="W43" s="132" t="str">
        <f t="shared" si="11"/>
        <v/>
      </c>
      <c r="X43" s="132">
        <f t="shared" si="12"/>
        <v>3</v>
      </c>
      <c r="Y43" s="132" t="str">
        <f t="shared" si="13"/>
        <v/>
      </c>
      <c r="Z43" s="132" t="str">
        <f t="shared" si="14"/>
        <v/>
      </c>
      <c r="AA43" s="132" t="str">
        <f t="shared" si="15"/>
        <v/>
      </c>
      <c r="AB43" s="132" t="str">
        <f t="shared" si="16"/>
        <v/>
      </c>
    </row>
    <row r="44" spans="1:28" x14ac:dyDescent="0.25">
      <c r="A44" s="5">
        <f t="shared" si="1"/>
        <v>0</v>
      </c>
      <c r="B44" s="4" t="str">
        <f t="shared" si="2"/>
        <v/>
      </c>
      <c r="C44" s="4" t="str">
        <f t="shared" si="3"/>
        <v/>
      </c>
      <c r="D44" s="35" t="str">
        <f t="shared" si="4"/>
        <v/>
      </c>
      <c r="O44" s="132" t="str">
        <f t="shared" si="5"/>
        <v/>
      </c>
      <c r="P44" s="132" t="str">
        <f t="shared" si="6"/>
        <v/>
      </c>
      <c r="Q44" s="132" t="str">
        <f t="shared" si="0"/>
        <v/>
      </c>
      <c r="R44" s="132" t="str">
        <f t="shared" si="7"/>
        <v/>
      </c>
      <c r="S44" s="132" t="str">
        <f t="shared" si="8"/>
        <v/>
      </c>
      <c r="T44" s="132" t="str">
        <f t="shared" si="9"/>
        <v/>
      </c>
      <c r="U44" s="132" t="str">
        <f t="shared" si="17"/>
        <v/>
      </c>
      <c r="V44" s="132" t="str">
        <f t="shared" si="10"/>
        <v/>
      </c>
      <c r="W44" s="132" t="str">
        <f t="shared" si="11"/>
        <v/>
      </c>
      <c r="X44" s="132">
        <f t="shared" si="12"/>
        <v>3</v>
      </c>
      <c r="Y44" s="132" t="str">
        <f t="shared" si="13"/>
        <v/>
      </c>
      <c r="Z44" s="132" t="str">
        <f t="shared" si="14"/>
        <v/>
      </c>
      <c r="AA44" s="132" t="str">
        <f t="shared" si="15"/>
        <v/>
      </c>
      <c r="AB44" s="132" t="str">
        <f t="shared" si="16"/>
        <v/>
      </c>
    </row>
    <row r="45" spans="1:28" x14ac:dyDescent="0.25">
      <c r="A45" s="5">
        <f t="shared" si="1"/>
        <v>0</v>
      </c>
      <c r="B45" s="4" t="str">
        <f t="shared" si="2"/>
        <v/>
      </c>
      <c r="C45" s="4" t="str">
        <f t="shared" si="3"/>
        <v/>
      </c>
      <c r="D45" s="35" t="str">
        <f t="shared" si="4"/>
        <v/>
      </c>
      <c r="O45" s="132" t="str">
        <f t="shared" si="5"/>
        <v/>
      </c>
      <c r="P45" s="132" t="str">
        <f t="shared" si="6"/>
        <v/>
      </c>
      <c r="Q45" s="132" t="str">
        <f t="shared" si="0"/>
        <v/>
      </c>
      <c r="R45" s="132" t="str">
        <f t="shared" si="7"/>
        <v/>
      </c>
      <c r="S45" s="132" t="str">
        <f t="shared" si="8"/>
        <v/>
      </c>
      <c r="T45" s="132" t="str">
        <f t="shared" si="9"/>
        <v/>
      </c>
      <c r="U45" s="132" t="str">
        <f t="shared" si="17"/>
        <v/>
      </c>
      <c r="V45" s="132" t="str">
        <f t="shared" si="10"/>
        <v/>
      </c>
      <c r="W45" s="132" t="str">
        <f t="shared" si="11"/>
        <v/>
      </c>
      <c r="X45" s="132">
        <f t="shared" si="12"/>
        <v>3</v>
      </c>
      <c r="Y45" s="132" t="str">
        <f t="shared" si="13"/>
        <v/>
      </c>
      <c r="Z45" s="132" t="str">
        <f t="shared" si="14"/>
        <v/>
      </c>
      <c r="AA45" s="132" t="str">
        <f t="shared" si="15"/>
        <v/>
      </c>
      <c r="AB45" s="132" t="str">
        <f t="shared" si="16"/>
        <v/>
      </c>
    </row>
    <row r="46" spans="1:28" x14ac:dyDescent="0.25">
      <c r="A46" s="5">
        <f t="shared" si="1"/>
        <v>0</v>
      </c>
      <c r="B46" s="4" t="str">
        <f t="shared" si="2"/>
        <v/>
      </c>
      <c r="C46" s="4" t="str">
        <f t="shared" si="3"/>
        <v/>
      </c>
      <c r="D46" s="35" t="str">
        <f t="shared" si="4"/>
        <v/>
      </c>
      <c r="O46" s="132" t="str">
        <f t="shared" si="5"/>
        <v/>
      </c>
      <c r="P46" s="132" t="str">
        <f t="shared" si="6"/>
        <v/>
      </c>
      <c r="Q46" s="132" t="str">
        <f t="shared" si="0"/>
        <v/>
      </c>
      <c r="R46" s="132" t="str">
        <f t="shared" si="7"/>
        <v/>
      </c>
      <c r="S46" s="132" t="str">
        <f t="shared" si="8"/>
        <v/>
      </c>
      <c r="T46" s="132" t="str">
        <f t="shared" si="9"/>
        <v/>
      </c>
      <c r="U46" s="132" t="str">
        <f t="shared" si="17"/>
        <v/>
      </c>
      <c r="V46" s="132" t="str">
        <f t="shared" si="10"/>
        <v/>
      </c>
      <c r="W46" s="132" t="str">
        <f t="shared" si="11"/>
        <v/>
      </c>
      <c r="X46" s="132">
        <f t="shared" si="12"/>
        <v>3</v>
      </c>
      <c r="Y46" s="132" t="str">
        <f t="shared" si="13"/>
        <v/>
      </c>
      <c r="Z46" s="132" t="str">
        <f t="shared" si="14"/>
        <v/>
      </c>
      <c r="AA46" s="132" t="str">
        <f t="shared" si="15"/>
        <v/>
      </c>
      <c r="AB46" s="132" t="str">
        <f t="shared" si="16"/>
        <v/>
      </c>
    </row>
    <row r="47" spans="1:28" x14ac:dyDescent="0.25">
      <c r="A47" s="5">
        <f t="shared" si="1"/>
        <v>0</v>
      </c>
      <c r="B47" s="4" t="str">
        <f t="shared" si="2"/>
        <v/>
      </c>
      <c r="C47" s="4" t="str">
        <f t="shared" si="3"/>
        <v/>
      </c>
      <c r="D47" s="35" t="str">
        <f t="shared" si="4"/>
        <v/>
      </c>
      <c r="O47" s="132" t="str">
        <f t="shared" si="5"/>
        <v/>
      </c>
      <c r="P47" s="132" t="str">
        <f t="shared" si="6"/>
        <v/>
      </c>
      <c r="Q47" s="132" t="str">
        <f t="shared" si="0"/>
        <v/>
      </c>
      <c r="R47" s="132" t="str">
        <f t="shared" si="7"/>
        <v/>
      </c>
      <c r="S47" s="132" t="str">
        <f t="shared" si="8"/>
        <v/>
      </c>
      <c r="T47" s="132" t="str">
        <f t="shared" si="9"/>
        <v/>
      </c>
      <c r="U47" s="132" t="str">
        <f t="shared" si="17"/>
        <v/>
      </c>
      <c r="V47" s="132" t="str">
        <f t="shared" si="10"/>
        <v/>
      </c>
      <c r="W47" s="132" t="str">
        <f t="shared" si="11"/>
        <v/>
      </c>
      <c r="X47" s="132">
        <f t="shared" si="12"/>
        <v>3</v>
      </c>
      <c r="Y47" s="132" t="str">
        <f t="shared" si="13"/>
        <v/>
      </c>
      <c r="Z47" s="132" t="str">
        <f t="shared" si="14"/>
        <v/>
      </c>
      <c r="AA47" s="132" t="str">
        <f t="shared" si="15"/>
        <v/>
      </c>
      <c r="AB47" s="132" t="str">
        <f t="shared" si="16"/>
        <v/>
      </c>
    </row>
    <row r="48" spans="1:28" x14ac:dyDescent="0.25">
      <c r="A48" s="5">
        <f t="shared" si="1"/>
        <v>0</v>
      </c>
      <c r="B48" s="4" t="str">
        <f t="shared" si="2"/>
        <v/>
      </c>
      <c r="C48" s="4" t="str">
        <f t="shared" si="3"/>
        <v/>
      </c>
      <c r="D48" s="35" t="str">
        <f t="shared" si="4"/>
        <v/>
      </c>
      <c r="O48" s="132" t="str">
        <f t="shared" si="5"/>
        <v/>
      </c>
      <c r="P48" s="132" t="str">
        <f t="shared" si="6"/>
        <v/>
      </c>
      <c r="Q48" s="132" t="str">
        <f t="shared" si="0"/>
        <v/>
      </c>
      <c r="R48" s="132" t="str">
        <f t="shared" si="7"/>
        <v/>
      </c>
      <c r="S48" s="132" t="str">
        <f t="shared" si="8"/>
        <v/>
      </c>
      <c r="T48" s="132" t="str">
        <f t="shared" si="9"/>
        <v/>
      </c>
      <c r="U48" s="132" t="str">
        <f t="shared" si="17"/>
        <v/>
      </c>
      <c r="V48" s="132" t="str">
        <f t="shared" si="10"/>
        <v/>
      </c>
      <c r="W48" s="132" t="str">
        <f t="shared" si="11"/>
        <v/>
      </c>
      <c r="X48" s="132">
        <f t="shared" si="12"/>
        <v>3</v>
      </c>
      <c r="Y48" s="132" t="str">
        <f t="shared" si="13"/>
        <v/>
      </c>
      <c r="Z48" s="132" t="str">
        <f t="shared" si="14"/>
        <v/>
      </c>
      <c r="AA48" s="132" t="str">
        <f t="shared" si="15"/>
        <v/>
      </c>
      <c r="AB48" s="132" t="str">
        <f t="shared" si="16"/>
        <v/>
      </c>
    </row>
    <row r="49" spans="1:28" x14ac:dyDescent="0.25">
      <c r="A49" s="5">
        <f t="shared" si="1"/>
        <v>0</v>
      </c>
      <c r="B49" s="4" t="str">
        <f t="shared" si="2"/>
        <v/>
      </c>
      <c r="C49" s="4" t="str">
        <f t="shared" si="3"/>
        <v/>
      </c>
      <c r="D49" s="35" t="str">
        <f t="shared" si="4"/>
        <v/>
      </c>
      <c r="O49" s="132" t="str">
        <f t="shared" si="5"/>
        <v/>
      </c>
      <c r="P49" s="132" t="str">
        <f t="shared" si="6"/>
        <v/>
      </c>
      <c r="Q49" s="132" t="str">
        <f t="shared" si="0"/>
        <v/>
      </c>
      <c r="R49" s="132" t="str">
        <f t="shared" si="7"/>
        <v/>
      </c>
      <c r="S49" s="132" t="str">
        <f t="shared" si="8"/>
        <v/>
      </c>
      <c r="T49" s="132" t="str">
        <f t="shared" si="9"/>
        <v/>
      </c>
      <c r="U49" s="132" t="str">
        <f t="shared" si="17"/>
        <v/>
      </c>
      <c r="V49" s="132" t="str">
        <f t="shared" si="10"/>
        <v/>
      </c>
      <c r="W49" s="132" t="str">
        <f t="shared" si="11"/>
        <v/>
      </c>
      <c r="X49" s="132">
        <f t="shared" si="12"/>
        <v>3</v>
      </c>
      <c r="Y49" s="132" t="str">
        <f t="shared" si="13"/>
        <v/>
      </c>
      <c r="Z49" s="132" t="str">
        <f t="shared" si="14"/>
        <v/>
      </c>
      <c r="AA49" s="132" t="str">
        <f t="shared" si="15"/>
        <v/>
      </c>
      <c r="AB49" s="132" t="str">
        <f t="shared" si="16"/>
        <v/>
      </c>
    </row>
    <row r="50" spans="1:28" x14ac:dyDescent="0.25">
      <c r="A50" s="5">
        <f t="shared" si="1"/>
        <v>0</v>
      </c>
      <c r="B50" s="4" t="str">
        <f t="shared" si="2"/>
        <v/>
      </c>
      <c r="C50" s="4" t="str">
        <f t="shared" si="3"/>
        <v/>
      </c>
      <c r="D50" s="35" t="str">
        <f t="shared" si="4"/>
        <v/>
      </c>
      <c r="O50" s="132" t="str">
        <f t="shared" si="5"/>
        <v/>
      </c>
      <c r="P50" s="132" t="str">
        <f t="shared" si="6"/>
        <v/>
      </c>
      <c r="Q50" s="132" t="str">
        <f t="shared" si="0"/>
        <v/>
      </c>
      <c r="R50" s="132" t="str">
        <f t="shared" si="7"/>
        <v/>
      </c>
      <c r="S50" s="132" t="str">
        <f t="shared" si="8"/>
        <v/>
      </c>
      <c r="T50" s="132" t="str">
        <f t="shared" si="9"/>
        <v/>
      </c>
      <c r="U50" s="132" t="str">
        <f t="shared" si="17"/>
        <v/>
      </c>
      <c r="V50" s="132" t="str">
        <f t="shared" si="10"/>
        <v/>
      </c>
      <c r="W50" s="132" t="str">
        <f t="shared" si="11"/>
        <v/>
      </c>
      <c r="X50" s="132">
        <f t="shared" si="12"/>
        <v>3</v>
      </c>
      <c r="Y50" s="132" t="str">
        <f t="shared" si="13"/>
        <v/>
      </c>
      <c r="Z50" s="132" t="str">
        <f t="shared" si="14"/>
        <v/>
      </c>
      <c r="AA50" s="132" t="str">
        <f t="shared" si="15"/>
        <v/>
      </c>
      <c r="AB50" s="132" t="str">
        <f t="shared" si="16"/>
        <v/>
      </c>
    </row>
    <row r="51" spans="1:28" x14ac:dyDescent="0.25">
      <c r="A51" s="5">
        <f t="shared" si="1"/>
        <v>0</v>
      </c>
      <c r="B51" s="4" t="str">
        <f t="shared" si="2"/>
        <v/>
      </c>
      <c r="C51" s="4" t="str">
        <f t="shared" si="3"/>
        <v/>
      </c>
      <c r="D51" s="35" t="str">
        <f t="shared" si="4"/>
        <v/>
      </c>
      <c r="P51" s="132" t="str">
        <f t="shared" si="6"/>
        <v/>
      </c>
      <c r="Q51" s="132" t="str">
        <f t="shared" si="0"/>
        <v/>
      </c>
      <c r="R51" s="132" t="str">
        <f t="shared" si="7"/>
        <v/>
      </c>
      <c r="T51" s="132" t="str">
        <f t="shared" si="9"/>
        <v/>
      </c>
      <c r="U51" s="132" t="str">
        <f t="shared" si="17"/>
        <v/>
      </c>
      <c r="V51" s="132" t="str">
        <f t="shared" si="10"/>
        <v/>
      </c>
      <c r="W51" s="132" t="str">
        <f t="shared" si="11"/>
        <v/>
      </c>
      <c r="X51" s="132">
        <f t="shared" si="12"/>
        <v>3</v>
      </c>
      <c r="Y51" s="132" t="str">
        <f t="shared" si="13"/>
        <v/>
      </c>
      <c r="Z51" s="132" t="str">
        <f t="shared" si="14"/>
        <v/>
      </c>
      <c r="AA51" s="132" t="str">
        <f t="shared" si="15"/>
        <v/>
      </c>
      <c r="AB51" s="132" t="str">
        <f t="shared" si="16"/>
        <v/>
      </c>
    </row>
    <row r="52" spans="1:28" x14ac:dyDescent="0.25">
      <c r="A52" s="5">
        <f t="shared" si="1"/>
        <v>0</v>
      </c>
      <c r="B52" s="4" t="str">
        <f t="shared" si="2"/>
        <v/>
      </c>
      <c r="C52" s="4" t="str">
        <f t="shared" si="3"/>
        <v/>
      </c>
      <c r="D52" s="35" t="str">
        <f t="shared" si="4"/>
        <v/>
      </c>
      <c r="P52" s="132" t="str">
        <f t="shared" si="6"/>
        <v/>
      </c>
      <c r="Q52" s="132" t="str">
        <f t="shared" si="0"/>
        <v/>
      </c>
      <c r="R52" s="132" t="str">
        <f t="shared" si="7"/>
        <v/>
      </c>
      <c r="T52" s="132" t="str">
        <f t="shared" si="9"/>
        <v/>
      </c>
      <c r="U52" s="132" t="str">
        <f t="shared" si="17"/>
        <v/>
      </c>
      <c r="V52" s="132" t="str">
        <f t="shared" si="10"/>
        <v/>
      </c>
      <c r="W52" s="132" t="str">
        <f t="shared" si="11"/>
        <v/>
      </c>
      <c r="X52" s="132">
        <f t="shared" si="12"/>
        <v>3</v>
      </c>
      <c r="Y52" s="132" t="str">
        <f t="shared" si="13"/>
        <v/>
      </c>
      <c r="Z52" s="132" t="str">
        <f t="shared" si="14"/>
        <v/>
      </c>
      <c r="AA52" s="132" t="str">
        <f t="shared" si="15"/>
        <v/>
      </c>
      <c r="AB52" s="132" t="str">
        <f t="shared" si="16"/>
        <v/>
      </c>
    </row>
    <row r="53" spans="1:28" x14ac:dyDescent="0.25">
      <c r="A53" s="5">
        <f t="shared" si="1"/>
        <v>0</v>
      </c>
      <c r="B53" s="4" t="str">
        <f t="shared" si="2"/>
        <v/>
      </c>
      <c r="C53" s="4" t="str">
        <f t="shared" si="3"/>
        <v/>
      </c>
      <c r="D53" s="35" t="str">
        <f t="shared" si="4"/>
        <v/>
      </c>
      <c r="P53" s="132" t="str">
        <f t="shared" si="6"/>
        <v/>
      </c>
      <c r="Q53" s="132" t="str">
        <f t="shared" si="0"/>
        <v/>
      </c>
      <c r="R53" s="132" t="str">
        <f t="shared" si="7"/>
        <v/>
      </c>
      <c r="T53" s="132" t="str">
        <f t="shared" si="9"/>
        <v/>
      </c>
      <c r="U53" s="132" t="str">
        <f t="shared" si="17"/>
        <v/>
      </c>
      <c r="V53" s="132" t="str">
        <f t="shared" si="10"/>
        <v/>
      </c>
      <c r="W53" s="132" t="str">
        <f t="shared" si="11"/>
        <v/>
      </c>
      <c r="X53" s="132">
        <f t="shared" si="12"/>
        <v>3</v>
      </c>
      <c r="Y53" s="132" t="str">
        <f t="shared" si="13"/>
        <v/>
      </c>
      <c r="Z53" s="132" t="str">
        <f t="shared" si="14"/>
        <v/>
      </c>
      <c r="AA53" s="132" t="str">
        <f t="shared" si="15"/>
        <v/>
      </c>
      <c r="AB53" s="132" t="str">
        <f t="shared" si="16"/>
        <v/>
      </c>
    </row>
    <row r="54" spans="1:28" x14ac:dyDescent="0.25">
      <c r="A54" s="5">
        <f t="shared" si="1"/>
        <v>0</v>
      </c>
      <c r="B54" s="4" t="str">
        <f t="shared" si="2"/>
        <v/>
      </c>
      <c r="C54" s="4" t="str">
        <f t="shared" si="3"/>
        <v/>
      </c>
      <c r="D54" s="35" t="str">
        <f t="shared" si="4"/>
        <v/>
      </c>
      <c r="P54" s="132" t="str">
        <f t="shared" si="6"/>
        <v/>
      </c>
      <c r="Q54" s="132" t="str">
        <f t="shared" si="0"/>
        <v/>
      </c>
      <c r="R54" s="132" t="str">
        <f t="shared" si="7"/>
        <v/>
      </c>
      <c r="T54" s="132" t="str">
        <f t="shared" si="9"/>
        <v/>
      </c>
      <c r="U54" s="132" t="str">
        <f t="shared" si="17"/>
        <v/>
      </c>
      <c r="V54" s="132" t="str">
        <f t="shared" si="10"/>
        <v/>
      </c>
      <c r="W54" s="132" t="str">
        <f t="shared" si="11"/>
        <v/>
      </c>
      <c r="X54" s="132">
        <f t="shared" si="12"/>
        <v>3</v>
      </c>
      <c r="Y54" s="132" t="str">
        <f t="shared" si="13"/>
        <v/>
      </c>
      <c r="Z54" s="132" t="str">
        <f t="shared" si="14"/>
        <v/>
      </c>
      <c r="AA54" s="132" t="str">
        <f t="shared" si="15"/>
        <v/>
      </c>
      <c r="AB54" s="132" t="str">
        <f t="shared" si="16"/>
        <v/>
      </c>
    </row>
    <row r="55" spans="1:28" x14ac:dyDescent="0.25">
      <c r="A55" s="5">
        <f t="shared" si="1"/>
        <v>0</v>
      </c>
      <c r="B55" s="4" t="str">
        <f t="shared" si="2"/>
        <v/>
      </c>
      <c r="C55" s="4" t="str">
        <f t="shared" si="3"/>
        <v/>
      </c>
      <c r="D55" s="35" t="str">
        <f t="shared" si="4"/>
        <v/>
      </c>
      <c r="P55" s="132" t="str">
        <f t="shared" si="6"/>
        <v/>
      </c>
      <c r="Q55" s="132" t="str">
        <f t="shared" si="0"/>
        <v/>
      </c>
      <c r="R55" s="132" t="str">
        <f t="shared" si="7"/>
        <v/>
      </c>
      <c r="T55" s="132" t="str">
        <f t="shared" si="9"/>
        <v/>
      </c>
      <c r="U55" s="132" t="str">
        <f t="shared" si="17"/>
        <v/>
      </c>
      <c r="V55" s="132" t="str">
        <f t="shared" si="10"/>
        <v/>
      </c>
      <c r="W55" s="132" t="str">
        <f t="shared" si="11"/>
        <v/>
      </c>
      <c r="X55" s="132">
        <f t="shared" si="12"/>
        <v>3</v>
      </c>
      <c r="Y55" s="132" t="str">
        <f t="shared" si="13"/>
        <v/>
      </c>
      <c r="Z55" s="132" t="str">
        <f t="shared" si="14"/>
        <v/>
      </c>
      <c r="AA55" s="132" t="str">
        <f t="shared" si="15"/>
        <v/>
      </c>
      <c r="AB55" s="132" t="str">
        <f t="shared" si="16"/>
        <v/>
      </c>
    </row>
    <row r="56" spans="1:28" x14ac:dyDescent="0.25">
      <c r="A56" s="5">
        <f t="shared" si="1"/>
        <v>0</v>
      </c>
      <c r="B56" s="4" t="str">
        <f t="shared" si="2"/>
        <v/>
      </c>
      <c r="C56" s="4" t="str">
        <f t="shared" si="3"/>
        <v/>
      </c>
      <c r="D56" s="35" t="str">
        <f t="shared" si="4"/>
        <v/>
      </c>
      <c r="P56" s="132" t="str">
        <f t="shared" si="6"/>
        <v/>
      </c>
      <c r="Q56" s="132" t="str">
        <f t="shared" si="0"/>
        <v/>
      </c>
      <c r="R56" s="132" t="str">
        <f t="shared" si="7"/>
        <v/>
      </c>
      <c r="T56" s="132" t="str">
        <f t="shared" si="9"/>
        <v/>
      </c>
      <c r="U56" s="132" t="str">
        <f t="shared" si="17"/>
        <v/>
      </c>
      <c r="V56" s="132" t="str">
        <f t="shared" si="10"/>
        <v/>
      </c>
      <c r="W56" s="132" t="str">
        <f t="shared" si="11"/>
        <v/>
      </c>
      <c r="X56" s="132">
        <f t="shared" si="12"/>
        <v>3</v>
      </c>
      <c r="Y56" s="132" t="str">
        <f t="shared" si="13"/>
        <v/>
      </c>
      <c r="Z56" s="132" t="str">
        <f t="shared" si="14"/>
        <v/>
      </c>
      <c r="AA56" s="132" t="str">
        <f t="shared" si="15"/>
        <v/>
      </c>
      <c r="AB56" s="132" t="str">
        <f t="shared" si="16"/>
        <v/>
      </c>
    </row>
    <row r="57" spans="1:28" x14ac:dyDescent="0.25">
      <c r="A57" s="5">
        <f t="shared" si="1"/>
        <v>0</v>
      </c>
      <c r="B57" s="4" t="str">
        <f t="shared" si="2"/>
        <v/>
      </c>
      <c r="C57" s="4" t="str">
        <f t="shared" si="3"/>
        <v/>
      </c>
      <c r="D57" s="35" t="str">
        <f t="shared" si="4"/>
        <v/>
      </c>
      <c r="P57" s="132" t="str">
        <f t="shared" si="6"/>
        <v/>
      </c>
      <c r="Q57" s="132" t="str">
        <f t="shared" si="0"/>
        <v/>
      </c>
      <c r="R57" s="132" t="str">
        <f t="shared" si="7"/>
        <v/>
      </c>
      <c r="T57" s="132" t="str">
        <f t="shared" si="9"/>
        <v/>
      </c>
      <c r="U57" s="132" t="str">
        <f t="shared" si="17"/>
        <v/>
      </c>
      <c r="V57" s="132" t="str">
        <f t="shared" si="10"/>
        <v/>
      </c>
      <c r="W57" s="132" t="str">
        <f t="shared" si="11"/>
        <v/>
      </c>
      <c r="X57" s="132">
        <f t="shared" si="12"/>
        <v>4</v>
      </c>
      <c r="Y57" s="132" t="str">
        <f t="shared" si="13"/>
        <v>Trailblazers @ Bulls</v>
      </c>
      <c r="Z57" s="132" t="str">
        <f t="shared" si="14"/>
        <v>Trailblazers @ Bulls</v>
      </c>
      <c r="AA57" s="132" t="str">
        <f t="shared" si="15"/>
        <v>Over 214</v>
      </c>
      <c r="AB57" s="132">
        <f t="shared" si="16"/>
        <v>0.66734000000000004</v>
      </c>
    </row>
    <row r="58" spans="1:28" x14ac:dyDescent="0.25">
      <c r="A58" s="5">
        <f t="shared" si="1"/>
        <v>0</v>
      </c>
      <c r="B58" s="4" t="str">
        <f t="shared" si="2"/>
        <v/>
      </c>
      <c r="C58" s="4" t="str">
        <f t="shared" si="3"/>
        <v/>
      </c>
      <c r="D58" s="35" t="str">
        <f t="shared" si="4"/>
        <v/>
      </c>
      <c r="P58" s="132" t="str">
        <f t="shared" si="6"/>
        <v/>
      </c>
      <c r="Q58" s="132" t="str">
        <f t="shared" si="0"/>
        <v/>
      </c>
      <c r="R58" s="132" t="str">
        <f t="shared" si="7"/>
        <v/>
      </c>
      <c r="T58" s="132" t="str">
        <f t="shared" si="9"/>
        <v/>
      </c>
      <c r="U58" s="132" t="str">
        <f t="shared" si="17"/>
        <v/>
      </c>
      <c r="V58" s="132" t="str">
        <f t="shared" si="10"/>
        <v/>
      </c>
      <c r="W58" s="132" t="str">
        <f t="shared" si="11"/>
        <v/>
      </c>
      <c r="X58" s="132">
        <f t="shared" si="12"/>
        <v>4</v>
      </c>
      <c r="Y58" s="132" t="str">
        <f t="shared" si="13"/>
        <v>Over 214</v>
      </c>
      <c r="Z58" s="132" t="str">
        <f t="shared" si="14"/>
        <v/>
      </c>
      <c r="AA58" s="132" t="str">
        <f t="shared" si="15"/>
        <v/>
      </c>
      <c r="AB58" s="132" t="str">
        <f t="shared" si="16"/>
        <v/>
      </c>
    </row>
    <row r="59" spans="1:28" x14ac:dyDescent="0.25">
      <c r="A59" s="5">
        <f t="shared" si="1"/>
        <v>0</v>
      </c>
      <c r="B59" s="4" t="str">
        <f t="shared" si="2"/>
        <v/>
      </c>
      <c r="C59" s="4" t="str">
        <f t="shared" si="3"/>
        <v/>
      </c>
      <c r="D59" s="35" t="str">
        <f t="shared" si="4"/>
        <v/>
      </c>
      <c r="P59" s="132" t="str">
        <f t="shared" si="6"/>
        <v/>
      </c>
      <c r="Q59" s="132" t="str">
        <f t="shared" si="0"/>
        <v/>
      </c>
      <c r="R59" s="132" t="str">
        <f t="shared" si="7"/>
        <v/>
      </c>
      <c r="T59" s="132" t="str">
        <f t="shared" si="9"/>
        <v/>
      </c>
      <c r="U59" s="132" t="str">
        <f t="shared" si="17"/>
        <v/>
      </c>
      <c r="V59" s="132" t="str">
        <f t="shared" si="10"/>
        <v/>
      </c>
      <c r="W59" s="132" t="str">
        <f t="shared" si="11"/>
        <v/>
      </c>
      <c r="X59" s="132">
        <f t="shared" si="12"/>
        <v>4</v>
      </c>
      <c r="Y59" s="132">
        <f t="shared" si="13"/>
        <v>0.66734000000000004</v>
      </c>
      <c r="Z59" s="132" t="str">
        <f t="shared" si="14"/>
        <v/>
      </c>
      <c r="AA59" s="132" t="str">
        <f t="shared" si="15"/>
        <v/>
      </c>
      <c r="AB59" s="132" t="str">
        <f t="shared" si="16"/>
        <v/>
      </c>
    </row>
    <row r="60" spans="1:28" x14ac:dyDescent="0.25">
      <c r="A60" s="5">
        <f t="shared" si="1"/>
        <v>0</v>
      </c>
      <c r="B60" s="4" t="str">
        <f t="shared" si="2"/>
        <v/>
      </c>
      <c r="C60" s="4" t="str">
        <f t="shared" si="3"/>
        <v/>
      </c>
      <c r="D60" s="35" t="str">
        <f t="shared" si="4"/>
        <v/>
      </c>
      <c r="P60" s="132" t="str">
        <f t="shared" si="6"/>
        <v/>
      </c>
      <c r="Q60" s="132" t="str">
        <f t="shared" si="0"/>
        <v/>
      </c>
      <c r="R60" s="132" t="str">
        <f t="shared" si="7"/>
        <v/>
      </c>
      <c r="T60" s="132" t="str">
        <f t="shared" si="9"/>
        <v/>
      </c>
      <c r="U60" s="132" t="str">
        <f t="shared" si="17"/>
        <v/>
      </c>
      <c r="V60" s="132" t="str">
        <f t="shared" si="10"/>
        <v/>
      </c>
      <c r="W60" s="132" t="str">
        <f t="shared" si="11"/>
        <v/>
      </c>
      <c r="X60" s="132">
        <f t="shared" si="12"/>
        <v>5</v>
      </c>
      <c r="Y60" s="132" t="str">
        <f t="shared" si="13"/>
        <v>Trailblazers @ Bulls</v>
      </c>
      <c r="Z60" s="132" t="str">
        <f t="shared" si="14"/>
        <v>Trailblazers @ Bulls</v>
      </c>
      <c r="AA60" s="132" t="str">
        <f t="shared" si="15"/>
        <v>Bulls +9</v>
      </c>
      <c r="AB60" s="132">
        <f t="shared" si="16"/>
        <v>0.57238</v>
      </c>
    </row>
    <row r="61" spans="1:28" x14ac:dyDescent="0.25">
      <c r="A61" s="5">
        <f t="shared" si="1"/>
        <v>0</v>
      </c>
      <c r="B61" s="4" t="str">
        <f t="shared" si="2"/>
        <v/>
      </c>
      <c r="C61" s="4" t="str">
        <f t="shared" si="3"/>
        <v/>
      </c>
      <c r="D61" s="35" t="str">
        <f t="shared" si="4"/>
        <v/>
      </c>
      <c r="P61" s="132" t="str">
        <f t="shared" si="6"/>
        <v/>
      </c>
      <c r="Q61" s="132" t="str">
        <f t="shared" si="0"/>
        <v/>
      </c>
      <c r="R61" s="132" t="str">
        <f t="shared" si="7"/>
        <v/>
      </c>
      <c r="T61" s="132" t="str">
        <f t="shared" si="9"/>
        <v/>
      </c>
      <c r="U61" s="132" t="str">
        <f t="shared" si="17"/>
        <v/>
      </c>
      <c r="V61" s="132" t="str">
        <f t="shared" si="10"/>
        <v/>
      </c>
      <c r="W61" s="132" t="str">
        <f t="shared" si="11"/>
        <v/>
      </c>
      <c r="X61" s="132">
        <f t="shared" si="12"/>
        <v>5</v>
      </c>
      <c r="Y61" s="132" t="str">
        <f t="shared" si="13"/>
        <v>Bulls +9</v>
      </c>
      <c r="Z61" s="132" t="str">
        <f t="shared" si="14"/>
        <v/>
      </c>
      <c r="AA61" s="132" t="str">
        <f t="shared" si="15"/>
        <v/>
      </c>
      <c r="AB61" s="132" t="str">
        <f t="shared" si="16"/>
        <v/>
      </c>
    </row>
    <row r="62" spans="1:28" x14ac:dyDescent="0.25">
      <c r="A62" s="5">
        <f t="shared" si="1"/>
        <v>0</v>
      </c>
      <c r="B62" s="4" t="str">
        <f t="shared" si="2"/>
        <v/>
      </c>
      <c r="C62" s="4" t="str">
        <f t="shared" si="3"/>
        <v/>
      </c>
      <c r="D62" s="35" t="str">
        <f t="shared" si="4"/>
        <v/>
      </c>
      <c r="P62" s="132" t="str">
        <f t="shared" si="6"/>
        <v/>
      </c>
      <c r="Q62" s="132" t="str">
        <f t="shared" si="0"/>
        <v/>
      </c>
      <c r="R62" s="132" t="str">
        <f t="shared" si="7"/>
        <v/>
      </c>
      <c r="T62" s="132" t="str">
        <f t="shared" si="9"/>
        <v/>
      </c>
      <c r="U62" s="132" t="str">
        <f t="shared" si="17"/>
        <v/>
      </c>
      <c r="V62" s="132" t="str">
        <f t="shared" si="10"/>
        <v/>
      </c>
      <c r="W62" s="132" t="str">
        <f t="shared" si="11"/>
        <v/>
      </c>
      <c r="X62" s="132">
        <f t="shared" si="12"/>
        <v>5</v>
      </c>
      <c r="Y62" s="132">
        <f t="shared" si="13"/>
        <v>0.57238</v>
      </c>
      <c r="Z62" s="132" t="str">
        <f t="shared" si="14"/>
        <v/>
      </c>
      <c r="AA62" s="132" t="str">
        <f t="shared" si="15"/>
        <v/>
      </c>
      <c r="AB62" s="132" t="str">
        <f t="shared" si="16"/>
        <v/>
      </c>
    </row>
    <row r="63" spans="1:28" x14ac:dyDescent="0.25">
      <c r="A63" s="5">
        <f t="shared" si="1"/>
        <v>0</v>
      </c>
      <c r="B63" s="4" t="str">
        <f t="shared" si="2"/>
        <v/>
      </c>
      <c r="C63" s="4" t="str">
        <f t="shared" si="3"/>
        <v/>
      </c>
      <c r="D63" s="35" t="str">
        <f t="shared" si="4"/>
        <v/>
      </c>
      <c r="P63" s="132" t="str">
        <f t="shared" si="6"/>
        <v/>
      </c>
      <c r="Q63" s="132" t="str">
        <f t="shared" si="0"/>
        <v/>
      </c>
      <c r="R63" s="132" t="str">
        <f t="shared" si="7"/>
        <v/>
      </c>
      <c r="T63" s="132" t="str">
        <f t="shared" si="9"/>
        <v/>
      </c>
      <c r="U63" s="132" t="str">
        <f t="shared" si="17"/>
        <v/>
      </c>
      <c r="V63" s="132" t="str">
        <f t="shared" si="10"/>
        <v/>
      </c>
      <c r="W63" s="132" t="str">
        <f t="shared" si="11"/>
        <v/>
      </c>
      <c r="X63" s="132">
        <f t="shared" si="12"/>
        <v>5</v>
      </c>
      <c r="Y63" s="132" t="str">
        <f t="shared" si="13"/>
        <v/>
      </c>
      <c r="Z63" s="132" t="str">
        <f t="shared" si="14"/>
        <v/>
      </c>
      <c r="AA63" s="132" t="str">
        <f t="shared" si="15"/>
        <v/>
      </c>
      <c r="AB63" s="132" t="str">
        <f t="shared" si="16"/>
        <v/>
      </c>
    </row>
    <row r="64" spans="1:28" x14ac:dyDescent="0.25">
      <c r="A64" s="5">
        <f t="shared" si="1"/>
        <v>0</v>
      </c>
      <c r="B64" s="4" t="str">
        <f t="shared" si="2"/>
        <v/>
      </c>
      <c r="C64" s="4" t="str">
        <f t="shared" si="3"/>
        <v/>
      </c>
      <c r="D64" s="35" t="str">
        <f t="shared" si="4"/>
        <v/>
      </c>
      <c r="P64" s="132" t="str">
        <f t="shared" si="6"/>
        <v/>
      </c>
      <c r="Q64" s="132" t="str">
        <f t="shared" si="0"/>
        <v/>
      </c>
      <c r="R64" s="132" t="str">
        <f t="shared" si="7"/>
        <v/>
      </c>
      <c r="T64" s="132" t="str">
        <f t="shared" si="9"/>
        <v/>
      </c>
      <c r="U64" s="132" t="str">
        <f t="shared" si="17"/>
        <v/>
      </c>
      <c r="V64" s="132" t="str">
        <f t="shared" si="10"/>
        <v/>
      </c>
      <c r="W64" s="132" t="str">
        <f t="shared" si="11"/>
        <v/>
      </c>
      <c r="X64" s="132">
        <f t="shared" si="12"/>
        <v>5</v>
      </c>
      <c r="Y64" s="132" t="str">
        <f t="shared" si="13"/>
        <v/>
      </c>
      <c r="Z64" s="132" t="str">
        <f t="shared" si="14"/>
        <v/>
      </c>
      <c r="AA64" s="132" t="str">
        <f t="shared" si="15"/>
        <v/>
      </c>
      <c r="AB64" s="132" t="str">
        <f t="shared" si="16"/>
        <v/>
      </c>
    </row>
    <row r="65" spans="1:28" x14ac:dyDescent="0.25">
      <c r="A65" s="5">
        <f t="shared" si="1"/>
        <v>0</v>
      </c>
      <c r="B65" s="4" t="str">
        <f t="shared" si="2"/>
        <v/>
      </c>
      <c r="C65" s="4" t="str">
        <f t="shared" si="3"/>
        <v/>
      </c>
      <c r="D65" s="35" t="str">
        <f t="shared" si="4"/>
        <v/>
      </c>
      <c r="P65" s="132" t="str">
        <f t="shared" si="6"/>
        <v/>
      </c>
      <c r="Q65" s="132" t="str">
        <f t="shared" si="0"/>
        <v/>
      </c>
      <c r="R65" s="132" t="str">
        <f t="shared" si="7"/>
        <v/>
      </c>
      <c r="T65" s="132" t="str">
        <f t="shared" si="9"/>
        <v/>
      </c>
      <c r="U65" s="132" t="str">
        <f t="shared" si="17"/>
        <v/>
      </c>
      <c r="V65" s="132" t="str">
        <f t="shared" si="10"/>
        <v/>
      </c>
      <c r="W65" s="132" t="str">
        <f t="shared" si="11"/>
        <v/>
      </c>
      <c r="X65" s="132">
        <f t="shared" si="12"/>
        <v>5</v>
      </c>
      <c r="Y65" s="132" t="str">
        <f t="shared" si="13"/>
        <v/>
      </c>
      <c r="Z65" s="132" t="str">
        <f t="shared" si="14"/>
        <v/>
      </c>
      <c r="AA65" s="132" t="str">
        <f t="shared" si="15"/>
        <v/>
      </c>
      <c r="AB65" s="132" t="str">
        <f t="shared" si="16"/>
        <v/>
      </c>
    </row>
    <row r="66" spans="1:28" x14ac:dyDescent="0.25">
      <c r="A66" s="5">
        <f t="shared" si="1"/>
        <v>0</v>
      </c>
      <c r="B66" s="4" t="str">
        <f t="shared" si="2"/>
        <v/>
      </c>
      <c r="C66" s="4" t="str">
        <f t="shared" si="3"/>
        <v/>
      </c>
      <c r="D66" s="35" t="str">
        <f t="shared" si="4"/>
        <v/>
      </c>
      <c r="P66" s="132" t="str">
        <f t="shared" si="6"/>
        <v/>
      </c>
      <c r="Q66" s="132" t="str">
        <f t="shared" si="0"/>
        <v/>
      </c>
      <c r="R66" s="132" t="str">
        <f t="shared" si="7"/>
        <v/>
      </c>
      <c r="T66" s="132" t="str">
        <f t="shared" si="9"/>
        <v/>
      </c>
      <c r="U66" s="132" t="str">
        <f t="shared" si="17"/>
        <v/>
      </c>
      <c r="V66" s="132" t="str">
        <f t="shared" si="10"/>
        <v/>
      </c>
      <c r="W66" s="132" t="str">
        <f t="shared" si="11"/>
        <v/>
      </c>
      <c r="X66" s="132">
        <f t="shared" si="12"/>
        <v>5</v>
      </c>
      <c r="Y66" s="132" t="str">
        <f t="shared" si="13"/>
        <v/>
      </c>
      <c r="Z66" s="132" t="str">
        <f t="shared" si="14"/>
        <v/>
      </c>
      <c r="AA66" s="132" t="str">
        <f t="shared" si="15"/>
        <v/>
      </c>
      <c r="AB66" s="132" t="str">
        <f t="shared" si="16"/>
        <v/>
      </c>
    </row>
    <row r="67" spans="1:28" x14ac:dyDescent="0.25">
      <c r="A67" s="5">
        <f t="shared" si="1"/>
        <v>0</v>
      </c>
      <c r="B67" s="4" t="str">
        <f t="shared" si="2"/>
        <v/>
      </c>
      <c r="C67" s="4" t="str">
        <f t="shared" si="3"/>
        <v/>
      </c>
      <c r="D67" s="35" t="str">
        <f t="shared" si="4"/>
        <v/>
      </c>
      <c r="P67" s="132" t="str">
        <f t="shared" si="6"/>
        <v/>
      </c>
      <c r="Q67" s="132" t="str">
        <f t="shared" si="0"/>
        <v/>
      </c>
      <c r="R67" s="132" t="str">
        <f t="shared" si="7"/>
        <v/>
      </c>
      <c r="T67" s="132" t="str">
        <f t="shared" si="9"/>
        <v/>
      </c>
      <c r="U67" s="132" t="str">
        <f t="shared" si="17"/>
        <v/>
      </c>
      <c r="V67" s="132" t="str">
        <f t="shared" si="10"/>
        <v/>
      </c>
      <c r="W67" s="132" t="str">
        <f t="shared" si="11"/>
        <v/>
      </c>
      <c r="X67" s="132">
        <f t="shared" si="12"/>
        <v>5</v>
      </c>
      <c r="Y67" s="132" t="str">
        <f t="shared" si="13"/>
        <v/>
      </c>
      <c r="Z67" s="132" t="str">
        <f t="shared" si="14"/>
        <v/>
      </c>
      <c r="AA67" s="132" t="str">
        <f t="shared" si="15"/>
        <v/>
      </c>
      <c r="AB67" s="132" t="str">
        <f t="shared" si="16"/>
        <v/>
      </c>
    </row>
    <row r="68" spans="1:28" x14ac:dyDescent="0.25">
      <c r="A68" s="5">
        <f t="shared" ref="A68:A101" si="18">IF(ISNUMBER(CODE(B68)),1,0)</f>
        <v>0</v>
      </c>
      <c r="B68" s="4" t="str">
        <f t="shared" ref="B68:B101" si="19">IFERROR(VLOOKUP(ROW()-2,$X$3:$AA$290,3,0),"")</f>
        <v/>
      </c>
      <c r="C68" s="4" t="str">
        <f t="shared" ref="C68:C101" si="20">IFERROR(VLOOKUP(ROW()-2,$X$3:$AA$290,4,0),"")</f>
        <v/>
      </c>
      <c r="D68" s="35" t="str">
        <f t="shared" ref="D68:D101" si="21">IFERROR(VLOOKUP(ROW()-2,$X$3:$AB$290,5,0),"")</f>
        <v/>
      </c>
      <c r="P68" s="132" t="str">
        <f t="shared" ref="P68:P98" si="22">IF(J68="under",IF(HLOOKUP("Under",J68:K70,3,0)&gt;=$K$1,"Under "&amp;J69,IF(HLOOKUP("Over",J68:K70,3,0)&gt;=$K$1,"Over "&amp;J69,"")),"")</f>
        <v/>
      </c>
      <c r="Q68" s="132" t="str">
        <f t="shared" ref="Q68:Q98" si="23">IF(J68="under",IF(HLOOKUP("Under",J68:K70,3,0)&gt;=$K$1,J70,IF(HLOOKUP("Over",J68:K70,3,0)&gt;=$K$1,K70,"")),"")</f>
        <v/>
      </c>
      <c r="R68" s="132" t="str">
        <f t="shared" ref="R68:R98" si="24">IF(MOD(ROW(),3)=0,IF(L70&gt;=$K$1,I68&amp;" @ "&amp;H68,IF(M70&gt;=$K$1,I68&amp;" @ "&amp;H68,"")),"")</f>
        <v/>
      </c>
      <c r="T68" s="132" t="str">
        <f t="shared" ref="T68:T131" si="25">IF(MOD(ROW(),3)=0,IF(L70&gt;=$K$1,L70,IF(M70&gt;=$K$1,M70,"")),"")</f>
        <v/>
      </c>
      <c r="U68" s="132" t="str">
        <f t="shared" si="17"/>
        <v/>
      </c>
      <c r="V68" s="132" t="str">
        <f t="shared" ref="V68:V131" si="26">IF(MOD(ROW(),3)=0,IF(H70&gt;$O$1,H68&amp;" Moneyline",IF(I70&gt;=$O$1,I68&amp;" Moneyline","")),"")</f>
        <v/>
      </c>
      <c r="W68" s="132" t="str">
        <f t="shared" ref="W68:W131" si="27">IF(MOD(ROW(),3)=0,IF(H70&gt;=$O$1,H70,IF(I70&gt;=$O$1,I70,"")),"")</f>
        <v/>
      </c>
      <c r="X68" s="132">
        <f t="shared" ref="X68:X131" si="28">IF(ISNUMBER(CODE(Z68)),X67+1,X67)</f>
        <v>5</v>
      </c>
      <c r="Y68" s="132" t="str">
        <f t="shared" ref="Y68:Y131" si="29">INDEX($O$3:$W$50,1+INT((ROW(A66)-1)/COLUMNS($O$3:$W$50)),MOD(ROW(A66)-1+COLUMNS($O$3:$W$50),COLUMNS($O$3:$W$50))+1)</f>
        <v/>
      </c>
      <c r="Z68" s="132" t="str">
        <f t="shared" ref="Z68:Z131" si="30">IF(ISNUMBER(SEARCH("@",Y68)),Y68,"")</f>
        <v/>
      </c>
      <c r="AA68" s="132" t="str">
        <f t="shared" ref="AA68:AA131" si="31">IF(ISNUMBER(SEARCH("@",Y68)),Y69,"")</f>
        <v/>
      </c>
      <c r="AB68" s="132" t="str">
        <f t="shared" ref="AB68:AB131" si="32">IF(ISNUMBER(SEARCH("@",Y68)),Y70,"")</f>
        <v/>
      </c>
    </row>
    <row r="69" spans="1:28" x14ac:dyDescent="0.25">
      <c r="A69" s="5">
        <f t="shared" si="18"/>
        <v>0</v>
      </c>
      <c r="B69" s="4" t="str">
        <f t="shared" si="19"/>
        <v/>
      </c>
      <c r="C69" s="4" t="str">
        <f t="shared" si="20"/>
        <v/>
      </c>
      <c r="D69" s="35" t="str">
        <f t="shared" si="21"/>
        <v/>
      </c>
      <c r="P69" s="132" t="str">
        <f t="shared" si="22"/>
        <v/>
      </c>
      <c r="Q69" s="132" t="str">
        <f t="shared" si="23"/>
        <v/>
      </c>
      <c r="R69" s="132" t="str">
        <f t="shared" si="24"/>
        <v/>
      </c>
      <c r="T69" s="132" t="str">
        <f t="shared" si="25"/>
        <v/>
      </c>
      <c r="U69" s="132" t="str">
        <f t="shared" ref="U69:U132" si="33">IF(MOD(ROW(),3)=0,IF(H71&gt;=$O$1,I69&amp;" @ "&amp;H69,IF(I71&gt;=$O$1,I69&amp;" @ "&amp;H69,"")),"")</f>
        <v/>
      </c>
      <c r="V69" s="132" t="str">
        <f t="shared" si="26"/>
        <v/>
      </c>
      <c r="W69" s="132" t="str">
        <f t="shared" si="27"/>
        <v/>
      </c>
      <c r="X69" s="132">
        <f t="shared" si="28"/>
        <v>5</v>
      </c>
      <c r="Y69" s="132" t="str">
        <f t="shared" si="29"/>
        <v/>
      </c>
      <c r="Z69" s="132" t="str">
        <f t="shared" si="30"/>
        <v/>
      </c>
      <c r="AA69" s="132" t="str">
        <f t="shared" si="31"/>
        <v/>
      </c>
      <c r="AB69" s="132" t="str">
        <f t="shared" si="32"/>
        <v/>
      </c>
    </row>
    <row r="70" spans="1:28" x14ac:dyDescent="0.25">
      <c r="A70" s="5">
        <f t="shared" si="18"/>
        <v>0</v>
      </c>
      <c r="B70" s="4" t="str">
        <f t="shared" si="19"/>
        <v/>
      </c>
      <c r="C70" s="4" t="str">
        <f t="shared" si="20"/>
        <v/>
      </c>
      <c r="D70" s="35" t="str">
        <f t="shared" si="21"/>
        <v/>
      </c>
      <c r="P70" s="132" t="str">
        <f t="shared" si="22"/>
        <v/>
      </c>
      <c r="Q70" s="132" t="str">
        <f t="shared" si="23"/>
        <v/>
      </c>
      <c r="R70" s="132" t="str">
        <f t="shared" si="24"/>
        <v/>
      </c>
      <c r="T70" s="132" t="str">
        <f t="shared" si="25"/>
        <v/>
      </c>
      <c r="U70" s="132" t="str">
        <f t="shared" si="33"/>
        <v/>
      </c>
      <c r="V70" s="132" t="str">
        <f t="shared" si="26"/>
        <v/>
      </c>
      <c r="W70" s="132" t="str">
        <f t="shared" si="27"/>
        <v/>
      </c>
      <c r="X70" s="132">
        <f t="shared" si="28"/>
        <v>5</v>
      </c>
      <c r="Y70" s="132" t="str">
        <f t="shared" si="29"/>
        <v/>
      </c>
      <c r="Z70" s="132" t="str">
        <f t="shared" si="30"/>
        <v/>
      </c>
      <c r="AA70" s="132" t="str">
        <f t="shared" si="31"/>
        <v/>
      </c>
      <c r="AB70" s="132" t="str">
        <f t="shared" si="32"/>
        <v/>
      </c>
    </row>
    <row r="71" spans="1:28" x14ac:dyDescent="0.25">
      <c r="A71" s="5">
        <f t="shared" si="18"/>
        <v>0</v>
      </c>
      <c r="B71" s="4" t="str">
        <f t="shared" si="19"/>
        <v/>
      </c>
      <c r="C71" s="4" t="str">
        <f t="shared" si="20"/>
        <v/>
      </c>
      <c r="D71" s="35" t="str">
        <f t="shared" si="21"/>
        <v/>
      </c>
      <c r="P71" s="132" t="str">
        <f t="shared" si="22"/>
        <v/>
      </c>
      <c r="Q71" s="132" t="str">
        <f t="shared" si="23"/>
        <v/>
      </c>
      <c r="R71" s="132" t="str">
        <f t="shared" si="24"/>
        <v/>
      </c>
      <c r="T71" s="132" t="str">
        <f t="shared" si="25"/>
        <v/>
      </c>
      <c r="U71" s="132" t="str">
        <f t="shared" si="33"/>
        <v/>
      </c>
      <c r="V71" s="132" t="str">
        <f t="shared" si="26"/>
        <v/>
      </c>
      <c r="W71" s="132" t="str">
        <f t="shared" si="27"/>
        <v/>
      </c>
      <c r="X71" s="132">
        <f t="shared" si="28"/>
        <v>5</v>
      </c>
      <c r="Y71" s="132" t="str">
        <f t="shared" si="29"/>
        <v/>
      </c>
      <c r="Z71" s="132" t="str">
        <f t="shared" si="30"/>
        <v/>
      </c>
      <c r="AA71" s="132" t="str">
        <f t="shared" si="31"/>
        <v/>
      </c>
      <c r="AB71" s="132" t="str">
        <f t="shared" si="32"/>
        <v/>
      </c>
    </row>
    <row r="72" spans="1:28" x14ac:dyDescent="0.25">
      <c r="A72" s="5">
        <f t="shared" si="18"/>
        <v>0</v>
      </c>
      <c r="B72" s="4" t="str">
        <f t="shared" si="19"/>
        <v/>
      </c>
      <c r="C72" s="4" t="str">
        <f t="shared" si="20"/>
        <v/>
      </c>
      <c r="D72" s="35" t="str">
        <f t="shared" si="21"/>
        <v/>
      </c>
      <c r="P72" s="132" t="str">
        <f t="shared" si="22"/>
        <v/>
      </c>
      <c r="Q72" s="132" t="str">
        <f t="shared" si="23"/>
        <v/>
      </c>
      <c r="R72" s="132" t="str">
        <f t="shared" si="24"/>
        <v/>
      </c>
      <c r="T72" s="132" t="str">
        <f t="shared" si="25"/>
        <v/>
      </c>
      <c r="U72" s="132" t="str">
        <f t="shared" si="33"/>
        <v/>
      </c>
      <c r="V72" s="132" t="str">
        <f t="shared" si="26"/>
        <v/>
      </c>
      <c r="W72" s="132" t="str">
        <f t="shared" si="27"/>
        <v/>
      </c>
      <c r="X72" s="132">
        <f t="shared" si="28"/>
        <v>5</v>
      </c>
      <c r="Y72" s="132" t="str">
        <f t="shared" si="29"/>
        <v/>
      </c>
      <c r="Z72" s="132" t="str">
        <f t="shared" si="30"/>
        <v/>
      </c>
      <c r="AA72" s="132" t="str">
        <f t="shared" si="31"/>
        <v/>
      </c>
      <c r="AB72" s="132" t="str">
        <f t="shared" si="32"/>
        <v/>
      </c>
    </row>
    <row r="73" spans="1:28" x14ac:dyDescent="0.25">
      <c r="A73" s="5">
        <f t="shared" si="18"/>
        <v>0</v>
      </c>
      <c r="B73" s="4" t="str">
        <f t="shared" si="19"/>
        <v/>
      </c>
      <c r="C73" s="4" t="str">
        <f t="shared" si="20"/>
        <v/>
      </c>
      <c r="D73" s="35" t="str">
        <f t="shared" si="21"/>
        <v/>
      </c>
      <c r="P73" s="132" t="str">
        <f t="shared" si="22"/>
        <v/>
      </c>
      <c r="Q73" s="132" t="str">
        <f t="shared" si="23"/>
        <v/>
      </c>
      <c r="R73" s="132" t="str">
        <f t="shared" si="24"/>
        <v/>
      </c>
      <c r="T73" s="132" t="str">
        <f t="shared" si="25"/>
        <v/>
      </c>
      <c r="U73" s="132" t="str">
        <f t="shared" si="33"/>
        <v/>
      </c>
      <c r="V73" s="132" t="str">
        <f t="shared" si="26"/>
        <v/>
      </c>
      <c r="W73" s="132" t="str">
        <f t="shared" si="27"/>
        <v/>
      </c>
      <c r="X73" s="132">
        <f t="shared" si="28"/>
        <v>5</v>
      </c>
      <c r="Y73" s="132" t="str">
        <f t="shared" si="29"/>
        <v/>
      </c>
      <c r="Z73" s="132" t="str">
        <f t="shared" si="30"/>
        <v/>
      </c>
      <c r="AA73" s="132" t="str">
        <f t="shared" si="31"/>
        <v/>
      </c>
      <c r="AB73" s="132" t="str">
        <f t="shared" si="32"/>
        <v/>
      </c>
    </row>
    <row r="74" spans="1:28" x14ac:dyDescent="0.25">
      <c r="A74" s="5">
        <f t="shared" si="18"/>
        <v>0</v>
      </c>
      <c r="B74" s="4" t="str">
        <f t="shared" si="19"/>
        <v/>
      </c>
      <c r="C74" s="4" t="str">
        <f t="shared" si="20"/>
        <v/>
      </c>
      <c r="D74" s="35" t="str">
        <f t="shared" si="21"/>
        <v/>
      </c>
      <c r="P74" s="132" t="str">
        <f t="shared" si="22"/>
        <v/>
      </c>
      <c r="Q74" s="132" t="str">
        <f t="shared" si="23"/>
        <v/>
      </c>
      <c r="R74" s="132" t="str">
        <f t="shared" si="24"/>
        <v/>
      </c>
      <c r="T74" s="132" t="str">
        <f t="shared" si="25"/>
        <v/>
      </c>
      <c r="U74" s="132" t="str">
        <f t="shared" si="33"/>
        <v/>
      </c>
      <c r="V74" s="132" t="str">
        <f t="shared" si="26"/>
        <v/>
      </c>
      <c r="W74" s="132" t="str">
        <f t="shared" si="27"/>
        <v/>
      </c>
      <c r="X74" s="132">
        <f t="shared" si="28"/>
        <v>5</v>
      </c>
      <c r="Y74" s="132" t="str">
        <f t="shared" si="29"/>
        <v/>
      </c>
      <c r="Z74" s="132" t="str">
        <f t="shared" si="30"/>
        <v/>
      </c>
      <c r="AA74" s="132" t="str">
        <f t="shared" si="31"/>
        <v/>
      </c>
      <c r="AB74" s="132" t="str">
        <f t="shared" si="32"/>
        <v/>
      </c>
    </row>
    <row r="75" spans="1:28" x14ac:dyDescent="0.25">
      <c r="A75" s="5">
        <f t="shared" si="18"/>
        <v>0</v>
      </c>
      <c r="B75" s="4" t="str">
        <f t="shared" si="19"/>
        <v/>
      </c>
      <c r="C75" s="4" t="str">
        <f t="shared" si="20"/>
        <v/>
      </c>
      <c r="D75" s="35" t="str">
        <f t="shared" si="21"/>
        <v/>
      </c>
      <c r="P75" s="132" t="str">
        <f t="shared" si="22"/>
        <v/>
      </c>
      <c r="Q75" s="132" t="str">
        <f t="shared" si="23"/>
        <v/>
      </c>
      <c r="R75" s="132" t="str">
        <f t="shared" si="24"/>
        <v/>
      </c>
      <c r="T75" s="132" t="str">
        <f t="shared" si="25"/>
        <v/>
      </c>
      <c r="U75" s="132" t="str">
        <f t="shared" si="33"/>
        <v/>
      </c>
      <c r="V75" s="132" t="str">
        <f t="shared" si="26"/>
        <v/>
      </c>
      <c r="W75" s="132" t="str">
        <f t="shared" si="27"/>
        <v/>
      </c>
      <c r="X75" s="132">
        <f t="shared" si="28"/>
        <v>5</v>
      </c>
      <c r="Y75" s="132" t="str">
        <f t="shared" si="29"/>
        <v/>
      </c>
      <c r="Z75" s="132" t="str">
        <f t="shared" si="30"/>
        <v/>
      </c>
      <c r="AA75" s="132" t="str">
        <f t="shared" si="31"/>
        <v/>
      </c>
      <c r="AB75" s="132" t="str">
        <f t="shared" si="32"/>
        <v/>
      </c>
    </row>
    <row r="76" spans="1:28" x14ac:dyDescent="0.25">
      <c r="A76" s="5">
        <f t="shared" si="18"/>
        <v>0</v>
      </c>
      <c r="B76" s="4" t="str">
        <f t="shared" si="19"/>
        <v/>
      </c>
      <c r="C76" s="4" t="str">
        <f t="shared" si="20"/>
        <v/>
      </c>
      <c r="D76" s="35" t="str">
        <f t="shared" si="21"/>
        <v/>
      </c>
      <c r="P76" s="132" t="str">
        <f t="shared" si="22"/>
        <v/>
      </c>
      <c r="Q76" s="132" t="str">
        <f t="shared" si="23"/>
        <v/>
      </c>
      <c r="R76" s="132" t="str">
        <f t="shared" si="24"/>
        <v/>
      </c>
      <c r="T76" s="132" t="str">
        <f t="shared" si="25"/>
        <v/>
      </c>
      <c r="U76" s="132" t="str">
        <f t="shared" si="33"/>
        <v/>
      </c>
      <c r="V76" s="132" t="str">
        <f t="shared" si="26"/>
        <v/>
      </c>
      <c r="W76" s="132" t="str">
        <f t="shared" si="27"/>
        <v/>
      </c>
      <c r="X76" s="132">
        <f t="shared" si="28"/>
        <v>5</v>
      </c>
      <c r="Y76" s="132" t="str">
        <f t="shared" si="29"/>
        <v/>
      </c>
      <c r="Z76" s="132" t="str">
        <f t="shared" si="30"/>
        <v/>
      </c>
      <c r="AA76" s="132" t="str">
        <f t="shared" si="31"/>
        <v/>
      </c>
      <c r="AB76" s="132" t="str">
        <f t="shared" si="32"/>
        <v/>
      </c>
    </row>
    <row r="77" spans="1:28" x14ac:dyDescent="0.25">
      <c r="A77" s="5">
        <f t="shared" si="18"/>
        <v>0</v>
      </c>
      <c r="B77" s="4" t="str">
        <f t="shared" si="19"/>
        <v/>
      </c>
      <c r="C77" s="4" t="str">
        <f t="shared" si="20"/>
        <v/>
      </c>
      <c r="D77" s="35" t="str">
        <f t="shared" si="21"/>
        <v/>
      </c>
      <c r="P77" s="132" t="str">
        <f t="shared" si="22"/>
        <v/>
      </c>
      <c r="Q77" s="132" t="str">
        <f t="shared" si="23"/>
        <v/>
      </c>
      <c r="R77" s="132" t="str">
        <f t="shared" si="24"/>
        <v/>
      </c>
      <c r="T77" s="132" t="str">
        <f t="shared" si="25"/>
        <v/>
      </c>
      <c r="U77" s="132" t="str">
        <f t="shared" si="33"/>
        <v/>
      </c>
      <c r="V77" s="132" t="str">
        <f t="shared" si="26"/>
        <v/>
      </c>
      <c r="W77" s="132" t="str">
        <f t="shared" si="27"/>
        <v/>
      </c>
      <c r="X77" s="132">
        <f t="shared" si="28"/>
        <v>5</v>
      </c>
      <c r="Y77" s="132" t="str">
        <f t="shared" si="29"/>
        <v/>
      </c>
      <c r="Z77" s="132" t="str">
        <f t="shared" si="30"/>
        <v/>
      </c>
      <c r="AA77" s="132" t="str">
        <f t="shared" si="31"/>
        <v/>
      </c>
      <c r="AB77" s="132" t="str">
        <f t="shared" si="32"/>
        <v/>
      </c>
    </row>
    <row r="78" spans="1:28" x14ac:dyDescent="0.25">
      <c r="A78" s="5">
        <f t="shared" si="18"/>
        <v>0</v>
      </c>
      <c r="B78" s="4" t="str">
        <f t="shared" si="19"/>
        <v/>
      </c>
      <c r="C78" s="4" t="str">
        <f t="shared" si="20"/>
        <v/>
      </c>
      <c r="D78" s="35" t="str">
        <f t="shared" si="21"/>
        <v/>
      </c>
      <c r="P78" s="132" t="str">
        <f t="shared" si="22"/>
        <v/>
      </c>
      <c r="Q78" s="132" t="str">
        <f t="shared" si="23"/>
        <v/>
      </c>
      <c r="R78" s="132" t="str">
        <f t="shared" si="24"/>
        <v/>
      </c>
      <c r="T78" s="132" t="str">
        <f t="shared" si="25"/>
        <v/>
      </c>
      <c r="U78" s="132" t="str">
        <f t="shared" si="33"/>
        <v/>
      </c>
      <c r="V78" s="132" t="str">
        <f t="shared" si="26"/>
        <v/>
      </c>
      <c r="W78" s="132" t="str">
        <f t="shared" si="27"/>
        <v/>
      </c>
      <c r="X78" s="132">
        <f t="shared" si="28"/>
        <v>5</v>
      </c>
      <c r="Y78" s="132" t="str">
        <f t="shared" si="29"/>
        <v/>
      </c>
      <c r="Z78" s="132" t="str">
        <f t="shared" si="30"/>
        <v/>
      </c>
      <c r="AA78" s="132" t="str">
        <f t="shared" si="31"/>
        <v/>
      </c>
      <c r="AB78" s="132" t="str">
        <f t="shared" si="32"/>
        <v/>
      </c>
    </row>
    <row r="79" spans="1:28" x14ac:dyDescent="0.25">
      <c r="A79" s="5">
        <f t="shared" si="18"/>
        <v>0</v>
      </c>
      <c r="B79" s="4" t="str">
        <f t="shared" si="19"/>
        <v/>
      </c>
      <c r="C79" s="4" t="str">
        <f t="shared" si="20"/>
        <v/>
      </c>
      <c r="D79" s="35" t="str">
        <f t="shared" si="21"/>
        <v/>
      </c>
      <c r="P79" s="132" t="str">
        <f t="shared" si="22"/>
        <v/>
      </c>
      <c r="Q79" s="132" t="str">
        <f t="shared" si="23"/>
        <v/>
      </c>
      <c r="R79" s="132" t="str">
        <f t="shared" si="24"/>
        <v/>
      </c>
      <c r="T79" s="132" t="str">
        <f t="shared" si="25"/>
        <v/>
      </c>
      <c r="U79" s="132" t="str">
        <f t="shared" si="33"/>
        <v/>
      </c>
      <c r="V79" s="132" t="str">
        <f t="shared" si="26"/>
        <v/>
      </c>
      <c r="W79" s="132" t="str">
        <f t="shared" si="27"/>
        <v/>
      </c>
      <c r="X79" s="132">
        <f t="shared" si="28"/>
        <v>5</v>
      </c>
      <c r="Y79" s="132" t="str">
        <f t="shared" si="29"/>
        <v/>
      </c>
      <c r="Z79" s="132" t="str">
        <f t="shared" si="30"/>
        <v/>
      </c>
      <c r="AA79" s="132" t="str">
        <f t="shared" si="31"/>
        <v/>
      </c>
      <c r="AB79" s="132" t="str">
        <f t="shared" si="32"/>
        <v/>
      </c>
    </row>
    <row r="80" spans="1:28" x14ac:dyDescent="0.25">
      <c r="A80" s="5">
        <f t="shared" si="18"/>
        <v>0</v>
      </c>
      <c r="B80" s="4" t="str">
        <f t="shared" si="19"/>
        <v/>
      </c>
      <c r="C80" s="4" t="str">
        <f t="shared" si="20"/>
        <v/>
      </c>
      <c r="D80" s="35" t="str">
        <f t="shared" si="21"/>
        <v/>
      </c>
      <c r="P80" s="132" t="str">
        <f t="shared" si="22"/>
        <v/>
      </c>
      <c r="Q80" s="132" t="str">
        <f t="shared" si="23"/>
        <v/>
      </c>
      <c r="R80" s="132" t="str">
        <f t="shared" si="24"/>
        <v/>
      </c>
      <c r="T80" s="132" t="str">
        <f t="shared" si="25"/>
        <v/>
      </c>
      <c r="U80" s="132" t="str">
        <f t="shared" si="33"/>
        <v/>
      </c>
      <c r="V80" s="132" t="str">
        <f t="shared" si="26"/>
        <v/>
      </c>
      <c r="W80" s="132" t="str">
        <f t="shared" si="27"/>
        <v/>
      </c>
      <c r="X80" s="132">
        <f t="shared" si="28"/>
        <v>5</v>
      </c>
      <c r="Y80" s="132" t="str">
        <f t="shared" si="29"/>
        <v/>
      </c>
      <c r="Z80" s="132" t="str">
        <f t="shared" si="30"/>
        <v/>
      </c>
      <c r="AA80" s="132" t="str">
        <f t="shared" si="31"/>
        <v/>
      </c>
      <c r="AB80" s="132" t="str">
        <f t="shared" si="32"/>
        <v/>
      </c>
    </row>
    <row r="81" spans="1:28" x14ac:dyDescent="0.25">
      <c r="A81" s="5">
        <f t="shared" si="18"/>
        <v>0</v>
      </c>
      <c r="B81" s="4" t="str">
        <f t="shared" si="19"/>
        <v/>
      </c>
      <c r="C81" s="4" t="str">
        <f t="shared" si="20"/>
        <v/>
      </c>
      <c r="D81" s="35" t="str">
        <f t="shared" si="21"/>
        <v/>
      </c>
      <c r="P81" s="132" t="str">
        <f t="shared" si="22"/>
        <v/>
      </c>
      <c r="Q81" s="132" t="str">
        <f t="shared" si="23"/>
        <v/>
      </c>
      <c r="R81" s="132" t="str">
        <f t="shared" si="24"/>
        <v/>
      </c>
      <c r="T81" s="132" t="str">
        <f t="shared" si="25"/>
        <v/>
      </c>
      <c r="U81" s="132" t="str">
        <f t="shared" si="33"/>
        <v/>
      </c>
      <c r="V81" s="132" t="str">
        <f t="shared" si="26"/>
        <v/>
      </c>
      <c r="W81" s="132" t="str">
        <f t="shared" si="27"/>
        <v/>
      </c>
      <c r="X81" s="132">
        <f t="shared" si="28"/>
        <v>5</v>
      </c>
      <c r="Y81" s="132" t="str">
        <f t="shared" si="29"/>
        <v/>
      </c>
      <c r="Z81" s="132" t="str">
        <f t="shared" si="30"/>
        <v/>
      </c>
      <c r="AA81" s="132" t="str">
        <f t="shared" si="31"/>
        <v/>
      </c>
      <c r="AB81" s="132" t="str">
        <f t="shared" si="32"/>
        <v/>
      </c>
    </row>
    <row r="82" spans="1:28" x14ac:dyDescent="0.25">
      <c r="A82" s="5">
        <f t="shared" si="18"/>
        <v>0</v>
      </c>
      <c r="B82" s="4" t="str">
        <f t="shared" si="19"/>
        <v/>
      </c>
      <c r="C82" s="4" t="str">
        <f t="shared" si="20"/>
        <v/>
      </c>
      <c r="D82" s="35" t="str">
        <f t="shared" si="21"/>
        <v/>
      </c>
      <c r="P82" s="132" t="str">
        <f t="shared" si="22"/>
        <v/>
      </c>
      <c r="Q82" s="132" t="str">
        <f t="shared" si="23"/>
        <v/>
      </c>
      <c r="R82" s="132" t="str">
        <f t="shared" si="24"/>
        <v/>
      </c>
      <c r="T82" s="132" t="str">
        <f t="shared" si="25"/>
        <v/>
      </c>
      <c r="U82" s="132" t="str">
        <f t="shared" si="33"/>
        <v/>
      </c>
      <c r="V82" s="132" t="str">
        <f t="shared" si="26"/>
        <v/>
      </c>
      <c r="W82" s="132" t="str">
        <f t="shared" si="27"/>
        <v/>
      </c>
      <c r="X82" s="132">
        <f t="shared" si="28"/>
        <v>5</v>
      </c>
      <c r="Y82" s="132" t="str">
        <f t="shared" si="29"/>
        <v/>
      </c>
      <c r="Z82" s="132" t="str">
        <f t="shared" si="30"/>
        <v/>
      </c>
      <c r="AA82" s="132" t="str">
        <f t="shared" si="31"/>
        <v/>
      </c>
      <c r="AB82" s="132" t="str">
        <f t="shared" si="32"/>
        <v/>
      </c>
    </row>
    <row r="83" spans="1:28" x14ac:dyDescent="0.25">
      <c r="A83" s="5">
        <f t="shared" si="18"/>
        <v>0</v>
      </c>
      <c r="B83" s="4" t="str">
        <f t="shared" si="19"/>
        <v/>
      </c>
      <c r="C83" s="4" t="str">
        <f t="shared" si="20"/>
        <v/>
      </c>
      <c r="D83" s="35" t="str">
        <f t="shared" si="21"/>
        <v/>
      </c>
      <c r="P83" s="132" t="str">
        <f t="shared" si="22"/>
        <v/>
      </c>
      <c r="Q83" s="132" t="str">
        <f t="shared" si="23"/>
        <v/>
      </c>
      <c r="R83" s="132" t="str">
        <f t="shared" si="24"/>
        <v/>
      </c>
      <c r="T83" s="132" t="str">
        <f t="shared" si="25"/>
        <v/>
      </c>
      <c r="U83" s="132" t="str">
        <f t="shared" si="33"/>
        <v/>
      </c>
      <c r="V83" s="132" t="str">
        <f t="shared" si="26"/>
        <v/>
      </c>
      <c r="W83" s="132" t="str">
        <f t="shared" si="27"/>
        <v/>
      </c>
      <c r="X83" s="132">
        <f t="shared" si="28"/>
        <v>5</v>
      </c>
      <c r="Y83" s="132" t="str">
        <f t="shared" si="29"/>
        <v/>
      </c>
      <c r="Z83" s="132" t="str">
        <f t="shared" si="30"/>
        <v/>
      </c>
      <c r="AA83" s="132" t="str">
        <f t="shared" si="31"/>
        <v/>
      </c>
      <c r="AB83" s="132" t="str">
        <f t="shared" si="32"/>
        <v/>
      </c>
    </row>
    <row r="84" spans="1:28" x14ac:dyDescent="0.25">
      <c r="A84" s="5">
        <f t="shared" si="18"/>
        <v>0</v>
      </c>
      <c r="B84" s="4" t="str">
        <f t="shared" si="19"/>
        <v/>
      </c>
      <c r="C84" s="4" t="str">
        <f t="shared" si="20"/>
        <v/>
      </c>
      <c r="D84" s="35" t="str">
        <f t="shared" si="21"/>
        <v/>
      </c>
      <c r="P84" s="132" t="str">
        <f t="shared" si="22"/>
        <v/>
      </c>
      <c r="Q84" s="132" t="str">
        <f t="shared" si="23"/>
        <v/>
      </c>
      <c r="R84" s="132" t="str">
        <f t="shared" si="24"/>
        <v/>
      </c>
      <c r="T84" s="132" t="str">
        <f t="shared" si="25"/>
        <v/>
      </c>
      <c r="U84" s="132" t="str">
        <f t="shared" si="33"/>
        <v/>
      </c>
      <c r="V84" s="132" t="str">
        <f t="shared" si="26"/>
        <v/>
      </c>
      <c r="W84" s="132" t="str">
        <f t="shared" si="27"/>
        <v/>
      </c>
      <c r="X84" s="132">
        <f t="shared" si="28"/>
        <v>6</v>
      </c>
      <c r="Y84" s="132" t="str">
        <f t="shared" si="29"/>
        <v>Wizards @ Jazz</v>
      </c>
      <c r="Z84" s="132" t="str">
        <f t="shared" si="30"/>
        <v>Wizards @ Jazz</v>
      </c>
      <c r="AA84" s="132" t="str">
        <f t="shared" si="31"/>
        <v>Over 217</v>
      </c>
      <c r="AB84" s="132">
        <f t="shared" si="32"/>
        <v>0.59909999999999997</v>
      </c>
    </row>
    <row r="85" spans="1:28" x14ac:dyDescent="0.25">
      <c r="A85" s="5">
        <f t="shared" si="18"/>
        <v>0</v>
      </c>
      <c r="B85" s="4" t="str">
        <f t="shared" si="19"/>
        <v/>
      </c>
      <c r="C85" s="4" t="str">
        <f t="shared" si="20"/>
        <v/>
      </c>
      <c r="D85" s="35" t="str">
        <f t="shared" si="21"/>
        <v/>
      </c>
      <c r="P85" s="132" t="str">
        <f t="shared" si="22"/>
        <v/>
      </c>
      <c r="Q85" s="132" t="str">
        <f t="shared" si="23"/>
        <v/>
      </c>
      <c r="R85" s="132" t="str">
        <f t="shared" si="24"/>
        <v/>
      </c>
      <c r="T85" s="132" t="str">
        <f t="shared" si="25"/>
        <v/>
      </c>
      <c r="U85" s="132" t="str">
        <f t="shared" si="33"/>
        <v/>
      </c>
      <c r="V85" s="132" t="str">
        <f t="shared" si="26"/>
        <v/>
      </c>
      <c r="W85" s="132" t="str">
        <f t="shared" si="27"/>
        <v/>
      </c>
      <c r="X85" s="132">
        <f t="shared" si="28"/>
        <v>6</v>
      </c>
      <c r="Y85" s="132" t="str">
        <f t="shared" si="29"/>
        <v>Over 217</v>
      </c>
      <c r="Z85" s="132" t="str">
        <f t="shared" si="30"/>
        <v/>
      </c>
      <c r="AA85" s="132" t="str">
        <f t="shared" si="31"/>
        <v/>
      </c>
      <c r="AB85" s="132" t="str">
        <f t="shared" si="32"/>
        <v/>
      </c>
    </row>
    <row r="86" spans="1:28" x14ac:dyDescent="0.25">
      <c r="A86" s="5">
        <f t="shared" si="18"/>
        <v>0</v>
      </c>
      <c r="B86" s="4" t="str">
        <f t="shared" si="19"/>
        <v/>
      </c>
      <c r="C86" s="4" t="str">
        <f t="shared" si="20"/>
        <v/>
      </c>
      <c r="D86" s="35" t="str">
        <f t="shared" si="21"/>
        <v/>
      </c>
      <c r="P86" s="132" t="str">
        <f t="shared" si="22"/>
        <v/>
      </c>
      <c r="Q86" s="132" t="str">
        <f t="shared" si="23"/>
        <v/>
      </c>
      <c r="R86" s="132" t="str">
        <f t="shared" si="24"/>
        <v/>
      </c>
      <c r="T86" s="132" t="str">
        <f t="shared" si="25"/>
        <v/>
      </c>
      <c r="U86" s="132" t="str">
        <f t="shared" si="33"/>
        <v/>
      </c>
      <c r="V86" s="132" t="str">
        <f t="shared" si="26"/>
        <v/>
      </c>
      <c r="W86" s="132" t="str">
        <f t="shared" si="27"/>
        <v/>
      </c>
      <c r="X86" s="132">
        <f t="shared" si="28"/>
        <v>6</v>
      </c>
      <c r="Y86" s="132">
        <f t="shared" si="29"/>
        <v>0.59909999999999997</v>
      </c>
      <c r="Z86" s="132" t="str">
        <f t="shared" si="30"/>
        <v/>
      </c>
      <c r="AA86" s="132" t="str">
        <f t="shared" si="31"/>
        <v/>
      </c>
      <c r="AB86" s="132" t="str">
        <f t="shared" si="32"/>
        <v/>
      </c>
    </row>
    <row r="87" spans="1:28" x14ac:dyDescent="0.25">
      <c r="A87" s="5">
        <f t="shared" si="18"/>
        <v>0</v>
      </c>
      <c r="B87" s="4" t="str">
        <f t="shared" si="19"/>
        <v/>
      </c>
      <c r="C87" s="4" t="str">
        <f t="shared" si="20"/>
        <v/>
      </c>
      <c r="D87" s="35" t="str">
        <f t="shared" si="21"/>
        <v/>
      </c>
      <c r="P87" s="132" t="str">
        <f t="shared" si="22"/>
        <v/>
      </c>
      <c r="Q87" s="132" t="str">
        <f t="shared" si="23"/>
        <v/>
      </c>
      <c r="R87" s="132" t="str">
        <f t="shared" si="24"/>
        <v/>
      </c>
      <c r="T87" s="132" t="str">
        <f t="shared" si="25"/>
        <v/>
      </c>
      <c r="U87" s="132" t="str">
        <f t="shared" si="33"/>
        <v/>
      </c>
      <c r="V87" s="132" t="str">
        <f t="shared" si="26"/>
        <v/>
      </c>
      <c r="W87" s="132" t="str">
        <f t="shared" si="27"/>
        <v/>
      </c>
      <c r="X87" s="132">
        <f t="shared" si="28"/>
        <v>6</v>
      </c>
      <c r="Y87" s="132" t="str">
        <f t="shared" si="29"/>
        <v/>
      </c>
      <c r="Z87" s="132" t="str">
        <f t="shared" si="30"/>
        <v/>
      </c>
      <c r="AA87" s="132" t="str">
        <f t="shared" si="31"/>
        <v/>
      </c>
      <c r="AB87" s="132" t="str">
        <f t="shared" si="32"/>
        <v/>
      </c>
    </row>
    <row r="88" spans="1:28" x14ac:dyDescent="0.25">
      <c r="A88" s="5">
        <f t="shared" si="18"/>
        <v>0</v>
      </c>
      <c r="B88" s="4" t="str">
        <f t="shared" si="19"/>
        <v/>
      </c>
      <c r="C88" s="4" t="str">
        <f t="shared" si="20"/>
        <v/>
      </c>
      <c r="D88" s="35" t="str">
        <f t="shared" si="21"/>
        <v/>
      </c>
      <c r="P88" s="132" t="str">
        <f t="shared" si="22"/>
        <v/>
      </c>
      <c r="Q88" s="132" t="str">
        <f t="shared" si="23"/>
        <v/>
      </c>
      <c r="R88" s="132" t="str">
        <f t="shared" si="24"/>
        <v/>
      </c>
      <c r="T88" s="132" t="str">
        <f t="shared" si="25"/>
        <v/>
      </c>
      <c r="U88" s="132" t="str">
        <f t="shared" si="33"/>
        <v/>
      </c>
      <c r="V88" s="132" t="str">
        <f t="shared" si="26"/>
        <v/>
      </c>
      <c r="W88" s="132" t="str">
        <f t="shared" si="27"/>
        <v/>
      </c>
      <c r="X88" s="132">
        <f t="shared" si="28"/>
        <v>6</v>
      </c>
      <c r="Y88" s="132" t="str">
        <f t="shared" si="29"/>
        <v/>
      </c>
      <c r="Z88" s="132" t="str">
        <f t="shared" si="30"/>
        <v/>
      </c>
      <c r="AA88" s="132" t="str">
        <f t="shared" si="31"/>
        <v/>
      </c>
      <c r="AB88" s="132" t="str">
        <f t="shared" si="32"/>
        <v/>
      </c>
    </row>
    <row r="89" spans="1:28" x14ac:dyDescent="0.25">
      <c r="A89" s="5">
        <f t="shared" si="18"/>
        <v>0</v>
      </c>
      <c r="B89" s="4" t="str">
        <f t="shared" si="19"/>
        <v/>
      </c>
      <c r="C89" s="4" t="str">
        <f t="shared" si="20"/>
        <v/>
      </c>
      <c r="D89" s="35" t="str">
        <f t="shared" si="21"/>
        <v/>
      </c>
      <c r="P89" s="132" t="str">
        <f t="shared" si="22"/>
        <v/>
      </c>
      <c r="Q89" s="132" t="str">
        <f t="shared" si="23"/>
        <v/>
      </c>
      <c r="R89" s="132" t="str">
        <f t="shared" si="24"/>
        <v/>
      </c>
      <c r="T89" s="132" t="str">
        <f t="shared" si="25"/>
        <v/>
      </c>
      <c r="U89" s="132" t="str">
        <f t="shared" si="33"/>
        <v/>
      </c>
      <c r="V89" s="132" t="str">
        <f t="shared" si="26"/>
        <v/>
      </c>
      <c r="W89" s="132" t="str">
        <f t="shared" si="27"/>
        <v/>
      </c>
      <c r="X89" s="132">
        <f t="shared" si="28"/>
        <v>6</v>
      </c>
      <c r="Y89" s="132" t="str">
        <f t="shared" si="29"/>
        <v/>
      </c>
      <c r="Z89" s="132" t="str">
        <f t="shared" si="30"/>
        <v/>
      </c>
      <c r="AA89" s="132" t="str">
        <f t="shared" si="31"/>
        <v/>
      </c>
      <c r="AB89" s="132" t="str">
        <f t="shared" si="32"/>
        <v/>
      </c>
    </row>
    <row r="90" spans="1:28" x14ac:dyDescent="0.25">
      <c r="A90" s="5">
        <f t="shared" si="18"/>
        <v>0</v>
      </c>
      <c r="B90" s="4" t="str">
        <f t="shared" si="19"/>
        <v/>
      </c>
      <c r="C90" s="4" t="str">
        <f t="shared" si="20"/>
        <v/>
      </c>
      <c r="D90" s="35" t="str">
        <f t="shared" si="21"/>
        <v/>
      </c>
      <c r="P90" s="132" t="str">
        <f t="shared" si="22"/>
        <v/>
      </c>
      <c r="Q90" s="132" t="str">
        <f t="shared" si="23"/>
        <v/>
      </c>
      <c r="R90" s="132" t="str">
        <f t="shared" si="24"/>
        <v/>
      </c>
      <c r="T90" s="132" t="str">
        <f t="shared" si="25"/>
        <v/>
      </c>
      <c r="U90" s="132" t="str">
        <f t="shared" si="33"/>
        <v/>
      </c>
      <c r="V90" s="132" t="str">
        <f t="shared" si="26"/>
        <v/>
      </c>
      <c r="W90" s="132" t="str">
        <f t="shared" si="27"/>
        <v/>
      </c>
      <c r="X90" s="132">
        <f t="shared" si="28"/>
        <v>7</v>
      </c>
      <c r="Y90" s="132" t="str">
        <f t="shared" si="29"/>
        <v>Wizards @ Jazz</v>
      </c>
      <c r="Z90" s="132" t="str">
        <f t="shared" si="30"/>
        <v>Wizards @ Jazz</v>
      </c>
      <c r="AA90" s="132" t="str">
        <f t="shared" si="31"/>
        <v>Jazz Moneyline</v>
      </c>
      <c r="AB90" s="132">
        <f t="shared" si="32"/>
        <v>0.77939000000000003</v>
      </c>
    </row>
    <row r="91" spans="1:28" x14ac:dyDescent="0.25">
      <c r="A91" s="5">
        <f t="shared" si="18"/>
        <v>0</v>
      </c>
      <c r="B91" s="4" t="str">
        <f t="shared" si="19"/>
        <v/>
      </c>
      <c r="C91" s="4" t="str">
        <f t="shared" si="20"/>
        <v/>
      </c>
      <c r="D91" s="35" t="str">
        <f t="shared" si="21"/>
        <v/>
      </c>
      <c r="P91" s="132" t="str">
        <f t="shared" si="22"/>
        <v/>
      </c>
      <c r="Q91" s="132" t="str">
        <f t="shared" si="23"/>
        <v/>
      </c>
      <c r="R91" s="132" t="str">
        <f t="shared" si="24"/>
        <v/>
      </c>
      <c r="T91" s="132" t="str">
        <f t="shared" si="25"/>
        <v/>
      </c>
      <c r="U91" s="132" t="str">
        <f t="shared" si="33"/>
        <v/>
      </c>
      <c r="V91" s="132" t="str">
        <f t="shared" si="26"/>
        <v/>
      </c>
      <c r="W91" s="132" t="str">
        <f t="shared" si="27"/>
        <v/>
      </c>
      <c r="X91" s="132">
        <f t="shared" si="28"/>
        <v>7</v>
      </c>
      <c r="Y91" s="132" t="str">
        <f t="shared" si="29"/>
        <v>Jazz Moneyline</v>
      </c>
      <c r="Z91" s="132" t="str">
        <f t="shared" si="30"/>
        <v/>
      </c>
      <c r="AA91" s="132" t="str">
        <f t="shared" si="31"/>
        <v/>
      </c>
      <c r="AB91" s="132" t="str">
        <f t="shared" si="32"/>
        <v/>
      </c>
    </row>
    <row r="92" spans="1:28" x14ac:dyDescent="0.25">
      <c r="A92" s="5">
        <f t="shared" si="18"/>
        <v>0</v>
      </c>
      <c r="B92" s="4" t="str">
        <f t="shared" si="19"/>
        <v/>
      </c>
      <c r="C92" s="4" t="str">
        <f t="shared" si="20"/>
        <v/>
      </c>
      <c r="D92" s="35" t="str">
        <f t="shared" si="21"/>
        <v/>
      </c>
      <c r="P92" s="132" t="str">
        <f t="shared" si="22"/>
        <v/>
      </c>
      <c r="Q92" s="132" t="str">
        <f t="shared" si="23"/>
        <v/>
      </c>
      <c r="R92" s="132" t="str">
        <f t="shared" si="24"/>
        <v/>
      </c>
      <c r="T92" s="132" t="str">
        <f t="shared" si="25"/>
        <v/>
      </c>
      <c r="U92" s="132" t="str">
        <f t="shared" si="33"/>
        <v/>
      </c>
      <c r="V92" s="132" t="str">
        <f t="shared" si="26"/>
        <v/>
      </c>
      <c r="W92" s="132" t="str">
        <f t="shared" si="27"/>
        <v/>
      </c>
      <c r="X92" s="132">
        <f t="shared" si="28"/>
        <v>7</v>
      </c>
      <c r="Y92" s="132">
        <f t="shared" si="29"/>
        <v>0.77939000000000003</v>
      </c>
      <c r="Z92" s="132" t="str">
        <f t="shared" si="30"/>
        <v/>
      </c>
      <c r="AA92" s="132" t="str">
        <f t="shared" si="31"/>
        <v/>
      </c>
      <c r="AB92" s="132" t="str">
        <f t="shared" si="32"/>
        <v/>
      </c>
    </row>
    <row r="93" spans="1:28" x14ac:dyDescent="0.25">
      <c r="A93" s="5">
        <f t="shared" si="18"/>
        <v>0</v>
      </c>
      <c r="B93" s="4" t="str">
        <f t="shared" si="19"/>
        <v/>
      </c>
      <c r="C93" s="4" t="str">
        <f t="shared" si="20"/>
        <v/>
      </c>
      <c r="D93" s="35" t="str">
        <f t="shared" si="21"/>
        <v/>
      </c>
      <c r="P93" s="132" t="str">
        <f t="shared" si="22"/>
        <v/>
      </c>
      <c r="Q93" s="132" t="str">
        <f t="shared" si="23"/>
        <v/>
      </c>
      <c r="R93" s="132" t="str">
        <f t="shared" si="24"/>
        <v/>
      </c>
      <c r="T93" s="132" t="str">
        <f t="shared" si="25"/>
        <v/>
      </c>
      <c r="U93" s="132" t="str">
        <f t="shared" si="33"/>
        <v/>
      </c>
      <c r="V93" s="132" t="str">
        <f t="shared" si="26"/>
        <v/>
      </c>
      <c r="W93" s="132" t="str">
        <f t="shared" si="27"/>
        <v/>
      </c>
      <c r="X93" s="132">
        <f t="shared" si="28"/>
        <v>7</v>
      </c>
      <c r="Y93" s="132" t="str">
        <f t="shared" si="29"/>
        <v/>
      </c>
      <c r="Z93" s="132" t="str">
        <f t="shared" si="30"/>
        <v/>
      </c>
      <c r="AA93" s="132" t="str">
        <f t="shared" si="31"/>
        <v/>
      </c>
      <c r="AB93" s="132" t="str">
        <f t="shared" si="32"/>
        <v/>
      </c>
    </row>
    <row r="94" spans="1:28" x14ac:dyDescent="0.25">
      <c r="A94" s="5">
        <f t="shared" si="18"/>
        <v>0</v>
      </c>
      <c r="B94" s="4" t="str">
        <f t="shared" si="19"/>
        <v/>
      </c>
      <c r="C94" s="4" t="str">
        <f t="shared" si="20"/>
        <v/>
      </c>
      <c r="D94" s="35" t="str">
        <f t="shared" si="21"/>
        <v/>
      </c>
      <c r="P94" s="132" t="str">
        <f t="shared" si="22"/>
        <v/>
      </c>
      <c r="Q94" s="132" t="str">
        <f t="shared" si="23"/>
        <v/>
      </c>
      <c r="R94" s="132" t="str">
        <f t="shared" si="24"/>
        <v/>
      </c>
      <c r="T94" s="132" t="str">
        <f t="shared" si="25"/>
        <v/>
      </c>
      <c r="U94" s="132" t="str">
        <f t="shared" si="33"/>
        <v/>
      </c>
      <c r="V94" s="132" t="str">
        <f t="shared" si="26"/>
        <v/>
      </c>
      <c r="W94" s="132" t="str">
        <f t="shared" si="27"/>
        <v/>
      </c>
      <c r="X94" s="132">
        <f t="shared" si="28"/>
        <v>7</v>
      </c>
      <c r="Y94" s="132" t="str">
        <f t="shared" si="29"/>
        <v/>
      </c>
      <c r="Z94" s="132" t="str">
        <f t="shared" si="30"/>
        <v/>
      </c>
      <c r="AA94" s="132" t="str">
        <f t="shared" si="31"/>
        <v/>
      </c>
      <c r="AB94" s="132" t="str">
        <f t="shared" si="32"/>
        <v/>
      </c>
    </row>
    <row r="95" spans="1:28" x14ac:dyDescent="0.25">
      <c r="A95" s="5">
        <f t="shared" si="18"/>
        <v>0</v>
      </c>
      <c r="B95" s="4" t="str">
        <f t="shared" si="19"/>
        <v/>
      </c>
      <c r="C95" s="4" t="str">
        <f t="shared" si="20"/>
        <v/>
      </c>
      <c r="D95" s="35" t="str">
        <f t="shared" si="21"/>
        <v/>
      </c>
      <c r="P95" s="132" t="str">
        <f t="shared" si="22"/>
        <v/>
      </c>
      <c r="Q95" s="132" t="str">
        <f t="shared" si="23"/>
        <v/>
      </c>
      <c r="R95" s="132" t="str">
        <f t="shared" si="24"/>
        <v/>
      </c>
      <c r="T95" s="132" t="str">
        <f t="shared" si="25"/>
        <v/>
      </c>
      <c r="U95" s="132" t="str">
        <f t="shared" si="33"/>
        <v/>
      </c>
      <c r="V95" s="132" t="str">
        <f t="shared" si="26"/>
        <v/>
      </c>
      <c r="W95" s="132" t="str">
        <f t="shared" si="27"/>
        <v/>
      </c>
      <c r="X95" s="132">
        <f t="shared" si="28"/>
        <v>7</v>
      </c>
      <c r="Y95" s="132" t="str">
        <f t="shared" si="29"/>
        <v/>
      </c>
      <c r="Z95" s="132" t="str">
        <f t="shared" si="30"/>
        <v/>
      </c>
      <c r="AA95" s="132" t="str">
        <f t="shared" si="31"/>
        <v/>
      </c>
      <c r="AB95" s="132" t="str">
        <f t="shared" si="32"/>
        <v/>
      </c>
    </row>
    <row r="96" spans="1:28" x14ac:dyDescent="0.25">
      <c r="A96" s="5">
        <f t="shared" si="18"/>
        <v>0</v>
      </c>
      <c r="B96" s="4" t="str">
        <f t="shared" si="19"/>
        <v/>
      </c>
      <c r="C96" s="4" t="str">
        <f t="shared" si="20"/>
        <v/>
      </c>
      <c r="D96" s="35" t="str">
        <f t="shared" si="21"/>
        <v/>
      </c>
      <c r="P96" s="132" t="str">
        <f t="shared" si="22"/>
        <v/>
      </c>
      <c r="Q96" s="132" t="str">
        <f t="shared" si="23"/>
        <v/>
      </c>
      <c r="R96" s="132" t="str">
        <f t="shared" si="24"/>
        <v/>
      </c>
      <c r="T96" s="132" t="str">
        <f t="shared" si="25"/>
        <v/>
      </c>
      <c r="U96" s="132" t="str">
        <f t="shared" si="33"/>
        <v/>
      </c>
      <c r="V96" s="132" t="str">
        <f t="shared" si="26"/>
        <v/>
      </c>
      <c r="W96" s="132" t="str">
        <f t="shared" si="27"/>
        <v/>
      </c>
      <c r="X96" s="132">
        <f t="shared" si="28"/>
        <v>7</v>
      </c>
      <c r="Y96" s="132" t="str">
        <f t="shared" si="29"/>
        <v/>
      </c>
      <c r="Z96" s="132" t="str">
        <f t="shared" si="30"/>
        <v/>
      </c>
      <c r="AA96" s="132" t="str">
        <f t="shared" si="31"/>
        <v/>
      </c>
      <c r="AB96" s="132" t="str">
        <f t="shared" si="32"/>
        <v/>
      </c>
    </row>
    <row r="97" spans="1:28" x14ac:dyDescent="0.25">
      <c r="A97" s="5">
        <f t="shared" si="18"/>
        <v>0</v>
      </c>
      <c r="B97" s="4" t="str">
        <f t="shared" si="19"/>
        <v/>
      </c>
      <c r="C97" s="4" t="str">
        <f t="shared" si="20"/>
        <v/>
      </c>
      <c r="D97" s="35" t="str">
        <f t="shared" si="21"/>
        <v/>
      </c>
      <c r="P97" s="132" t="str">
        <f t="shared" si="22"/>
        <v/>
      </c>
      <c r="Q97" s="132" t="str">
        <f t="shared" si="23"/>
        <v/>
      </c>
      <c r="R97" s="132" t="str">
        <f t="shared" si="24"/>
        <v/>
      </c>
      <c r="T97" s="132" t="str">
        <f t="shared" si="25"/>
        <v/>
      </c>
      <c r="U97" s="132" t="str">
        <f t="shared" si="33"/>
        <v/>
      </c>
      <c r="V97" s="132" t="str">
        <f t="shared" si="26"/>
        <v/>
      </c>
      <c r="W97" s="132" t="str">
        <f t="shared" si="27"/>
        <v/>
      </c>
      <c r="X97" s="132">
        <f t="shared" si="28"/>
        <v>7</v>
      </c>
      <c r="Y97" s="132" t="str">
        <f t="shared" si="29"/>
        <v/>
      </c>
      <c r="Z97" s="132" t="str">
        <f t="shared" si="30"/>
        <v/>
      </c>
      <c r="AA97" s="132" t="str">
        <f t="shared" si="31"/>
        <v/>
      </c>
      <c r="AB97" s="132" t="str">
        <f t="shared" si="32"/>
        <v/>
      </c>
    </row>
    <row r="98" spans="1:28" x14ac:dyDescent="0.25">
      <c r="A98" s="5">
        <f t="shared" si="18"/>
        <v>0</v>
      </c>
      <c r="B98" s="4" t="str">
        <f t="shared" si="19"/>
        <v/>
      </c>
      <c r="C98" s="4" t="str">
        <f t="shared" si="20"/>
        <v/>
      </c>
      <c r="D98" s="35" t="str">
        <f t="shared" si="21"/>
        <v/>
      </c>
      <c r="P98" s="132" t="str">
        <f t="shared" si="22"/>
        <v/>
      </c>
      <c r="Q98" s="132" t="str">
        <f t="shared" si="23"/>
        <v/>
      </c>
      <c r="R98" s="132" t="str">
        <f t="shared" si="24"/>
        <v/>
      </c>
      <c r="T98" s="132" t="str">
        <f t="shared" si="25"/>
        <v/>
      </c>
      <c r="U98" s="132" t="str">
        <f t="shared" si="33"/>
        <v/>
      </c>
      <c r="V98" s="132" t="str">
        <f t="shared" si="26"/>
        <v/>
      </c>
      <c r="W98" s="132" t="str">
        <f t="shared" si="27"/>
        <v/>
      </c>
      <c r="X98" s="132">
        <f t="shared" si="28"/>
        <v>7</v>
      </c>
      <c r="Y98" s="132" t="str">
        <f t="shared" si="29"/>
        <v/>
      </c>
      <c r="Z98" s="132" t="str">
        <f t="shared" si="30"/>
        <v/>
      </c>
      <c r="AA98" s="132" t="str">
        <f t="shared" si="31"/>
        <v/>
      </c>
      <c r="AB98" s="132" t="str">
        <f t="shared" si="32"/>
        <v/>
      </c>
    </row>
    <row r="99" spans="1:28" x14ac:dyDescent="0.25">
      <c r="A99" s="5">
        <f t="shared" si="18"/>
        <v>0</v>
      </c>
      <c r="B99" s="4" t="str">
        <f t="shared" si="19"/>
        <v/>
      </c>
      <c r="C99" s="4" t="str">
        <f t="shared" si="20"/>
        <v/>
      </c>
      <c r="D99" s="35" t="str">
        <f t="shared" si="21"/>
        <v/>
      </c>
      <c r="T99" s="132" t="str">
        <f t="shared" si="25"/>
        <v/>
      </c>
      <c r="U99" s="132" t="str">
        <f t="shared" si="33"/>
        <v/>
      </c>
      <c r="V99" s="132" t="str">
        <f t="shared" si="26"/>
        <v/>
      </c>
      <c r="W99" s="132" t="str">
        <f t="shared" si="27"/>
        <v/>
      </c>
      <c r="X99" s="132">
        <f t="shared" si="28"/>
        <v>7</v>
      </c>
      <c r="Y99" s="132" t="str">
        <f t="shared" si="29"/>
        <v/>
      </c>
      <c r="Z99" s="132" t="str">
        <f t="shared" si="30"/>
        <v/>
      </c>
      <c r="AA99" s="132" t="str">
        <f t="shared" si="31"/>
        <v/>
      </c>
      <c r="AB99" s="132" t="str">
        <f t="shared" si="32"/>
        <v/>
      </c>
    </row>
    <row r="100" spans="1:28" x14ac:dyDescent="0.25">
      <c r="A100" s="5">
        <f t="shared" si="18"/>
        <v>0</v>
      </c>
      <c r="B100" s="4" t="str">
        <f t="shared" si="19"/>
        <v/>
      </c>
      <c r="C100" s="4" t="str">
        <f t="shared" si="20"/>
        <v/>
      </c>
      <c r="D100" s="35" t="str">
        <f t="shared" si="21"/>
        <v/>
      </c>
      <c r="T100" s="132" t="str">
        <f t="shared" si="25"/>
        <v/>
      </c>
      <c r="U100" s="132" t="str">
        <f t="shared" si="33"/>
        <v/>
      </c>
      <c r="V100" s="132" t="str">
        <f t="shared" si="26"/>
        <v/>
      </c>
      <c r="W100" s="132" t="str">
        <f t="shared" si="27"/>
        <v/>
      </c>
      <c r="X100" s="132">
        <f t="shared" si="28"/>
        <v>7</v>
      </c>
      <c r="Y100" s="132" t="str">
        <f t="shared" si="29"/>
        <v/>
      </c>
      <c r="Z100" s="132" t="str">
        <f t="shared" si="30"/>
        <v/>
      </c>
      <c r="AA100" s="132" t="str">
        <f t="shared" si="31"/>
        <v/>
      </c>
      <c r="AB100" s="132" t="str">
        <f t="shared" si="32"/>
        <v/>
      </c>
    </row>
    <row r="101" spans="1:28" x14ac:dyDescent="0.25">
      <c r="A101" s="5">
        <f t="shared" si="18"/>
        <v>0</v>
      </c>
      <c r="B101" s="4" t="str">
        <f t="shared" si="19"/>
        <v/>
      </c>
      <c r="C101" s="4" t="str">
        <f t="shared" si="20"/>
        <v/>
      </c>
      <c r="D101" s="35" t="str">
        <f t="shared" si="21"/>
        <v/>
      </c>
      <c r="T101" s="132" t="str">
        <f t="shared" si="25"/>
        <v/>
      </c>
      <c r="U101" s="132" t="str">
        <f t="shared" si="33"/>
        <v/>
      </c>
      <c r="V101" s="132" t="str">
        <f t="shared" si="26"/>
        <v/>
      </c>
      <c r="W101" s="132" t="str">
        <f t="shared" si="27"/>
        <v/>
      </c>
      <c r="X101" s="132">
        <f t="shared" si="28"/>
        <v>7</v>
      </c>
      <c r="Y101" s="132" t="str">
        <f t="shared" si="29"/>
        <v/>
      </c>
      <c r="Z101" s="132" t="str">
        <f t="shared" si="30"/>
        <v/>
      </c>
      <c r="AA101" s="132" t="str">
        <f t="shared" si="31"/>
        <v/>
      </c>
      <c r="AB101" s="132" t="str">
        <f t="shared" si="32"/>
        <v/>
      </c>
    </row>
    <row r="102" spans="1:28" x14ac:dyDescent="0.25">
      <c r="T102" s="132" t="str">
        <f t="shared" si="25"/>
        <v/>
      </c>
      <c r="U102" s="132" t="str">
        <f t="shared" si="33"/>
        <v/>
      </c>
      <c r="V102" s="132" t="str">
        <f t="shared" si="26"/>
        <v/>
      </c>
      <c r="W102" s="132" t="str">
        <f t="shared" si="27"/>
        <v/>
      </c>
      <c r="X102" s="132">
        <f t="shared" si="28"/>
        <v>7</v>
      </c>
      <c r="Y102" s="132" t="str">
        <f t="shared" si="29"/>
        <v/>
      </c>
      <c r="Z102" s="132" t="str">
        <f t="shared" si="30"/>
        <v/>
      </c>
      <c r="AA102" s="132" t="str">
        <f t="shared" si="31"/>
        <v/>
      </c>
      <c r="AB102" s="132" t="str">
        <f t="shared" si="32"/>
        <v/>
      </c>
    </row>
    <row r="103" spans="1:28" x14ac:dyDescent="0.25">
      <c r="T103" s="132" t="str">
        <f t="shared" si="25"/>
        <v/>
      </c>
      <c r="U103" s="132" t="str">
        <f t="shared" si="33"/>
        <v/>
      </c>
      <c r="V103" s="132" t="str">
        <f t="shared" si="26"/>
        <v/>
      </c>
      <c r="W103" s="132" t="str">
        <f t="shared" si="27"/>
        <v/>
      </c>
      <c r="X103" s="132">
        <f t="shared" si="28"/>
        <v>7</v>
      </c>
      <c r="Y103" s="132" t="str">
        <f t="shared" si="29"/>
        <v/>
      </c>
      <c r="Z103" s="132" t="str">
        <f t="shared" si="30"/>
        <v/>
      </c>
      <c r="AA103" s="132" t="str">
        <f t="shared" si="31"/>
        <v/>
      </c>
      <c r="AB103" s="132" t="str">
        <f t="shared" si="32"/>
        <v/>
      </c>
    </row>
    <row r="104" spans="1:28" x14ac:dyDescent="0.25">
      <c r="T104" s="132" t="str">
        <f t="shared" si="25"/>
        <v/>
      </c>
      <c r="U104" s="132" t="str">
        <f t="shared" si="33"/>
        <v/>
      </c>
      <c r="V104" s="132" t="str">
        <f t="shared" si="26"/>
        <v/>
      </c>
      <c r="W104" s="132" t="str">
        <f t="shared" si="27"/>
        <v/>
      </c>
      <c r="X104" s="132">
        <f t="shared" si="28"/>
        <v>7</v>
      </c>
      <c r="Y104" s="132" t="str">
        <f t="shared" si="29"/>
        <v/>
      </c>
      <c r="Z104" s="132" t="str">
        <f t="shared" si="30"/>
        <v/>
      </c>
      <c r="AA104" s="132" t="str">
        <f t="shared" si="31"/>
        <v/>
      </c>
      <c r="AB104" s="132" t="str">
        <f t="shared" si="32"/>
        <v/>
      </c>
    </row>
    <row r="105" spans="1:28" x14ac:dyDescent="0.25">
      <c r="T105" s="132" t="str">
        <f t="shared" si="25"/>
        <v/>
      </c>
      <c r="U105" s="132" t="str">
        <f t="shared" si="33"/>
        <v/>
      </c>
      <c r="V105" s="132" t="str">
        <f t="shared" si="26"/>
        <v/>
      </c>
      <c r="W105" s="132" t="str">
        <f t="shared" si="27"/>
        <v/>
      </c>
      <c r="X105" s="132">
        <f t="shared" si="28"/>
        <v>7</v>
      </c>
      <c r="Y105" s="132" t="str">
        <f t="shared" si="29"/>
        <v/>
      </c>
      <c r="Z105" s="132" t="str">
        <f t="shared" si="30"/>
        <v/>
      </c>
      <c r="AA105" s="132" t="str">
        <f t="shared" si="31"/>
        <v/>
      </c>
      <c r="AB105" s="132" t="str">
        <f t="shared" si="32"/>
        <v/>
      </c>
    </row>
    <row r="106" spans="1:28" x14ac:dyDescent="0.25">
      <c r="T106" s="132" t="str">
        <f t="shared" si="25"/>
        <v/>
      </c>
      <c r="U106" s="132" t="str">
        <f t="shared" si="33"/>
        <v/>
      </c>
      <c r="V106" s="132" t="str">
        <f t="shared" si="26"/>
        <v/>
      </c>
      <c r="W106" s="132" t="str">
        <f t="shared" si="27"/>
        <v/>
      </c>
      <c r="X106" s="132">
        <f t="shared" si="28"/>
        <v>7</v>
      </c>
      <c r="Y106" s="132" t="str">
        <f t="shared" si="29"/>
        <v/>
      </c>
      <c r="Z106" s="132" t="str">
        <f t="shared" si="30"/>
        <v/>
      </c>
      <c r="AA106" s="132" t="str">
        <f t="shared" si="31"/>
        <v/>
      </c>
      <c r="AB106" s="132" t="str">
        <f t="shared" si="32"/>
        <v/>
      </c>
    </row>
    <row r="107" spans="1:28" x14ac:dyDescent="0.25">
      <c r="T107" s="132" t="str">
        <f t="shared" si="25"/>
        <v/>
      </c>
      <c r="U107" s="132" t="str">
        <f t="shared" si="33"/>
        <v/>
      </c>
      <c r="V107" s="132" t="str">
        <f t="shared" si="26"/>
        <v/>
      </c>
      <c r="W107" s="132" t="str">
        <f t="shared" si="27"/>
        <v/>
      </c>
      <c r="X107" s="132">
        <f t="shared" si="28"/>
        <v>7</v>
      </c>
      <c r="Y107" s="132" t="str">
        <f t="shared" si="29"/>
        <v/>
      </c>
      <c r="Z107" s="132" t="str">
        <f t="shared" si="30"/>
        <v/>
      </c>
      <c r="AA107" s="132" t="str">
        <f t="shared" si="31"/>
        <v/>
      </c>
      <c r="AB107" s="132" t="str">
        <f t="shared" si="32"/>
        <v/>
      </c>
    </row>
    <row r="108" spans="1:28" x14ac:dyDescent="0.25">
      <c r="T108" s="132" t="str">
        <f t="shared" si="25"/>
        <v/>
      </c>
      <c r="U108" s="132" t="str">
        <f t="shared" si="33"/>
        <v/>
      </c>
      <c r="V108" s="132" t="str">
        <f t="shared" si="26"/>
        <v/>
      </c>
      <c r="W108" s="132" t="str">
        <f t="shared" si="27"/>
        <v/>
      </c>
      <c r="X108" s="132">
        <f t="shared" si="28"/>
        <v>7</v>
      </c>
      <c r="Y108" s="132" t="str">
        <f t="shared" si="29"/>
        <v/>
      </c>
      <c r="Z108" s="132" t="str">
        <f t="shared" si="30"/>
        <v/>
      </c>
      <c r="AA108" s="132" t="str">
        <f t="shared" si="31"/>
        <v/>
      </c>
      <c r="AB108" s="132" t="str">
        <f t="shared" si="32"/>
        <v/>
      </c>
    </row>
    <row r="109" spans="1:28" x14ac:dyDescent="0.25">
      <c r="T109" s="132" t="str">
        <f t="shared" si="25"/>
        <v/>
      </c>
      <c r="U109" s="132" t="str">
        <f t="shared" si="33"/>
        <v/>
      </c>
      <c r="V109" s="132" t="str">
        <f t="shared" si="26"/>
        <v/>
      </c>
      <c r="W109" s="132" t="str">
        <f t="shared" si="27"/>
        <v/>
      </c>
      <c r="X109" s="132">
        <f t="shared" si="28"/>
        <v>7</v>
      </c>
      <c r="Y109" s="132" t="str">
        <f t="shared" si="29"/>
        <v/>
      </c>
      <c r="Z109" s="132" t="str">
        <f t="shared" si="30"/>
        <v/>
      </c>
      <c r="AA109" s="132" t="str">
        <f t="shared" si="31"/>
        <v/>
      </c>
      <c r="AB109" s="132" t="str">
        <f t="shared" si="32"/>
        <v/>
      </c>
    </row>
    <row r="110" spans="1:28" x14ac:dyDescent="0.25">
      <c r="T110" s="132" t="str">
        <f t="shared" si="25"/>
        <v/>
      </c>
      <c r="U110" s="132" t="str">
        <f t="shared" si="33"/>
        <v/>
      </c>
      <c r="V110" s="132" t="str">
        <f t="shared" si="26"/>
        <v/>
      </c>
      <c r="W110" s="132" t="str">
        <f t="shared" si="27"/>
        <v/>
      </c>
      <c r="X110" s="132">
        <f t="shared" si="28"/>
        <v>7</v>
      </c>
      <c r="Y110" s="132" t="str">
        <f t="shared" si="29"/>
        <v/>
      </c>
      <c r="Z110" s="132" t="str">
        <f t="shared" si="30"/>
        <v/>
      </c>
      <c r="AA110" s="132" t="str">
        <f t="shared" si="31"/>
        <v/>
      </c>
      <c r="AB110" s="132" t="str">
        <f t="shared" si="32"/>
        <v/>
      </c>
    </row>
    <row r="111" spans="1:28" x14ac:dyDescent="0.25">
      <c r="T111" s="132" t="str">
        <f t="shared" si="25"/>
        <v/>
      </c>
      <c r="U111" s="132" t="str">
        <f t="shared" si="33"/>
        <v/>
      </c>
      <c r="V111" s="132" t="str">
        <f t="shared" si="26"/>
        <v/>
      </c>
      <c r="W111" s="132" t="str">
        <f t="shared" si="27"/>
        <v/>
      </c>
      <c r="X111" s="132">
        <f t="shared" si="28"/>
        <v>8</v>
      </c>
      <c r="Y111" s="132" t="str">
        <f t="shared" si="29"/>
        <v>Magic @ Pistons</v>
      </c>
      <c r="Z111" s="132" t="str">
        <f t="shared" si="30"/>
        <v>Magic @ Pistons</v>
      </c>
      <c r="AA111" s="132" t="str">
        <f t="shared" si="31"/>
        <v>Over 206</v>
      </c>
      <c r="AB111" s="132">
        <f t="shared" si="32"/>
        <v>0.56850000000000001</v>
      </c>
    </row>
    <row r="112" spans="1:28" x14ac:dyDescent="0.25">
      <c r="T112" s="132" t="str">
        <f t="shared" si="25"/>
        <v/>
      </c>
      <c r="U112" s="132" t="str">
        <f t="shared" si="33"/>
        <v/>
      </c>
      <c r="V112" s="132" t="str">
        <f t="shared" si="26"/>
        <v/>
      </c>
      <c r="W112" s="132" t="str">
        <f t="shared" si="27"/>
        <v/>
      </c>
      <c r="X112" s="132">
        <f t="shared" si="28"/>
        <v>8</v>
      </c>
      <c r="Y112" s="132" t="str">
        <f t="shared" si="29"/>
        <v>Over 206</v>
      </c>
      <c r="Z112" s="132" t="str">
        <f t="shared" si="30"/>
        <v/>
      </c>
      <c r="AA112" s="132" t="str">
        <f t="shared" si="31"/>
        <v/>
      </c>
      <c r="AB112" s="132" t="str">
        <f t="shared" si="32"/>
        <v/>
      </c>
    </row>
    <row r="113" spans="20:28" x14ac:dyDescent="0.25">
      <c r="T113" s="132" t="str">
        <f t="shared" si="25"/>
        <v/>
      </c>
      <c r="U113" s="132" t="str">
        <f t="shared" si="33"/>
        <v/>
      </c>
      <c r="V113" s="132" t="str">
        <f t="shared" si="26"/>
        <v/>
      </c>
      <c r="W113" s="132" t="str">
        <f t="shared" si="27"/>
        <v/>
      </c>
      <c r="X113" s="132">
        <f t="shared" si="28"/>
        <v>8</v>
      </c>
      <c r="Y113" s="132">
        <f t="shared" si="29"/>
        <v>0.56850000000000001</v>
      </c>
      <c r="Z113" s="132" t="str">
        <f t="shared" si="30"/>
        <v/>
      </c>
      <c r="AA113" s="132" t="str">
        <f t="shared" si="31"/>
        <v/>
      </c>
      <c r="AB113" s="132" t="str">
        <f t="shared" si="32"/>
        <v/>
      </c>
    </row>
    <row r="114" spans="20:28" x14ac:dyDescent="0.25">
      <c r="T114" s="132" t="str">
        <f t="shared" si="25"/>
        <v/>
      </c>
      <c r="U114" s="132" t="str">
        <f t="shared" si="33"/>
        <v/>
      </c>
      <c r="V114" s="132" t="str">
        <f t="shared" si="26"/>
        <v/>
      </c>
      <c r="W114" s="132" t="str">
        <f t="shared" si="27"/>
        <v/>
      </c>
      <c r="X114" s="132">
        <f t="shared" si="28"/>
        <v>9</v>
      </c>
      <c r="Y114" s="132" t="str">
        <f t="shared" si="29"/>
        <v>Magic @ Pistons</v>
      </c>
      <c r="Z114" s="132" t="str">
        <f t="shared" si="30"/>
        <v>Magic @ Pistons</v>
      </c>
      <c r="AA114" s="132" t="str">
        <f t="shared" si="31"/>
        <v>Magic +3.5</v>
      </c>
      <c r="AB114" s="132">
        <f t="shared" si="32"/>
        <v>0.58015000000000005</v>
      </c>
    </row>
    <row r="115" spans="20:28" x14ac:dyDescent="0.25">
      <c r="T115" s="132" t="str">
        <f t="shared" si="25"/>
        <v/>
      </c>
      <c r="U115" s="132" t="str">
        <f t="shared" si="33"/>
        <v/>
      </c>
      <c r="V115" s="132" t="str">
        <f t="shared" si="26"/>
        <v/>
      </c>
      <c r="W115" s="132" t="str">
        <f t="shared" si="27"/>
        <v/>
      </c>
      <c r="X115" s="132">
        <f t="shared" si="28"/>
        <v>9</v>
      </c>
      <c r="Y115" s="132" t="str">
        <f t="shared" si="29"/>
        <v>Magic +3.5</v>
      </c>
      <c r="Z115" s="132" t="str">
        <f t="shared" si="30"/>
        <v/>
      </c>
      <c r="AA115" s="132" t="str">
        <f t="shared" si="31"/>
        <v/>
      </c>
      <c r="AB115" s="132" t="str">
        <f t="shared" si="32"/>
        <v/>
      </c>
    </row>
    <row r="116" spans="20:28" x14ac:dyDescent="0.25">
      <c r="T116" s="132" t="str">
        <f t="shared" si="25"/>
        <v/>
      </c>
      <c r="U116" s="132" t="str">
        <f t="shared" si="33"/>
        <v/>
      </c>
      <c r="V116" s="132" t="str">
        <f t="shared" si="26"/>
        <v/>
      </c>
      <c r="W116" s="132" t="str">
        <f t="shared" si="27"/>
        <v/>
      </c>
      <c r="X116" s="132">
        <f t="shared" si="28"/>
        <v>9</v>
      </c>
      <c r="Y116" s="132">
        <f t="shared" si="29"/>
        <v>0.58015000000000005</v>
      </c>
      <c r="Z116" s="132" t="str">
        <f t="shared" si="30"/>
        <v/>
      </c>
      <c r="AA116" s="132" t="str">
        <f t="shared" si="31"/>
        <v/>
      </c>
      <c r="AB116" s="132" t="str">
        <f t="shared" si="32"/>
        <v/>
      </c>
    </row>
    <row r="117" spans="20:28" x14ac:dyDescent="0.25">
      <c r="T117" s="132" t="str">
        <f t="shared" si="25"/>
        <v/>
      </c>
      <c r="U117" s="132" t="str">
        <f t="shared" si="33"/>
        <v/>
      </c>
      <c r="V117" s="132" t="str">
        <f t="shared" si="26"/>
        <v/>
      </c>
      <c r="W117" s="132" t="str">
        <f t="shared" si="27"/>
        <v/>
      </c>
      <c r="X117" s="132">
        <f t="shared" si="28"/>
        <v>9</v>
      </c>
      <c r="Y117" s="132" t="str">
        <f t="shared" si="29"/>
        <v/>
      </c>
      <c r="Z117" s="132" t="str">
        <f t="shared" si="30"/>
        <v/>
      </c>
      <c r="AA117" s="132" t="str">
        <f t="shared" si="31"/>
        <v/>
      </c>
      <c r="AB117" s="132" t="str">
        <f t="shared" si="32"/>
        <v/>
      </c>
    </row>
    <row r="118" spans="20:28" x14ac:dyDescent="0.25">
      <c r="T118" s="132" t="str">
        <f t="shared" si="25"/>
        <v/>
      </c>
      <c r="U118" s="132" t="str">
        <f t="shared" si="33"/>
        <v/>
      </c>
      <c r="V118" s="132" t="str">
        <f t="shared" si="26"/>
        <v/>
      </c>
      <c r="W118" s="132" t="str">
        <f t="shared" si="27"/>
        <v/>
      </c>
      <c r="X118" s="132">
        <f t="shared" si="28"/>
        <v>9</v>
      </c>
      <c r="Y118" s="132" t="str">
        <f t="shared" si="29"/>
        <v/>
      </c>
      <c r="Z118" s="132" t="str">
        <f t="shared" si="30"/>
        <v/>
      </c>
      <c r="AA118" s="132" t="str">
        <f t="shared" si="31"/>
        <v/>
      </c>
      <c r="AB118" s="132" t="str">
        <f t="shared" si="32"/>
        <v/>
      </c>
    </row>
    <row r="119" spans="20:28" x14ac:dyDescent="0.25">
      <c r="T119" s="132" t="str">
        <f t="shared" si="25"/>
        <v/>
      </c>
      <c r="U119" s="132" t="str">
        <f t="shared" si="33"/>
        <v/>
      </c>
      <c r="V119" s="132" t="str">
        <f t="shared" si="26"/>
        <v/>
      </c>
      <c r="W119" s="132" t="str">
        <f t="shared" si="27"/>
        <v/>
      </c>
      <c r="X119" s="132">
        <f t="shared" si="28"/>
        <v>9</v>
      </c>
      <c r="Y119" s="132" t="str">
        <f t="shared" si="29"/>
        <v/>
      </c>
      <c r="Z119" s="132" t="str">
        <f t="shared" si="30"/>
        <v/>
      </c>
      <c r="AA119" s="132" t="str">
        <f t="shared" si="31"/>
        <v/>
      </c>
      <c r="AB119" s="132" t="str">
        <f t="shared" si="32"/>
        <v/>
      </c>
    </row>
    <row r="120" spans="20:28" x14ac:dyDescent="0.25">
      <c r="T120" s="132" t="str">
        <f t="shared" si="25"/>
        <v/>
      </c>
      <c r="U120" s="132" t="str">
        <f t="shared" si="33"/>
        <v/>
      </c>
      <c r="V120" s="132" t="str">
        <f t="shared" si="26"/>
        <v/>
      </c>
      <c r="W120" s="132" t="str">
        <f t="shared" si="27"/>
        <v/>
      </c>
      <c r="X120" s="132">
        <f t="shared" si="28"/>
        <v>9</v>
      </c>
      <c r="Y120" s="132" t="str">
        <f t="shared" si="29"/>
        <v/>
      </c>
      <c r="Z120" s="132" t="str">
        <f t="shared" si="30"/>
        <v/>
      </c>
      <c r="AA120" s="132" t="str">
        <f t="shared" si="31"/>
        <v/>
      </c>
      <c r="AB120" s="132" t="str">
        <f t="shared" si="32"/>
        <v/>
      </c>
    </row>
    <row r="121" spans="20:28" x14ac:dyDescent="0.25">
      <c r="T121" s="132" t="str">
        <f t="shared" si="25"/>
        <v/>
      </c>
      <c r="U121" s="132" t="str">
        <f t="shared" si="33"/>
        <v/>
      </c>
      <c r="V121" s="132" t="str">
        <f t="shared" si="26"/>
        <v/>
      </c>
      <c r="W121" s="132" t="str">
        <f t="shared" si="27"/>
        <v/>
      </c>
      <c r="X121" s="132">
        <f t="shared" si="28"/>
        <v>9</v>
      </c>
      <c r="Y121" s="132" t="str">
        <f t="shared" si="29"/>
        <v/>
      </c>
      <c r="Z121" s="132" t="str">
        <f t="shared" si="30"/>
        <v/>
      </c>
      <c r="AA121" s="132" t="str">
        <f t="shared" si="31"/>
        <v/>
      </c>
      <c r="AB121" s="132" t="str">
        <f t="shared" si="32"/>
        <v/>
      </c>
    </row>
    <row r="122" spans="20:28" x14ac:dyDescent="0.25">
      <c r="T122" s="132" t="str">
        <f t="shared" si="25"/>
        <v/>
      </c>
      <c r="U122" s="132" t="str">
        <f t="shared" si="33"/>
        <v/>
      </c>
      <c r="V122" s="132" t="str">
        <f t="shared" si="26"/>
        <v/>
      </c>
      <c r="W122" s="132" t="str">
        <f t="shared" si="27"/>
        <v/>
      </c>
      <c r="X122" s="132">
        <f t="shared" si="28"/>
        <v>9</v>
      </c>
      <c r="Y122" s="132" t="str">
        <f t="shared" si="29"/>
        <v/>
      </c>
      <c r="Z122" s="132" t="str">
        <f t="shared" si="30"/>
        <v/>
      </c>
      <c r="AA122" s="132" t="str">
        <f t="shared" si="31"/>
        <v/>
      </c>
      <c r="AB122" s="132" t="str">
        <f t="shared" si="32"/>
        <v/>
      </c>
    </row>
    <row r="123" spans="20:28" x14ac:dyDescent="0.25">
      <c r="T123" s="132" t="str">
        <f t="shared" si="25"/>
        <v/>
      </c>
      <c r="U123" s="132" t="str">
        <f t="shared" si="33"/>
        <v/>
      </c>
      <c r="V123" s="132" t="str">
        <f t="shared" si="26"/>
        <v/>
      </c>
      <c r="W123" s="132" t="str">
        <f t="shared" si="27"/>
        <v/>
      </c>
      <c r="X123" s="132">
        <f t="shared" si="28"/>
        <v>9</v>
      </c>
      <c r="Y123" s="132" t="str">
        <f t="shared" si="29"/>
        <v/>
      </c>
      <c r="Z123" s="132" t="str">
        <f t="shared" si="30"/>
        <v/>
      </c>
      <c r="AA123" s="132" t="str">
        <f t="shared" si="31"/>
        <v/>
      </c>
      <c r="AB123" s="132" t="str">
        <f t="shared" si="32"/>
        <v/>
      </c>
    </row>
    <row r="124" spans="20:28" x14ac:dyDescent="0.25">
      <c r="T124" s="132" t="str">
        <f t="shared" si="25"/>
        <v/>
      </c>
      <c r="U124" s="132" t="str">
        <f t="shared" si="33"/>
        <v/>
      </c>
      <c r="V124" s="132" t="str">
        <f t="shared" si="26"/>
        <v/>
      </c>
      <c r="W124" s="132" t="str">
        <f t="shared" si="27"/>
        <v/>
      </c>
      <c r="X124" s="132">
        <f t="shared" si="28"/>
        <v>9</v>
      </c>
      <c r="Y124" s="132" t="str">
        <f t="shared" si="29"/>
        <v/>
      </c>
      <c r="Z124" s="132" t="str">
        <f t="shared" si="30"/>
        <v/>
      </c>
      <c r="AA124" s="132" t="str">
        <f t="shared" si="31"/>
        <v/>
      </c>
      <c r="AB124" s="132" t="str">
        <f t="shared" si="32"/>
        <v/>
      </c>
    </row>
    <row r="125" spans="20:28" x14ac:dyDescent="0.25">
      <c r="T125" s="132" t="str">
        <f t="shared" si="25"/>
        <v/>
      </c>
      <c r="U125" s="132" t="str">
        <f t="shared" si="33"/>
        <v/>
      </c>
      <c r="V125" s="132" t="str">
        <f t="shared" si="26"/>
        <v/>
      </c>
      <c r="W125" s="132" t="str">
        <f t="shared" si="27"/>
        <v/>
      </c>
      <c r="X125" s="132">
        <f t="shared" si="28"/>
        <v>9</v>
      </c>
      <c r="Y125" s="132" t="str">
        <f t="shared" si="29"/>
        <v/>
      </c>
      <c r="Z125" s="132" t="str">
        <f t="shared" si="30"/>
        <v/>
      </c>
      <c r="AA125" s="132" t="str">
        <f t="shared" si="31"/>
        <v/>
      </c>
      <c r="AB125" s="132" t="str">
        <f t="shared" si="32"/>
        <v/>
      </c>
    </row>
    <row r="126" spans="20:28" x14ac:dyDescent="0.25">
      <c r="T126" s="132" t="str">
        <f t="shared" si="25"/>
        <v/>
      </c>
      <c r="U126" s="132" t="str">
        <f t="shared" si="33"/>
        <v/>
      </c>
      <c r="V126" s="132" t="str">
        <f t="shared" si="26"/>
        <v/>
      </c>
      <c r="W126" s="132" t="str">
        <f t="shared" si="27"/>
        <v/>
      </c>
      <c r="X126" s="132">
        <f t="shared" si="28"/>
        <v>9</v>
      </c>
      <c r="Y126" s="132" t="str">
        <f t="shared" si="29"/>
        <v/>
      </c>
      <c r="Z126" s="132" t="str">
        <f t="shared" si="30"/>
        <v/>
      </c>
      <c r="AA126" s="132" t="str">
        <f t="shared" si="31"/>
        <v/>
      </c>
      <c r="AB126" s="132" t="str">
        <f t="shared" si="32"/>
        <v/>
      </c>
    </row>
    <row r="127" spans="20:28" x14ac:dyDescent="0.25">
      <c r="T127" s="132" t="str">
        <f t="shared" si="25"/>
        <v/>
      </c>
      <c r="U127" s="132" t="str">
        <f t="shared" si="33"/>
        <v/>
      </c>
      <c r="V127" s="132" t="str">
        <f t="shared" si="26"/>
        <v/>
      </c>
      <c r="W127" s="132" t="str">
        <f t="shared" si="27"/>
        <v/>
      </c>
      <c r="X127" s="132">
        <f t="shared" si="28"/>
        <v>9</v>
      </c>
      <c r="Y127" s="132" t="str">
        <f t="shared" si="29"/>
        <v/>
      </c>
      <c r="Z127" s="132" t="str">
        <f t="shared" si="30"/>
        <v/>
      </c>
      <c r="AA127" s="132" t="str">
        <f t="shared" si="31"/>
        <v/>
      </c>
      <c r="AB127" s="132" t="str">
        <f t="shared" si="32"/>
        <v/>
      </c>
    </row>
    <row r="128" spans="20:28" x14ac:dyDescent="0.25">
      <c r="T128" s="132" t="str">
        <f t="shared" si="25"/>
        <v/>
      </c>
      <c r="U128" s="132" t="str">
        <f t="shared" si="33"/>
        <v/>
      </c>
      <c r="V128" s="132" t="str">
        <f t="shared" si="26"/>
        <v/>
      </c>
      <c r="W128" s="132" t="str">
        <f t="shared" si="27"/>
        <v/>
      </c>
      <c r="X128" s="132">
        <f t="shared" si="28"/>
        <v>9</v>
      </c>
      <c r="Y128" s="132" t="str">
        <f t="shared" si="29"/>
        <v/>
      </c>
      <c r="Z128" s="132" t="str">
        <f t="shared" si="30"/>
        <v/>
      </c>
      <c r="AA128" s="132" t="str">
        <f t="shared" si="31"/>
        <v/>
      </c>
      <c r="AB128" s="132" t="str">
        <f t="shared" si="32"/>
        <v/>
      </c>
    </row>
    <row r="129" spans="20:28" x14ac:dyDescent="0.25">
      <c r="T129" s="132" t="str">
        <f t="shared" si="25"/>
        <v/>
      </c>
      <c r="U129" s="132" t="str">
        <f t="shared" si="33"/>
        <v/>
      </c>
      <c r="V129" s="132" t="str">
        <f t="shared" si="26"/>
        <v/>
      </c>
      <c r="W129" s="132" t="str">
        <f t="shared" si="27"/>
        <v/>
      </c>
      <c r="X129" s="132">
        <f t="shared" si="28"/>
        <v>9</v>
      </c>
      <c r="Y129" s="132" t="str">
        <f t="shared" si="29"/>
        <v/>
      </c>
      <c r="Z129" s="132" t="str">
        <f t="shared" si="30"/>
        <v/>
      </c>
      <c r="AA129" s="132" t="str">
        <f t="shared" si="31"/>
        <v/>
      </c>
      <c r="AB129" s="132" t="str">
        <f t="shared" si="32"/>
        <v/>
      </c>
    </row>
    <row r="130" spans="20:28" x14ac:dyDescent="0.25">
      <c r="T130" s="132" t="str">
        <f t="shared" si="25"/>
        <v/>
      </c>
      <c r="U130" s="132" t="str">
        <f t="shared" si="33"/>
        <v/>
      </c>
      <c r="V130" s="132" t="str">
        <f t="shared" si="26"/>
        <v/>
      </c>
      <c r="W130" s="132" t="str">
        <f t="shared" si="27"/>
        <v/>
      </c>
      <c r="X130" s="132">
        <f t="shared" si="28"/>
        <v>9</v>
      </c>
      <c r="Y130" s="132" t="str">
        <f t="shared" si="29"/>
        <v/>
      </c>
      <c r="Z130" s="132" t="str">
        <f t="shared" si="30"/>
        <v/>
      </c>
      <c r="AA130" s="132" t="str">
        <f t="shared" si="31"/>
        <v/>
      </c>
      <c r="AB130" s="132" t="str">
        <f t="shared" si="32"/>
        <v/>
      </c>
    </row>
    <row r="131" spans="20:28" x14ac:dyDescent="0.25">
      <c r="T131" s="132" t="str">
        <f t="shared" si="25"/>
        <v/>
      </c>
      <c r="U131" s="132" t="str">
        <f t="shared" si="33"/>
        <v/>
      </c>
      <c r="V131" s="132" t="str">
        <f t="shared" si="26"/>
        <v/>
      </c>
      <c r="W131" s="132" t="str">
        <f t="shared" si="27"/>
        <v/>
      </c>
      <c r="X131" s="132">
        <f t="shared" si="28"/>
        <v>9</v>
      </c>
      <c r="Y131" s="132" t="str">
        <f t="shared" si="29"/>
        <v/>
      </c>
      <c r="Z131" s="132" t="str">
        <f t="shared" si="30"/>
        <v/>
      </c>
      <c r="AA131" s="132" t="str">
        <f t="shared" si="31"/>
        <v/>
      </c>
      <c r="AB131" s="132" t="str">
        <f t="shared" si="32"/>
        <v/>
      </c>
    </row>
    <row r="132" spans="20:28" x14ac:dyDescent="0.25">
      <c r="T132" s="132" t="str">
        <f t="shared" ref="T132:T194" si="34">IF(MOD(ROW(),3)=0,IF(L134&gt;=$K$1,L134,IF(M134&gt;=$K$1,M134,"")),"")</f>
        <v/>
      </c>
      <c r="U132" s="132" t="str">
        <f t="shared" si="33"/>
        <v/>
      </c>
      <c r="V132" s="132" t="str">
        <f t="shared" ref="V132:V194" si="35">IF(MOD(ROW(),3)=0,IF(H134&gt;$O$1,H132&amp;" Moneyline",IF(I134&gt;=$O$1,I132&amp;" Moneyline","")),"")</f>
        <v/>
      </c>
      <c r="W132" s="132" t="str">
        <f t="shared" ref="W132:W195" si="36">IF(MOD(ROW(),3)=0,IF(H134&gt;=$O$1,H134,IF(I134&gt;=$O$1,I134,"")),"")</f>
        <v/>
      </c>
      <c r="X132" s="132">
        <f t="shared" ref="X132:X195" si="37">IF(ISNUMBER(CODE(Z132)),X131+1,X131)</f>
        <v>9</v>
      </c>
      <c r="Y132" s="132" t="str">
        <f t="shared" ref="Y132:Y195" si="38">INDEX($O$3:$W$50,1+INT((ROW(A130)-1)/COLUMNS($O$3:$W$50)),MOD(ROW(A130)-1+COLUMNS($O$3:$W$50),COLUMNS($O$3:$W$50))+1)</f>
        <v/>
      </c>
      <c r="Z132" s="132" t="str">
        <f t="shared" ref="Z132:Z195" si="39">IF(ISNUMBER(SEARCH("@",Y132)),Y132,"")</f>
        <v/>
      </c>
      <c r="AA132" s="132" t="str">
        <f t="shared" ref="AA132:AA195" si="40">IF(ISNUMBER(SEARCH("@",Y132)),Y133,"")</f>
        <v/>
      </c>
      <c r="AB132" s="132" t="str">
        <f t="shared" ref="AB132:AB195" si="41">IF(ISNUMBER(SEARCH("@",Y132)),Y134,"")</f>
        <v/>
      </c>
    </row>
    <row r="133" spans="20:28" x14ac:dyDescent="0.25">
      <c r="T133" s="132" t="str">
        <f t="shared" si="34"/>
        <v/>
      </c>
      <c r="U133" s="132" t="str">
        <f t="shared" ref="U133:U194" si="42">IF(MOD(ROW(),3)=0,IF(H135&gt;=$O$1,I133&amp;" @ "&amp;H133,IF(I135&gt;=$O$1,I133&amp;" @ "&amp;H133,"")),"")</f>
        <v/>
      </c>
      <c r="V133" s="132" t="str">
        <f t="shared" si="35"/>
        <v/>
      </c>
      <c r="W133" s="132" t="str">
        <f t="shared" si="36"/>
        <v/>
      </c>
      <c r="X133" s="132">
        <f t="shared" si="37"/>
        <v>9</v>
      </c>
      <c r="Y133" s="132" t="str">
        <f t="shared" si="38"/>
        <v/>
      </c>
      <c r="Z133" s="132" t="str">
        <f t="shared" si="39"/>
        <v/>
      </c>
      <c r="AA133" s="132" t="str">
        <f t="shared" si="40"/>
        <v/>
      </c>
      <c r="AB133" s="132" t="str">
        <f t="shared" si="41"/>
        <v/>
      </c>
    </row>
    <row r="134" spans="20:28" x14ac:dyDescent="0.25">
      <c r="T134" s="132" t="str">
        <f t="shared" si="34"/>
        <v/>
      </c>
      <c r="U134" s="132" t="str">
        <f t="shared" si="42"/>
        <v/>
      </c>
      <c r="V134" s="132" t="str">
        <f t="shared" si="35"/>
        <v/>
      </c>
      <c r="W134" s="132" t="str">
        <f t="shared" si="36"/>
        <v/>
      </c>
      <c r="X134" s="132">
        <f t="shared" si="37"/>
        <v>9</v>
      </c>
      <c r="Y134" s="132" t="str">
        <f t="shared" si="38"/>
        <v/>
      </c>
      <c r="Z134" s="132" t="str">
        <f t="shared" si="39"/>
        <v/>
      </c>
      <c r="AA134" s="132" t="str">
        <f t="shared" si="40"/>
        <v/>
      </c>
      <c r="AB134" s="132" t="str">
        <f t="shared" si="41"/>
        <v/>
      </c>
    </row>
    <row r="135" spans="20:28" x14ac:dyDescent="0.25">
      <c r="T135" s="132" t="str">
        <f t="shared" si="34"/>
        <v/>
      </c>
      <c r="U135" s="132" t="str">
        <f t="shared" si="42"/>
        <v/>
      </c>
      <c r="V135" s="132" t="str">
        <f t="shared" si="35"/>
        <v/>
      </c>
      <c r="W135" s="132" t="str">
        <f t="shared" si="36"/>
        <v/>
      </c>
      <c r="X135" s="132">
        <f t="shared" si="37"/>
        <v>9</v>
      </c>
      <c r="Y135" s="132" t="str">
        <f t="shared" si="38"/>
        <v/>
      </c>
      <c r="Z135" s="132" t="str">
        <f t="shared" si="39"/>
        <v/>
      </c>
      <c r="AA135" s="132" t="str">
        <f t="shared" si="40"/>
        <v/>
      </c>
      <c r="AB135" s="132" t="str">
        <f t="shared" si="41"/>
        <v/>
      </c>
    </row>
    <row r="136" spans="20:28" x14ac:dyDescent="0.25">
      <c r="T136" s="132" t="str">
        <f t="shared" si="34"/>
        <v/>
      </c>
      <c r="U136" s="132" t="str">
        <f t="shared" si="42"/>
        <v/>
      </c>
      <c r="V136" s="132" t="str">
        <f t="shared" si="35"/>
        <v/>
      </c>
      <c r="W136" s="132" t="str">
        <f t="shared" si="36"/>
        <v/>
      </c>
      <c r="X136" s="132">
        <f t="shared" si="37"/>
        <v>9</v>
      </c>
      <c r="Y136" s="132" t="str">
        <f t="shared" si="38"/>
        <v/>
      </c>
      <c r="Z136" s="132" t="str">
        <f t="shared" si="39"/>
        <v/>
      </c>
      <c r="AA136" s="132" t="str">
        <f t="shared" si="40"/>
        <v/>
      </c>
      <c r="AB136" s="132" t="str">
        <f t="shared" si="41"/>
        <v/>
      </c>
    </row>
    <row r="137" spans="20:28" x14ac:dyDescent="0.25">
      <c r="T137" s="132" t="str">
        <f t="shared" si="34"/>
        <v/>
      </c>
      <c r="U137" s="132" t="str">
        <f t="shared" si="42"/>
        <v/>
      </c>
      <c r="V137" s="132" t="str">
        <f t="shared" si="35"/>
        <v/>
      </c>
      <c r="W137" s="132" t="str">
        <f t="shared" si="36"/>
        <v/>
      </c>
      <c r="X137" s="132">
        <f t="shared" si="37"/>
        <v>9</v>
      </c>
      <c r="Y137" s="132" t="str">
        <f t="shared" si="38"/>
        <v/>
      </c>
      <c r="Z137" s="132" t="str">
        <f t="shared" si="39"/>
        <v/>
      </c>
      <c r="AA137" s="132" t="str">
        <f t="shared" si="40"/>
        <v/>
      </c>
      <c r="AB137" s="132" t="str">
        <f t="shared" si="41"/>
        <v/>
      </c>
    </row>
    <row r="138" spans="20:28" x14ac:dyDescent="0.25">
      <c r="T138" s="132" t="str">
        <f t="shared" si="34"/>
        <v/>
      </c>
      <c r="U138" s="132" t="str">
        <f t="shared" si="42"/>
        <v/>
      </c>
      <c r="V138" s="132" t="str">
        <f t="shared" si="35"/>
        <v/>
      </c>
      <c r="W138" s="132" t="str">
        <f t="shared" si="36"/>
        <v/>
      </c>
      <c r="X138" s="132">
        <f t="shared" si="37"/>
        <v>10</v>
      </c>
      <c r="Y138" s="132" t="str">
        <f t="shared" si="38"/>
        <v>Mavericks @ Heat</v>
      </c>
      <c r="Z138" s="132" t="str">
        <f t="shared" si="39"/>
        <v>Mavericks @ Heat</v>
      </c>
      <c r="AA138" s="132" t="str">
        <f t="shared" si="40"/>
        <v>Over 209</v>
      </c>
      <c r="AB138" s="132">
        <f t="shared" si="41"/>
        <v>0.71611999999999998</v>
      </c>
    </row>
    <row r="139" spans="20:28" x14ac:dyDescent="0.25">
      <c r="T139" s="132" t="str">
        <f t="shared" si="34"/>
        <v/>
      </c>
      <c r="U139" s="132" t="str">
        <f t="shared" si="42"/>
        <v/>
      </c>
      <c r="V139" s="132" t="str">
        <f t="shared" si="35"/>
        <v/>
      </c>
      <c r="W139" s="132" t="str">
        <f t="shared" si="36"/>
        <v/>
      </c>
      <c r="X139" s="132">
        <f t="shared" si="37"/>
        <v>10</v>
      </c>
      <c r="Y139" s="132" t="str">
        <f t="shared" si="38"/>
        <v>Over 209</v>
      </c>
      <c r="Z139" s="132" t="str">
        <f t="shared" si="39"/>
        <v/>
      </c>
      <c r="AA139" s="132" t="str">
        <f t="shared" si="40"/>
        <v/>
      </c>
      <c r="AB139" s="132" t="str">
        <f t="shared" si="41"/>
        <v/>
      </c>
    </row>
    <row r="140" spans="20:28" x14ac:dyDescent="0.25">
      <c r="T140" s="132" t="str">
        <f t="shared" si="34"/>
        <v/>
      </c>
      <c r="U140" s="132" t="str">
        <f t="shared" si="42"/>
        <v/>
      </c>
      <c r="V140" s="132" t="str">
        <f t="shared" si="35"/>
        <v/>
      </c>
      <c r="W140" s="132" t="str">
        <f t="shared" si="36"/>
        <v/>
      </c>
      <c r="X140" s="132">
        <f t="shared" si="37"/>
        <v>10</v>
      </c>
      <c r="Y140" s="132">
        <f t="shared" si="38"/>
        <v>0.71611999999999998</v>
      </c>
      <c r="Z140" s="132" t="str">
        <f t="shared" si="39"/>
        <v/>
      </c>
      <c r="AA140" s="132" t="str">
        <f t="shared" si="40"/>
        <v/>
      </c>
      <c r="AB140" s="132" t="str">
        <f t="shared" si="41"/>
        <v/>
      </c>
    </row>
    <row r="141" spans="20:28" x14ac:dyDescent="0.25">
      <c r="T141" s="132" t="str">
        <f t="shared" si="34"/>
        <v/>
      </c>
      <c r="U141" s="132" t="str">
        <f t="shared" si="42"/>
        <v/>
      </c>
      <c r="V141" s="132" t="str">
        <f t="shared" si="35"/>
        <v/>
      </c>
      <c r="W141" s="132" t="str">
        <f t="shared" si="36"/>
        <v/>
      </c>
      <c r="X141" s="132">
        <f t="shared" si="37"/>
        <v>10</v>
      </c>
      <c r="Y141" s="132" t="str">
        <f t="shared" si="38"/>
        <v/>
      </c>
      <c r="Z141" s="132" t="str">
        <f t="shared" si="39"/>
        <v/>
      </c>
      <c r="AA141" s="132" t="str">
        <f t="shared" si="40"/>
        <v/>
      </c>
      <c r="AB141" s="132" t="str">
        <f t="shared" si="41"/>
        <v/>
      </c>
    </row>
    <row r="142" spans="20:28" x14ac:dyDescent="0.25">
      <c r="T142" s="132" t="str">
        <f t="shared" si="34"/>
        <v/>
      </c>
      <c r="U142" s="132" t="str">
        <f t="shared" si="42"/>
        <v/>
      </c>
      <c r="V142" s="132" t="str">
        <f t="shared" si="35"/>
        <v/>
      </c>
      <c r="W142" s="132" t="str">
        <f t="shared" si="36"/>
        <v/>
      </c>
      <c r="X142" s="132">
        <f t="shared" si="37"/>
        <v>10</v>
      </c>
      <c r="Y142" s="132" t="str">
        <f t="shared" si="38"/>
        <v/>
      </c>
      <c r="Z142" s="132" t="str">
        <f t="shared" si="39"/>
        <v/>
      </c>
      <c r="AA142" s="132" t="str">
        <f t="shared" si="40"/>
        <v/>
      </c>
      <c r="AB142" s="132" t="str">
        <f t="shared" si="41"/>
        <v/>
      </c>
    </row>
    <row r="143" spans="20:28" x14ac:dyDescent="0.25">
      <c r="T143" s="132" t="str">
        <f t="shared" si="34"/>
        <v/>
      </c>
      <c r="U143" s="132" t="str">
        <f t="shared" si="42"/>
        <v/>
      </c>
      <c r="V143" s="132" t="str">
        <f t="shared" si="35"/>
        <v/>
      </c>
      <c r="W143" s="132" t="str">
        <f t="shared" si="36"/>
        <v/>
      </c>
      <c r="X143" s="132">
        <f t="shared" si="37"/>
        <v>10</v>
      </c>
      <c r="Y143" s="132" t="str">
        <f t="shared" si="38"/>
        <v/>
      </c>
      <c r="Z143" s="132" t="str">
        <f t="shared" si="39"/>
        <v/>
      </c>
      <c r="AA143" s="132" t="str">
        <f t="shared" si="40"/>
        <v/>
      </c>
      <c r="AB143" s="132" t="str">
        <f t="shared" si="41"/>
        <v/>
      </c>
    </row>
    <row r="144" spans="20:28" x14ac:dyDescent="0.25">
      <c r="T144" s="132" t="str">
        <f t="shared" si="34"/>
        <v/>
      </c>
      <c r="U144" s="132" t="str">
        <f t="shared" si="42"/>
        <v/>
      </c>
      <c r="V144" s="132" t="str">
        <f t="shared" si="35"/>
        <v/>
      </c>
      <c r="W144" s="132" t="str">
        <f t="shared" si="36"/>
        <v/>
      </c>
      <c r="X144" s="132">
        <f t="shared" si="37"/>
        <v>10</v>
      </c>
      <c r="Y144" s="132" t="str">
        <f t="shared" si="38"/>
        <v/>
      </c>
      <c r="Z144" s="132" t="str">
        <f t="shared" si="39"/>
        <v/>
      </c>
      <c r="AA144" s="132" t="str">
        <f t="shared" si="40"/>
        <v/>
      </c>
      <c r="AB144" s="132" t="str">
        <f t="shared" si="41"/>
        <v/>
      </c>
    </row>
    <row r="145" spans="20:28" x14ac:dyDescent="0.25">
      <c r="T145" s="132" t="str">
        <f t="shared" si="34"/>
        <v/>
      </c>
      <c r="U145" s="132" t="str">
        <f t="shared" si="42"/>
        <v/>
      </c>
      <c r="V145" s="132" t="str">
        <f t="shared" si="35"/>
        <v/>
      </c>
      <c r="W145" s="132" t="str">
        <f t="shared" si="36"/>
        <v/>
      </c>
      <c r="X145" s="132">
        <f t="shared" si="37"/>
        <v>10</v>
      </c>
      <c r="Y145" s="132" t="str">
        <f t="shared" si="38"/>
        <v/>
      </c>
      <c r="Z145" s="132" t="str">
        <f t="shared" si="39"/>
        <v/>
      </c>
      <c r="AA145" s="132" t="str">
        <f t="shared" si="40"/>
        <v/>
      </c>
      <c r="AB145" s="132" t="str">
        <f t="shared" si="41"/>
        <v/>
      </c>
    </row>
    <row r="146" spans="20:28" x14ac:dyDescent="0.25">
      <c r="T146" s="132" t="str">
        <f t="shared" si="34"/>
        <v/>
      </c>
      <c r="U146" s="132" t="str">
        <f t="shared" si="42"/>
        <v/>
      </c>
      <c r="V146" s="132" t="str">
        <f t="shared" si="35"/>
        <v/>
      </c>
      <c r="W146" s="132" t="str">
        <f t="shared" si="36"/>
        <v/>
      </c>
      <c r="X146" s="132">
        <f t="shared" si="37"/>
        <v>10</v>
      </c>
      <c r="Y146" s="132" t="str">
        <f t="shared" si="38"/>
        <v/>
      </c>
      <c r="Z146" s="132" t="str">
        <f t="shared" si="39"/>
        <v/>
      </c>
      <c r="AA146" s="132" t="str">
        <f t="shared" si="40"/>
        <v/>
      </c>
      <c r="AB146" s="132" t="str">
        <f t="shared" si="41"/>
        <v/>
      </c>
    </row>
    <row r="147" spans="20:28" x14ac:dyDescent="0.25">
      <c r="T147" s="132" t="str">
        <f t="shared" si="34"/>
        <v/>
      </c>
      <c r="U147" s="132" t="str">
        <f t="shared" si="42"/>
        <v/>
      </c>
      <c r="V147" s="132" t="str">
        <f t="shared" si="35"/>
        <v/>
      </c>
      <c r="W147" s="132" t="str">
        <f t="shared" si="36"/>
        <v/>
      </c>
      <c r="X147" s="132">
        <f t="shared" si="37"/>
        <v>10</v>
      </c>
      <c r="Y147" s="132" t="str">
        <f t="shared" si="38"/>
        <v/>
      </c>
      <c r="Z147" s="132" t="str">
        <f t="shared" si="39"/>
        <v/>
      </c>
      <c r="AA147" s="132" t="str">
        <f t="shared" si="40"/>
        <v/>
      </c>
      <c r="AB147" s="132" t="str">
        <f t="shared" si="41"/>
        <v/>
      </c>
    </row>
    <row r="148" spans="20:28" x14ac:dyDescent="0.25">
      <c r="T148" s="132" t="str">
        <f t="shared" si="34"/>
        <v/>
      </c>
      <c r="U148" s="132" t="str">
        <f t="shared" si="42"/>
        <v/>
      </c>
      <c r="V148" s="132" t="str">
        <f t="shared" si="35"/>
        <v/>
      </c>
      <c r="W148" s="132" t="str">
        <f t="shared" si="36"/>
        <v/>
      </c>
      <c r="X148" s="132">
        <f t="shared" si="37"/>
        <v>10</v>
      </c>
      <c r="Y148" s="132" t="str">
        <f t="shared" si="38"/>
        <v/>
      </c>
      <c r="Z148" s="132" t="str">
        <f t="shared" si="39"/>
        <v/>
      </c>
      <c r="AA148" s="132" t="str">
        <f t="shared" si="40"/>
        <v/>
      </c>
      <c r="AB148" s="132" t="str">
        <f t="shared" si="41"/>
        <v/>
      </c>
    </row>
    <row r="149" spans="20:28" x14ac:dyDescent="0.25">
      <c r="T149" s="132" t="str">
        <f t="shared" si="34"/>
        <v/>
      </c>
      <c r="U149" s="132" t="str">
        <f t="shared" si="42"/>
        <v/>
      </c>
      <c r="V149" s="132" t="str">
        <f t="shared" si="35"/>
        <v/>
      </c>
      <c r="W149" s="132" t="str">
        <f t="shared" si="36"/>
        <v/>
      </c>
      <c r="X149" s="132">
        <f t="shared" si="37"/>
        <v>10</v>
      </c>
      <c r="Y149" s="132" t="str">
        <f t="shared" si="38"/>
        <v/>
      </c>
      <c r="Z149" s="132" t="str">
        <f t="shared" si="39"/>
        <v/>
      </c>
      <c r="AA149" s="132" t="str">
        <f t="shared" si="40"/>
        <v/>
      </c>
      <c r="AB149" s="132" t="str">
        <f t="shared" si="41"/>
        <v/>
      </c>
    </row>
    <row r="150" spans="20:28" x14ac:dyDescent="0.25">
      <c r="T150" s="132" t="str">
        <f t="shared" si="34"/>
        <v/>
      </c>
      <c r="U150" s="132" t="str">
        <f t="shared" si="42"/>
        <v/>
      </c>
      <c r="V150" s="132" t="str">
        <f t="shared" si="35"/>
        <v/>
      </c>
      <c r="W150" s="132" t="str">
        <f t="shared" si="36"/>
        <v/>
      </c>
      <c r="X150" s="132">
        <f t="shared" si="37"/>
        <v>10</v>
      </c>
      <c r="Y150" s="132" t="str">
        <f t="shared" si="38"/>
        <v/>
      </c>
      <c r="Z150" s="132" t="str">
        <f t="shared" si="39"/>
        <v/>
      </c>
      <c r="AA150" s="132" t="str">
        <f t="shared" si="40"/>
        <v/>
      </c>
      <c r="AB150" s="132" t="str">
        <f t="shared" si="41"/>
        <v/>
      </c>
    </row>
    <row r="151" spans="20:28" x14ac:dyDescent="0.25">
      <c r="T151" s="132" t="str">
        <f t="shared" si="34"/>
        <v/>
      </c>
      <c r="U151" s="132" t="str">
        <f t="shared" si="42"/>
        <v/>
      </c>
      <c r="V151" s="132" t="str">
        <f t="shared" si="35"/>
        <v/>
      </c>
      <c r="W151" s="132" t="str">
        <f t="shared" si="36"/>
        <v/>
      </c>
      <c r="X151" s="132">
        <f t="shared" si="37"/>
        <v>10</v>
      </c>
      <c r="Y151" s="132" t="str">
        <f t="shared" si="38"/>
        <v/>
      </c>
      <c r="Z151" s="132" t="str">
        <f t="shared" si="39"/>
        <v/>
      </c>
      <c r="AA151" s="132" t="str">
        <f t="shared" si="40"/>
        <v/>
      </c>
      <c r="AB151" s="132" t="str">
        <f t="shared" si="41"/>
        <v/>
      </c>
    </row>
    <row r="152" spans="20:28" x14ac:dyDescent="0.25">
      <c r="T152" s="132" t="str">
        <f t="shared" si="34"/>
        <v/>
      </c>
      <c r="U152" s="132" t="str">
        <f t="shared" si="42"/>
        <v/>
      </c>
      <c r="V152" s="132" t="str">
        <f t="shared" si="35"/>
        <v/>
      </c>
      <c r="W152" s="132" t="str">
        <f t="shared" si="36"/>
        <v/>
      </c>
      <c r="X152" s="132">
        <f t="shared" si="37"/>
        <v>10</v>
      </c>
      <c r="Y152" s="132" t="str">
        <f t="shared" si="38"/>
        <v/>
      </c>
      <c r="Z152" s="132" t="str">
        <f t="shared" si="39"/>
        <v/>
      </c>
      <c r="AA152" s="132" t="str">
        <f t="shared" si="40"/>
        <v/>
      </c>
      <c r="AB152" s="132" t="str">
        <f t="shared" si="41"/>
        <v/>
      </c>
    </row>
    <row r="153" spans="20:28" x14ac:dyDescent="0.25">
      <c r="T153" s="132" t="str">
        <f t="shared" si="34"/>
        <v/>
      </c>
      <c r="U153" s="132" t="str">
        <f t="shared" si="42"/>
        <v/>
      </c>
      <c r="V153" s="132" t="str">
        <f t="shared" si="35"/>
        <v/>
      </c>
      <c r="W153" s="132" t="str">
        <f t="shared" si="36"/>
        <v/>
      </c>
      <c r="X153" s="132">
        <f t="shared" si="37"/>
        <v>10</v>
      </c>
      <c r="Y153" s="132" t="str">
        <f t="shared" si="38"/>
        <v/>
      </c>
      <c r="Z153" s="132" t="str">
        <f t="shared" si="39"/>
        <v/>
      </c>
      <c r="AA153" s="132" t="str">
        <f t="shared" si="40"/>
        <v/>
      </c>
      <c r="AB153" s="132" t="str">
        <f t="shared" si="41"/>
        <v/>
      </c>
    </row>
    <row r="154" spans="20:28" x14ac:dyDescent="0.25">
      <c r="T154" s="132" t="str">
        <f t="shared" si="34"/>
        <v/>
      </c>
      <c r="U154" s="132" t="str">
        <f t="shared" si="42"/>
        <v/>
      </c>
      <c r="V154" s="132" t="str">
        <f t="shared" si="35"/>
        <v/>
      </c>
      <c r="W154" s="132" t="str">
        <f t="shared" si="36"/>
        <v/>
      </c>
      <c r="X154" s="132">
        <f t="shared" si="37"/>
        <v>10</v>
      </c>
      <c r="Y154" s="132" t="str">
        <f t="shared" si="38"/>
        <v/>
      </c>
      <c r="Z154" s="132" t="str">
        <f t="shared" si="39"/>
        <v/>
      </c>
      <c r="AA154" s="132" t="str">
        <f t="shared" si="40"/>
        <v/>
      </c>
      <c r="AB154" s="132" t="str">
        <f t="shared" si="41"/>
        <v/>
      </c>
    </row>
    <row r="155" spans="20:28" x14ac:dyDescent="0.25">
      <c r="T155" s="132" t="str">
        <f t="shared" si="34"/>
        <v/>
      </c>
      <c r="U155" s="132" t="str">
        <f t="shared" si="42"/>
        <v/>
      </c>
      <c r="V155" s="132" t="str">
        <f t="shared" si="35"/>
        <v/>
      </c>
      <c r="W155" s="132" t="str">
        <f t="shared" si="36"/>
        <v/>
      </c>
      <c r="X155" s="132">
        <f t="shared" si="37"/>
        <v>10</v>
      </c>
      <c r="Y155" s="132" t="str">
        <f t="shared" si="38"/>
        <v/>
      </c>
      <c r="Z155" s="132" t="str">
        <f t="shared" si="39"/>
        <v/>
      </c>
      <c r="AA155" s="132" t="str">
        <f t="shared" si="40"/>
        <v/>
      </c>
      <c r="AB155" s="132" t="str">
        <f t="shared" si="41"/>
        <v/>
      </c>
    </row>
    <row r="156" spans="20:28" x14ac:dyDescent="0.25">
      <c r="T156" s="132" t="str">
        <f t="shared" si="34"/>
        <v/>
      </c>
      <c r="U156" s="132" t="str">
        <f t="shared" si="42"/>
        <v/>
      </c>
      <c r="V156" s="132" t="str">
        <f t="shared" si="35"/>
        <v/>
      </c>
      <c r="W156" s="132" t="str">
        <f t="shared" si="36"/>
        <v/>
      </c>
      <c r="X156" s="132">
        <f t="shared" si="37"/>
        <v>10</v>
      </c>
      <c r="Y156" s="132" t="str">
        <f t="shared" si="38"/>
        <v/>
      </c>
      <c r="Z156" s="132" t="str">
        <f t="shared" si="39"/>
        <v/>
      </c>
      <c r="AA156" s="132" t="str">
        <f t="shared" si="40"/>
        <v/>
      </c>
      <c r="AB156" s="132" t="str">
        <f t="shared" si="41"/>
        <v/>
      </c>
    </row>
    <row r="157" spans="20:28" x14ac:dyDescent="0.25">
      <c r="T157" s="132" t="str">
        <f t="shared" si="34"/>
        <v/>
      </c>
      <c r="U157" s="132" t="str">
        <f t="shared" si="42"/>
        <v/>
      </c>
      <c r="V157" s="132" t="str">
        <f t="shared" si="35"/>
        <v/>
      </c>
      <c r="W157" s="132" t="str">
        <f t="shared" si="36"/>
        <v/>
      </c>
      <c r="X157" s="132">
        <f t="shared" si="37"/>
        <v>10</v>
      </c>
      <c r="Y157" s="132" t="str">
        <f t="shared" si="38"/>
        <v/>
      </c>
      <c r="Z157" s="132" t="str">
        <f t="shared" si="39"/>
        <v/>
      </c>
      <c r="AA157" s="132" t="str">
        <f t="shared" si="40"/>
        <v/>
      </c>
      <c r="AB157" s="132" t="str">
        <f t="shared" si="41"/>
        <v/>
      </c>
    </row>
    <row r="158" spans="20:28" x14ac:dyDescent="0.25">
      <c r="T158" s="132" t="str">
        <f t="shared" si="34"/>
        <v/>
      </c>
      <c r="U158" s="132" t="str">
        <f t="shared" si="42"/>
        <v/>
      </c>
      <c r="V158" s="132" t="str">
        <f t="shared" si="35"/>
        <v/>
      </c>
      <c r="W158" s="132" t="str">
        <f t="shared" si="36"/>
        <v/>
      </c>
      <c r="X158" s="132">
        <f t="shared" si="37"/>
        <v>10</v>
      </c>
      <c r="Y158" s="132" t="str">
        <f t="shared" si="38"/>
        <v/>
      </c>
      <c r="Z158" s="132" t="str">
        <f t="shared" si="39"/>
        <v/>
      </c>
      <c r="AA158" s="132" t="str">
        <f t="shared" si="40"/>
        <v/>
      </c>
      <c r="AB158" s="132" t="str">
        <f t="shared" si="41"/>
        <v/>
      </c>
    </row>
    <row r="159" spans="20:28" x14ac:dyDescent="0.25">
      <c r="T159" s="132" t="str">
        <f t="shared" si="34"/>
        <v/>
      </c>
      <c r="U159" s="132" t="str">
        <f t="shared" si="42"/>
        <v/>
      </c>
      <c r="V159" s="132" t="str">
        <f t="shared" si="35"/>
        <v/>
      </c>
      <c r="W159" s="132" t="str">
        <f t="shared" si="36"/>
        <v/>
      </c>
      <c r="X159" s="132">
        <f t="shared" si="37"/>
        <v>10</v>
      </c>
      <c r="Y159" s="132" t="str">
        <f t="shared" si="38"/>
        <v/>
      </c>
      <c r="Z159" s="132" t="str">
        <f t="shared" si="39"/>
        <v/>
      </c>
      <c r="AA159" s="132" t="str">
        <f t="shared" si="40"/>
        <v/>
      </c>
      <c r="AB159" s="132" t="str">
        <f t="shared" si="41"/>
        <v/>
      </c>
    </row>
    <row r="160" spans="20:28" x14ac:dyDescent="0.25">
      <c r="T160" s="132" t="str">
        <f t="shared" si="34"/>
        <v/>
      </c>
      <c r="U160" s="132" t="str">
        <f t="shared" si="42"/>
        <v/>
      </c>
      <c r="V160" s="132" t="str">
        <f t="shared" si="35"/>
        <v/>
      </c>
      <c r="W160" s="132" t="str">
        <f t="shared" si="36"/>
        <v/>
      </c>
      <c r="X160" s="132">
        <f t="shared" si="37"/>
        <v>10</v>
      </c>
      <c r="Y160" s="132" t="str">
        <f t="shared" si="38"/>
        <v/>
      </c>
      <c r="Z160" s="132" t="str">
        <f t="shared" si="39"/>
        <v/>
      </c>
      <c r="AA160" s="132" t="str">
        <f t="shared" si="40"/>
        <v/>
      </c>
      <c r="AB160" s="132" t="str">
        <f t="shared" si="41"/>
        <v/>
      </c>
    </row>
    <row r="161" spans="20:28" x14ac:dyDescent="0.25">
      <c r="T161" s="132" t="str">
        <f t="shared" si="34"/>
        <v/>
      </c>
      <c r="U161" s="132" t="str">
        <f t="shared" si="42"/>
        <v/>
      </c>
      <c r="V161" s="132" t="str">
        <f t="shared" si="35"/>
        <v/>
      </c>
      <c r="W161" s="132" t="str">
        <f t="shared" si="36"/>
        <v/>
      </c>
      <c r="X161" s="132">
        <f t="shared" si="37"/>
        <v>10</v>
      </c>
      <c r="Y161" s="132" t="str">
        <f t="shared" si="38"/>
        <v/>
      </c>
      <c r="Z161" s="132" t="str">
        <f t="shared" si="39"/>
        <v/>
      </c>
      <c r="AA161" s="132" t="str">
        <f t="shared" si="40"/>
        <v/>
      </c>
      <c r="AB161" s="132" t="str">
        <f t="shared" si="41"/>
        <v/>
      </c>
    </row>
    <row r="162" spans="20:28" x14ac:dyDescent="0.25">
      <c r="T162" s="132" t="str">
        <f t="shared" si="34"/>
        <v/>
      </c>
      <c r="U162" s="132" t="str">
        <f t="shared" si="42"/>
        <v/>
      </c>
      <c r="V162" s="132" t="str">
        <f t="shared" si="35"/>
        <v/>
      </c>
      <c r="W162" s="132" t="str">
        <f t="shared" si="36"/>
        <v/>
      </c>
      <c r="X162" s="132">
        <f t="shared" si="37"/>
        <v>10</v>
      </c>
      <c r="Y162" s="132" t="str">
        <f t="shared" si="38"/>
        <v/>
      </c>
      <c r="Z162" s="132" t="str">
        <f t="shared" si="39"/>
        <v/>
      </c>
      <c r="AA162" s="132" t="str">
        <f t="shared" si="40"/>
        <v/>
      </c>
      <c r="AB162" s="132" t="str">
        <f t="shared" si="41"/>
        <v/>
      </c>
    </row>
    <row r="163" spans="20:28" x14ac:dyDescent="0.25">
      <c r="T163" s="132" t="str">
        <f t="shared" si="34"/>
        <v/>
      </c>
      <c r="U163" s="132" t="str">
        <f t="shared" si="42"/>
        <v/>
      </c>
      <c r="V163" s="132" t="str">
        <f t="shared" si="35"/>
        <v/>
      </c>
      <c r="W163" s="132" t="str">
        <f t="shared" si="36"/>
        <v/>
      </c>
      <c r="X163" s="132">
        <f t="shared" si="37"/>
        <v>10</v>
      </c>
      <c r="Y163" s="132" t="str">
        <f t="shared" si="38"/>
        <v/>
      </c>
      <c r="Z163" s="132" t="str">
        <f t="shared" si="39"/>
        <v/>
      </c>
      <c r="AA163" s="132" t="str">
        <f t="shared" si="40"/>
        <v/>
      </c>
      <c r="AB163" s="132" t="str">
        <f t="shared" si="41"/>
        <v/>
      </c>
    </row>
    <row r="164" spans="20:28" x14ac:dyDescent="0.25">
      <c r="T164" s="132" t="str">
        <f t="shared" si="34"/>
        <v/>
      </c>
      <c r="U164" s="132" t="str">
        <f t="shared" si="42"/>
        <v/>
      </c>
      <c r="V164" s="132" t="str">
        <f t="shared" si="35"/>
        <v/>
      </c>
      <c r="W164" s="132" t="str">
        <f t="shared" si="36"/>
        <v/>
      </c>
      <c r="X164" s="132">
        <f t="shared" si="37"/>
        <v>10</v>
      </c>
      <c r="Y164" s="132" t="str">
        <f t="shared" si="38"/>
        <v/>
      </c>
      <c r="Z164" s="132" t="str">
        <f t="shared" si="39"/>
        <v/>
      </c>
      <c r="AA164" s="132" t="str">
        <f t="shared" si="40"/>
        <v/>
      </c>
      <c r="AB164" s="132" t="str">
        <f t="shared" si="41"/>
        <v/>
      </c>
    </row>
    <row r="165" spans="20:28" x14ac:dyDescent="0.25">
      <c r="T165" s="132" t="str">
        <f t="shared" si="34"/>
        <v/>
      </c>
      <c r="U165" s="132" t="str">
        <f t="shared" si="42"/>
        <v/>
      </c>
      <c r="V165" s="132" t="str">
        <f t="shared" si="35"/>
        <v/>
      </c>
      <c r="W165" s="132" t="str">
        <f t="shared" si="36"/>
        <v/>
      </c>
      <c r="X165" s="132">
        <f t="shared" si="37"/>
        <v>11</v>
      </c>
      <c r="Y165" s="132" t="str">
        <f t="shared" si="38"/>
        <v>Raptors @ Knicks</v>
      </c>
      <c r="Z165" s="132" t="str">
        <f t="shared" si="39"/>
        <v>Raptors @ Knicks</v>
      </c>
      <c r="AA165" s="132" t="str">
        <f t="shared" si="40"/>
        <v>Over 217</v>
      </c>
      <c r="AB165" s="132">
        <f t="shared" si="41"/>
        <v>0.57991000000000004</v>
      </c>
    </row>
    <row r="166" spans="20:28" x14ac:dyDescent="0.25">
      <c r="T166" s="132" t="str">
        <f t="shared" si="34"/>
        <v/>
      </c>
      <c r="U166" s="132" t="str">
        <f t="shared" si="42"/>
        <v/>
      </c>
      <c r="V166" s="132" t="str">
        <f t="shared" si="35"/>
        <v/>
      </c>
      <c r="W166" s="132" t="str">
        <f t="shared" si="36"/>
        <v/>
      </c>
      <c r="X166" s="132">
        <f t="shared" si="37"/>
        <v>11</v>
      </c>
      <c r="Y166" s="132" t="str">
        <f t="shared" si="38"/>
        <v>Over 217</v>
      </c>
      <c r="Z166" s="132" t="str">
        <f t="shared" si="39"/>
        <v/>
      </c>
      <c r="AA166" s="132" t="str">
        <f t="shared" si="40"/>
        <v/>
      </c>
      <c r="AB166" s="132" t="str">
        <f t="shared" si="41"/>
        <v/>
      </c>
    </row>
    <row r="167" spans="20:28" x14ac:dyDescent="0.25">
      <c r="T167" s="132" t="str">
        <f t="shared" si="34"/>
        <v/>
      </c>
      <c r="U167" s="132" t="str">
        <f t="shared" si="42"/>
        <v/>
      </c>
      <c r="V167" s="132" t="str">
        <f t="shared" si="35"/>
        <v/>
      </c>
      <c r="W167" s="132" t="str">
        <f t="shared" si="36"/>
        <v/>
      </c>
      <c r="X167" s="132">
        <f t="shared" si="37"/>
        <v>11</v>
      </c>
      <c r="Y167" s="132">
        <f t="shared" si="38"/>
        <v>0.57991000000000004</v>
      </c>
      <c r="Z167" s="132" t="str">
        <f t="shared" si="39"/>
        <v/>
      </c>
      <c r="AA167" s="132" t="str">
        <f t="shared" si="40"/>
        <v/>
      </c>
      <c r="AB167" s="132" t="str">
        <f t="shared" si="41"/>
        <v/>
      </c>
    </row>
    <row r="168" spans="20:28" x14ac:dyDescent="0.25">
      <c r="T168" s="132" t="str">
        <f t="shared" si="34"/>
        <v/>
      </c>
      <c r="U168" s="132" t="str">
        <f t="shared" si="42"/>
        <v/>
      </c>
      <c r="V168" s="132" t="str">
        <f t="shared" si="35"/>
        <v/>
      </c>
      <c r="W168" s="132" t="str">
        <f t="shared" si="36"/>
        <v/>
      </c>
      <c r="X168" s="132">
        <f t="shared" si="37"/>
        <v>12</v>
      </c>
      <c r="Y168" s="132" t="str">
        <f t="shared" si="38"/>
        <v>Raptors @ Knicks</v>
      </c>
      <c r="Z168" s="132" t="str">
        <f t="shared" si="39"/>
        <v>Raptors @ Knicks</v>
      </c>
      <c r="AA168" s="132" t="str">
        <f t="shared" si="40"/>
        <v>Knicks +12</v>
      </c>
      <c r="AB168" s="132">
        <f t="shared" si="41"/>
        <v>0.66617000000000004</v>
      </c>
    </row>
    <row r="169" spans="20:28" x14ac:dyDescent="0.25">
      <c r="T169" s="132" t="str">
        <f t="shared" si="34"/>
        <v/>
      </c>
      <c r="U169" s="132" t="str">
        <f t="shared" si="42"/>
        <v/>
      </c>
      <c r="V169" s="132" t="str">
        <f t="shared" si="35"/>
        <v/>
      </c>
      <c r="W169" s="132" t="str">
        <f t="shared" si="36"/>
        <v/>
      </c>
      <c r="X169" s="132">
        <f t="shared" si="37"/>
        <v>12</v>
      </c>
      <c r="Y169" s="132" t="str">
        <f t="shared" si="38"/>
        <v>Knicks +12</v>
      </c>
      <c r="Z169" s="132" t="str">
        <f t="shared" si="39"/>
        <v/>
      </c>
      <c r="AA169" s="132" t="str">
        <f t="shared" si="40"/>
        <v/>
      </c>
      <c r="AB169" s="132" t="str">
        <f t="shared" si="41"/>
        <v/>
      </c>
    </row>
    <row r="170" spans="20:28" x14ac:dyDescent="0.25">
      <c r="T170" s="132" t="str">
        <f t="shared" si="34"/>
        <v/>
      </c>
      <c r="U170" s="132" t="str">
        <f t="shared" si="42"/>
        <v/>
      </c>
      <c r="V170" s="132" t="str">
        <f t="shared" si="35"/>
        <v/>
      </c>
      <c r="W170" s="132" t="str">
        <f t="shared" si="36"/>
        <v/>
      </c>
      <c r="X170" s="132">
        <f t="shared" si="37"/>
        <v>12</v>
      </c>
      <c r="Y170" s="132">
        <f t="shared" si="38"/>
        <v>0.66617000000000004</v>
      </c>
      <c r="Z170" s="132" t="str">
        <f t="shared" si="39"/>
        <v/>
      </c>
      <c r="AA170" s="132" t="str">
        <f t="shared" si="40"/>
        <v/>
      </c>
      <c r="AB170" s="132" t="str">
        <f t="shared" si="41"/>
        <v/>
      </c>
    </row>
    <row r="171" spans="20:28" x14ac:dyDescent="0.25">
      <c r="T171" s="132" t="str">
        <f t="shared" si="34"/>
        <v/>
      </c>
      <c r="U171" s="132" t="str">
        <f t="shared" si="42"/>
        <v/>
      </c>
      <c r="V171" s="132" t="str">
        <f t="shared" si="35"/>
        <v/>
      </c>
      <c r="W171" s="132" t="str">
        <f t="shared" si="36"/>
        <v/>
      </c>
      <c r="X171" s="132">
        <f t="shared" si="37"/>
        <v>12</v>
      </c>
      <c r="Y171" s="132" t="str">
        <f t="shared" si="38"/>
        <v/>
      </c>
      <c r="Z171" s="132" t="str">
        <f t="shared" si="39"/>
        <v/>
      </c>
      <c r="AA171" s="132" t="str">
        <f t="shared" si="40"/>
        <v/>
      </c>
      <c r="AB171" s="132" t="str">
        <f t="shared" si="41"/>
        <v/>
      </c>
    </row>
    <row r="172" spans="20:28" x14ac:dyDescent="0.25">
      <c r="T172" s="132" t="str">
        <f t="shared" si="34"/>
        <v/>
      </c>
      <c r="U172" s="132" t="str">
        <f t="shared" si="42"/>
        <v/>
      </c>
      <c r="V172" s="132" t="str">
        <f t="shared" si="35"/>
        <v/>
      </c>
      <c r="W172" s="132" t="str">
        <f t="shared" si="36"/>
        <v/>
      </c>
      <c r="X172" s="132">
        <f t="shared" si="37"/>
        <v>12</v>
      </c>
      <c r="Y172" s="132" t="str">
        <f t="shared" si="38"/>
        <v/>
      </c>
      <c r="Z172" s="132" t="str">
        <f t="shared" si="39"/>
        <v/>
      </c>
      <c r="AA172" s="132" t="str">
        <f t="shared" si="40"/>
        <v/>
      </c>
      <c r="AB172" s="132" t="str">
        <f t="shared" si="41"/>
        <v/>
      </c>
    </row>
    <row r="173" spans="20:28" x14ac:dyDescent="0.25">
      <c r="T173" s="132" t="str">
        <f t="shared" si="34"/>
        <v/>
      </c>
      <c r="U173" s="132" t="str">
        <f t="shared" si="42"/>
        <v/>
      </c>
      <c r="V173" s="132" t="str">
        <f t="shared" si="35"/>
        <v/>
      </c>
      <c r="W173" s="132" t="str">
        <f t="shared" si="36"/>
        <v/>
      </c>
      <c r="X173" s="132">
        <f t="shared" si="37"/>
        <v>12</v>
      </c>
      <c r="Y173" s="132" t="str">
        <f t="shared" si="38"/>
        <v/>
      </c>
      <c r="Z173" s="132" t="str">
        <f t="shared" si="39"/>
        <v/>
      </c>
      <c r="AA173" s="132" t="str">
        <f t="shared" si="40"/>
        <v/>
      </c>
      <c r="AB173" s="132" t="str">
        <f t="shared" si="41"/>
        <v/>
      </c>
    </row>
    <row r="174" spans="20:28" x14ac:dyDescent="0.25">
      <c r="T174" s="132" t="str">
        <f t="shared" si="34"/>
        <v/>
      </c>
      <c r="U174" s="132" t="str">
        <f t="shared" si="42"/>
        <v/>
      </c>
      <c r="V174" s="132" t="str">
        <f t="shared" si="35"/>
        <v/>
      </c>
      <c r="W174" s="132" t="str">
        <f t="shared" si="36"/>
        <v/>
      </c>
      <c r="X174" s="132">
        <f t="shared" si="37"/>
        <v>12</v>
      </c>
      <c r="Y174" s="132" t="str">
        <f t="shared" si="38"/>
        <v/>
      </c>
      <c r="Z174" s="132" t="str">
        <f t="shared" si="39"/>
        <v/>
      </c>
      <c r="AA174" s="132" t="str">
        <f t="shared" si="40"/>
        <v/>
      </c>
      <c r="AB174" s="132" t="str">
        <f t="shared" si="41"/>
        <v/>
      </c>
    </row>
    <row r="175" spans="20:28" x14ac:dyDescent="0.25">
      <c r="T175" s="132" t="str">
        <f t="shared" si="34"/>
        <v/>
      </c>
      <c r="U175" s="132" t="str">
        <f t="shared" si="42"/>
        <v/>
      </c>
      <c r="V175" s="132" t="str">
        <f t="shared" si="35"/>
        <v/>
      </c>
      <c r="W175" s="132" t="str">
        <f t="shared" si="36"/>
        <v/>
      </c>
      <c r="X175" s="132">
        <f t="shared" si="37"/>
        <v>12</v>
      </c>
      <c r="Y175" s="132" t="str">
        <f t="shared" si="38"/>
        <v/>
      </c>
      <c r="Z175" s="132" t="str">
        <f t="shared" si="39"/>
        <v/>
      </c>
      <c r="AA175" s="132" t="str">
        <f t="shared" si="40"/>
        <v/>
      </c>
      <c r="AB175" s="132" t="str">
        <f t="shared" si="41"/>
        <v/>
      </c>
    </row>
    <row r="176" spans="20:28" x14ac:dyDescent="0.25">
      <c r="T176" s="132" t="str">
        <f t="shared" si="34"/>
        <v/>
      </c>
      <c r="U176" s="132" t="str">
        <f t="shared" si="42"/>
        <v/>
      </c>
      <c r="V176" s="132" t="str">
        <f t="shared" si="35"/>
        <v/>
      </c>
      <c r="W176" s="132" t="str">
        <f t="shared" si="36"/>
        <v/>
      </c>
      <c r="X176" s="132">
        <f t="shared" si="37"/>
        <v>12</v>
      </c>
      <c r="Y176" s="132" t="str">
        <f t="shared" si="38"/>
        <v/>
      </c>
      <c r="Z176" s="132" t="str">
        <f t="shared" si="39"/>
        <v/>
      </c>
      <c r="AA176" s="132" t="str">
        <f t="shared" si="40"/>
        <v/>
      </c>
      <c r="AB176" s="132" t="str">
        <f t="shared" si="41"/>
        <v/>
      </c>
    </row>
    <row r="177" spans="20:28" x14ac:dyDescent="0.25">
      <c r="T177" s="132" t="str">
        <f t="shared" si="34"/>
        <v/>
      </c>
      <c r="U177" s="132" t="str">
        <f t="shared" si="42"/>
        <v/>
      </c>
      <c r="V177" s="132" t="str">
        <f t="shared" si="35"/>
        <v/>
      </c>
      <c r="W177" s="132" t="str">
        <f t="shared" si="36"/>
        <v/>
      </c>
      <c r="X177" s="132">
        <f t="shared" si="37"/>
        <v>12</v>
      </c>
      <c r="Y177" s="132" t="str">
        <f t="shared" si="38"/>
        <v/>
      </c>
      <c r="Z177" s="132" t="str">
        <f t="shared" si="39"/>
        <v/>
      </c>
      <c r="AA177" s="132" t="str">
        <f t="shared" si="40"/>
        <v/>
      </c>
      <c r="AB177" s="132" t="str">
        <f t="shared" si="41"/>
        <v/>
      </c>
    </row>
    <row r="178" spans="20:28" x14ac:dyDescent="0.25">
      <c r="T178" s="132" t="str">
        <f t="shared" si="34"/>
        <v/>
      </c>
      <c r="U178" s="132" t="str">
        <f t="shared" si="42"/>
        <v/>
      </c>
      <c r="V178" s="132" t="str">
        <f t="shared" si="35"/>
        <v/>
      </c>
      <c r="W178" s="132" t="str">
        <f t="shared" si="36"/>
        <v/>
      </c>
      <c r="X178" s="132">
        <f t="shared" si="37"/>
        <v>12</v>
      </c>
      <c r="Y178" s="132" t="str">
        <f t="shared" si="38"/>
        <v/>
      </c>
      <c r="Z178" s="132" t="str">
        <f t="shared" si="39"/>
        <v/>
      </c>
      <c r="AA178" s="132" t="str">
        <f t="shared" si="40"/>
        <v/>
      </c>
      <c r="AB178" s="132" t="str">
        <f t="shared" si="41"/>
        <v/>
      </c>
    </row>
    <row r="179" spans="20:28" x14ac:dyDescent="0.25">
      <c r="T179" s="132" t="str">
        <f t="shared" si="34"/>
        <v/>
      </c>
      <c r="U179" s="132" t="str">
        <f t="shared" si="42"/>
        <v/>
      </c>
      <c r="V179" s="132" t="str">
        <f t="shared" si="35"/>
        <v/>
      </c>
      <c r="W179" s="132" t="str">
        <f t="shared" si="36"/>
        <v/>
      </c>
      <c r="X179" s="132">
        <f t="shared" si="37"/>
        <v>12</v>
      </c>
      <c r="Y179" s="132" t="str">
        <f t="shared" si="38"/>
        <v/>
      </c>
      <c r="Z179" s="132" t="str">
        <f t="shared" si="39"/>
        <v/>
      </c>
      <c r="AA179" s="132" t="str">
        <f t="shared" si="40"/>
        <v/>
      </c>
      <c r="AB179" s="132" t="str">
        <f t="shared" si="41"/>
        <v/>
      </c>
    </row>
    <row r="180" spans="20:28" x14ac:dyDescent="0.25">
      <c r="T180" s="132" t="str">
        <f t="shared" si="34"/>
        <v/>
      </c>
      <c r="U180" s="132" t="str">
        <f t="shared" si="42"/>
        <v/>
      </c>
      <c r="V180" s="132" t="str">
        <f t="shared" si="35"/>
        <v/>
      </c>
      <c r="W180" s="132" t="str">
        <f t="shared" si="36"/>
        <v/>
      </c>
      <c r="X180" s="132">
        <f t="shared" si="37"/>
        <v>12</v>
      </c>
      <c r="Y180" s="132" t="str">
        <f t="shared" si="38"/>
        <v/>
      </c>
      <c r="Z180" s="132" t="str">
        <f t="shared" si="39"/>
        <v/>
      </c>
      <c r="AA180" s="132" t="str">
        <f t="shared" si="40"/>
        <v/>
      </c>
      <c r="AB180" s="132" t="str">
        <f t="shared" si="41"/>
        <v/>
      </c>
    </row>
    <row r="181" spans="20:28" x14ac:dyDescent="0.25">
      <c r="T181" s="132" t="str">
        <f t="shared" si="34"/>
        <v/>
      </c>
      <c r="U181" s="132" t="str">
        <f t="shared" si="42"/>
        <v/>
      </c>
      <c r="V181" s="132" t="str">
        <f t="shared" si="35"/>
        <v/>
      </c>
      <c r="W181" s="132" t="str">
        <f t="shared" si="36"/>
        <v/>
      </c>
      <c r="X181" s="132">
        <f t="shared" si="37"/>
        <v>12</v>
      </c>
      <c r="Y181" s="132" t="str">
        <f t="shared" si="38"/>
        <v/>
      </c>
      <c r="Z181" s="132" t="str">
        <f t="shared" si="39"/>
        <v/>
      </c>
      <c r="AA181" s="132" t="str">
        <f t="shared" si="40"/>
        <v/>
      </c>
      <c r="AB181" s="132" t="str">
        <f t="shared" si="41"/>
        <v/>
      </c>
    </row>
    <row r="182" spans="20:28" x14ac:dyDescent="0.25">
      <c r="T182" s="132" t="str">
        <f t="shared" si="34"/>
        <v/>
      </c>
      <c r="U182" s="132" t="str">
        <f t="shared" si="42"/>
        <v/>
      </c>
      <c r="V182" s="132" t="str">
        <f t="shared" si="35"/>
        <v/>
      </c>
      <c r="W182" s="132" t="str">
        <f t="shared" si="36"/>
        <v/>
      </c>
      <c r="X182" s="132">
        <f t="shared" si="37"/>
        <v>12</v>
      </c>
      <c r="Y182" s="132" t="str">
        <f t="shared" si="38"/>
        <v/>
      </c>
      <c r="Z182" s="132" t="str">
        <f t="shared" si="39"/>
        <v/>
      </c>
      <c r="AA182" s="132" t="str">
        <f t="shared" si="40"/>
        <v/>
      </c>
      <c r="AB182" s="132" t="str">
        <f t="shared" si="41"/>
        <v/>
      </c>
    </row>
    <row r="183" spans="20:28" x14ac:dyDescent="0.25">
      <c r="T183" s="132" t="str">
        <f t="shared" si="34"/>
        <v/>
      </c>
      <c r="U183" s="132" t="str">
        <f t="shared" si="42"/>
        <v/>
      </c>
      <c r="V183" s="132" t="str">
        <f t="shared" si="35"/>
        <v/>
      </c>
      <c r="W183" s="132" t="str">
        <f t="shared" si="36"/>
        <v/>
      </c>
      <c r="X183" s="132">
        <f t="shared" si="37"/>
        <v>12</v>
      </c>
      <c r="Y183" s="132" t="str">
        <f t="shared" si="38"/>
        <v/>
      </c>
      <c r="Z183" s="132" t="str">
        <f t="shared" si="39"/>
        <v/>
      </c>
      <c r="AA183" s="132" t="str">
        <f t="shared" si="40"/>
        <v/>
      </c>
      <c r="AB183" s="132" t="str">
        <f t="shared" si="41"/>
        <v/>
      </c>
    </row>
    <row r="184" spans="20:28" x14ac:dyDescent="0.25">
      <c r="T184" s="132" t="str">
        <f t="shared" si="34"/>
        <v/>
      </c>
      <c r="U184" s="132" t="str">
        <f t="shared" si="42"/>
        <v/>
      </c>
      <c r="V184" s="132" t="str">
        <f t="shared" si="35"/>
        <v/>
      </c>
      <c r="W184" s="132" t="str">
        <f t="shared" si="36"/>
        <v/>
      </c>
      <c r="X184" s="132">
        <f t="shared" si="37"/>
        <v>12</v>
      </c>
      <c r="Y184" s="132" t="str">
        <f t="shared" si="38"/>
        <v/>
      </c>
      <c r="Z184" s="132" t="str">
        <f t="shared" si="39"/>
        <v/>
      </c>
      <c r="AA184" s="132" t="str">
        <f t="shared" si="40"/>
        <v/>
      </c>
      <c r="AB184" s="132" t="str">
        <f t="shared" si="41"/>
        <v/>
      </c>
    </row>
    <row r="185" spans="20:28" x14ac:dyDescent="0.25">
      <c r="T185" s="132" t="str">
        <f t="shared" si="34"/>
        <v/>
      </c>
      <c r="U185" s="132" t="str">
        <f t="shared" si="42"/>
        <v/>
      </c>
      <c r="V185" s="132" t="str">
        <f t="shared" si="35"/>
        <v/>
      </c>
      <c r="W185" s="132" t="str">
        <f t="shared" si="36"/>
        <v/>
      </c>
      <c r="X185" s="132">
        <f t="shared" si="37"/>
        <v>12</v>
      </c>
      <c r="Y185" s="132" t="str">
        <f t="shared" si="38"/>
        <v/>
      </c>
      <c r="Z185" s="132" t="str">
        <f t="shared" si="39"/>
        <v/>
      </c>
      <c r="AA185" s="132" t="str">
        <f t="shared" si="40"/>
        <v/>
      </c>
      <c r="AB185" s="132" t="str">
        <f t="shared" si="41"/>
        <v/>
      </c>
    </row>
    <row r="186" spans="20:28" x14ac:dyDescent="0.25">
      <c r="T186" s="132" t="str">
        <f t="shared" si="34"/>
        <v/>
      </c>
      <c r="U186" s="132" t="str">
        <f t="shared" si="42"/>
        <v/>
      </c>
      <c r="V186" s="132" t="str">
        <f t="shared" si="35"/>
        <v/>
      </c>
      <c r="W186" s="132" t="str">
        <f t="shared" si="36"/>
        <v/>
      </c>
      <c r="X186" s="132">
        <f t="shared" si="37"/>
        <v>12</v>
      </c>
      <c r="Y186" s="132" t="str">
        <f t="shared" si="38"/>
        <v/>
      </c>
      <c r="Z186" s="132" t="str">
        <f t="shared" si="39"/>
        <v/>
      </c>
      <c r="AA186" s="132" t="str">
        <f t="shared" si="40"/>
        <v/>
      </c>
      <c r="AB186" s="132" t="str">
        <f t="shared" si="41"/>
        <v/>
      </c>
    </row>
    <row r="187" spans="20:28" x14ac:dyDescent="0.25">
      <c r="T187" s="132" t="str">
        <f t="shared" si="34"/>
        <v/>
      </c>
      <c r="U187" s="132" t="str">
        <f t="shared" si="42"/>
        <v/>
      </c>
      <c r="V187" s="132" t="str">
        <f t="shared" si="35"/>
        <v/>
      </c>
      <c r="W187" s="132" t="str">
        <f t="shared" si="36"/>
        <v/>
      </c>
      <c r="X187" s="132">
        <f t="shared" si="37"/>
        <v>12</v>
      </c>
      <c r="Y187" s="132" t="str">
        <f t="shared" si="38"/>
        <v/>
      </c>
      <c r="Z187" s="132" t="str">
        <f t="shared" si="39"/>
        <v/>
      </c>
      <c r="AA187" s="132" t="str">
        <f t="shared" si="40"/>
        <v/>
      </c>
      <c r="AB187" s="132" t="str">
        <f t="shared" si="41"/>
        <v/>
      </c>
    </row>
    <row r="188" spans="20:28" x14ac:dyDescent="0.25">
      <c r="T188" s="132" t="str">
        <f t="shared" si="34"/>
        <v/>
      </c>
      <c r="U188" s="132" t="str">
        <f t="shared" si="42"/>
        <v/>
      </c>
      <c r="V188" s="132" t="str">
        <f t="shared" si="35"/>
        <v/>
      </c>
      <c r="W188" s="132" t="str">
        <f t="shared" si="36"/>
        <v/>
      </c>
      <c r="X188" s="132">
        <f t="shared" si="37"/>
        <v>12</v>
      </c>
      <c r="Y188" s="132" t="str">
        <f t="shared" si="38"/>
        <v/>
      </c>
      <c r="Z188" s="132" t="str">
        <f t="shared" si="39"/>
        <v/>
      </c>
      <c r="AA188" s="132" t="str">
        <f t="shared" si="40"/>
        <v/>
      </c>
      <c r="AB188" s="132" t="str">
        <f t="shared" si="41"/>
        <v/>
      </c>
    </row>
    <row r="189" spans="20:28" x14ac:dyDescent="0.25">
      <c r="T189" s="132" t="str">
        <f t="shared" si="34"/>
        <v/>
      </c>
      <c r="U189" s="132" t="str">
        <f t="shared" si="42"/>
        <v/>
      </c>
      <c r="V189" s="132" t="str">
        <f t="shared" si="35"/>
        <v/>
      </c>
      <c r="W189" s="132" t="str">
        <f t="shared" si="36"/>
        <v/>
      </c>
      <c r="X189" s="132">
        <f t="shared" si="37"/>
        <v>12</v>
      </c>
      <c r="Y189" s="132" t="str">
        <f t="shared" si="38"/>
        <v/>
      </c>
      <c r="Z189" s="132" t="str">
        <f t="shared" si="39"/>
        <v/>
      </c>
      <c r="AA189" s="132" t="str">
        <f t="shared" si="40"/>
        <v/>
      </c>
      <c r="AB189" s="132" t="str">
        <f t="shared" si="41"/>
        <v/>
      </c>
    </row>
    <row r="190" spans="20:28" x14ac:dyDescent="0.25">
      <c r="T190" s="132" t="str">
        <f t="shared" si="34"/>
        <v/>
      </c>
      <c r="U190" s="132" t="str">
        <f t="shared" si="42"/>
        <v/>
      </c>
      <c r="V190" s="132" t="str">
        <f t="shared" si="35"/>
        <v/>
      </c>
      <c r="W190" s="132" t="str">
        <f t="shared" si="36"/>
        <v/>
      </c>
      <c r="X190" s="132">
        <f t="shared" si="37"/>
        <v>12</v>
      </c>
      <c r="Y190" s="132" t="str">
        <f t="shared" si="38"/>
        <v/>
      </c>
      <c r="Z190" s="132" t="str">
        <f t="shared" si="39"/>
        <v/>
      </c>
      <c r="AA190" s="132" t="str">
        <f t="shared" si="40"/>
        <v/>
      </c>
      <c r="AB190" s="132" t="str">
        <f t="shared" si="41"/>
        <v/>
      </c>
    </row>
    <row r="191" spans="20:28" x14ac:dyDescent="0.25">
      <c r="T191" s="132" t="str">
        <f t="shared" si="34"/>
        <v/>
      </c>
      <c r="U191" s="132" t="str">
        <f t="shared" si="42"/>
        <v/>
      </c>
      <c r="V191" s="132" t="str">
        <f t="shared" si="35"/>
        <v/>
      </c>
      <c r="W191" s="132" t="str">
        <f t="shared" si="36"/>
        <v/>
      </c>
      <c r="X191" s="132">
        <f t="shared" si="37"/>
        <v>12</v>
      </c>
      <c r="Y191" s="132" t="str">
        <f t="shared" si="38"/>
        <v/>
      </c>
      <c r="Z191" s="132" t="str">
        <f t="shared" si="39"/>
        <v/>
      </c>
      <c r="AA191" s="132" t="str">
        <f t="shared" si="40"/>
        <v/>
      </c>
      <c r="AB191" s="132" t="str">
        <f t="shared" si="41"/>
        <v/>
      </c>
    </row>
    <row r="192" spans="20:28" x14ac:dyDescent="0.25">
      <c r="T192" s="132" t="str">
        <f t="shared" si="34"/>
        <v/>
      </c>
      <c r="U192" s="132" t="str">
        <f t="shared" si="42"/>
        <v/>
      </c>
      <c r="V192" s="132" t="str">
        <f t="shared" si="35"/>
        <v/>
      </c>
      <c r="W192" s="132" t="str">
        <f t="shared" si="36"/>
        <v/>
      </c>
      <c r="X192" s="132">
        <f t="shared" si="37"/>
        <v>13</v>
      </c>
      <c r="Y192" s="132" t="str">
        <f t="shared" si="38"/>
        <v>Nuggets @ Rockets</v>
      </c>
      <c r="Z192" s="132" t="str">
        <f t="shared" si="39"/>
        <v>Nuggets @ Rockets</v>
      </c>
      <c r="AA192" s="132" t="str">
        <f t="shared" si="40"/>
        <v>Over 218</v>
      </c>
      <c r="AB192" s="132">
        <f t="shared" si="41"/>
        <v>0.58638000000000001</v>
      </c>
    </row>
    <row r="193" spans="20:28" x14ac:dyDescent="0.25">
      <c r="T193" s="132" t="str">
        <f t="shared" si="34"/>
        <v/>
      </c>
      <c r="U193" s="132" t="str">
        <f t="shared" si="42"/>
        <v/>
      </c>
      <c r="V193" s="132" t="str">
        <f t="shared" si="35"/>
        <v/>
      </c>
      <c r="W193" s="132" t="str">
        <f t="shared" si="36"/>
        <v/>
      </c>
      <c r="X193" s="132">
        <f t="shared" si="37"/>
        <v>13</v>
      </c>
      <c r="Y193" s="132" t="str">
        <f t="shared" si="38"/>
        <v>Over 218</v>
      </c>
      <c r="Z193" s="132" t="str">
        <f t="shared" si="39"/>
        <v/>
      </c>
      <c r="AA193" s="132" t="str">
        <f t="shared" si="40"/>
        <v/>
      </c>
      <c r="AB193" s="132" t="str">
        <f t="shared" si="41"/>
        <v/>
      </c>
    </row>
    <row r="194" spans="20:28" x14ac:dyDescent="0.25">
      <c r="T194" s="132" t="str">
        <f t="shared" si="34"/>
        <v/>
      </c>
      <c r="U194" s="132" t="str">
        <f t="shared" si="42"/>
        <v/>
      </c>
      <c r="V194" s="132" t="str">
        <f t="shared" si="35"/>
        <v/>
      </c>
      <c r="W194" s="132" t="str">
        <f t="shared" si="36"/>
        <v/>
      </c>
      <c r="X194" s="132">
        <f t="shared" si="37"/>
        <v>13</v>
      </c>
      <c r="Y194" s="132">
        <f t="shared" si="38"/>
        <v>0.58638000000000001</v>
      </c>
      <c r="Z194" s="132" t="str">
        <f t="shared" si="39"/>
        <v/>
      </c>
      <c r="AA194" s="132" t="str">
        <f t="shared" si="40"/>
        <v/>
      </c>
      <c r="AB194" s="132" t="str">
        <f t="shared" si="41"/>
        <v/>
      </c>
    </row>
    <row r="195" spans="20:28" x14ac:dyDescent="0.25">
      <c r="W195" s="132" t="str">
        <f t="shared" si="36"/>
        <v/>
      </c>
      <c r="X195" s="132">
        <f t="shared" si="37"/>
        <v>14</v>
      </c>
      <c r="Y195" s="132" t="str">
        <f t="shared" si="38"/>
        <v>Nuggets @ Rockets</v>
      </c>
      <c r="Z195" s="132" t="str">
        <f t="shared" si="39"/>
        <v>Nuggets @ Rockets</v>
      </c>
      <c r="AA195" s="132" t="str">
        <f t="shared" si="40"/>
        <v>Nuggets +5</v>
      </c>
      <c r="AB195" s="132">
        <f t="shared" si="41"/>
        <v>0.63482000000000005</v>
      </c>
    </row>
    <row r="196" spans="20:28" x14ac:dyDescent="0.25">
      <c r="W196" s="132" t="str">
        <f t="shared" ref="W196:W259" si="43">IF(MOD(ROW(),3)=0,IF(H198&gt;=$O$1,H198,IF(I198&gt;=$O$1,I198,"")),"")</f>
        <v/>
      </c>
      <c r="X196" s="132">
        <f t="shared" ref="X196:X259" si="44">IF(ISNUMBER(CODE(Z196)),X195+1,X195)</f>
        <v>14</v>
      </c>
      <c r="Y196" s="132" t="str">
        <f t="shared" ref="Y196:Y259" si="45">INDEX($O$3:$W$50,1+INT((ROW(A194)-1)/COLUMNS($O$3:$W$50)),MOD(ROW(A194)-1+COLUMNS($O$3:$W$50),COLUMNS($O$3:$W$50))+1)</f>
        <v>Nuggets +5</v>
      </c>
      <c r="Z196" s="132" t="str">
        <f t="shared" ref="Z196:Z259" si="46">IF(ISNUMBER(SEARCH("@",Y196)),Y196,"")</f>
        <v/>
      </c>
      <c r="AA196" s="132" t="str">
        <f t="shared" ref="AA196:AA259" si="47">IF(ISNUMBER(SEARCH("@",Y196)),Y197,"")</f>
        <v/>
      </c>
      <c r="AB196" s="132" t="str">
        <f t="shared" ref="AB196:AB259" si="48">IF(ISNUMBER(SEARCH("@",Y196)),Y198,"")</f>
        <v/>
      </c>
    </row>
    <row r="197" spans="20:28" x14ac:dyDescent="0.25">
      <c r="W197" s="132" t="str">
        <f t="shared" si="43"/>
        <v/>
      </c>
      <c r="X197" s="132">
        <f t="shared" si="44"/>
        <v>14</v>
      </c>
      <c r="Y197" s="132">
        <f t="shared" si="45"/>
        <v>0.63482000000000005</v>
      </c>
      <c r="Z197" s="132" t="str">
        <f t="shared" si="46"/>
        <v/>
      </c>
      <c r="AA197" s="132" t="str">
        <f t="shared" si="47"/>
        <v/>
      </c>
      <c r="AB197" s="132" t="str">
        <f t="shared" si="48"/>
        <v/>
      </c>
    </row>
    <row r="198" spans="20:28" x14ac:dyDescent="0.25">
      <c r="W198" s="132" t="str">
        <f t="shared" si="43"/>
        <v/>
      </c>
      <c r="X198" s="132">
        <f t="shared" si="44"/>
        <v>14</v>
      </c>
      <c r="Y198" s="132" t="str">
        <f t="shared" si="45"/>
        <v/>
      </c>
      <c r="Z198" s="132" t="str">
        <f t="shared" si="46"/>
        <v/>
      </c>
      <c r="AA198" s="132" t="str">
        <f t="shared" si="47"/>
        <v/>
      </c>
      <c r="AB198" s="132" t="str">
        <f t="shared" si="48"/>
        <v/>
      </c>
    </row>
    <row r="199" spans="20:28" x14ac:dyDescent="0.25">
      <c r="W199" s="132" t="str">
        <f t="shared" si="43"/>
        <v/>
      </c>
      <c r="X199" s="132">
        <f t="shared" si="44"/>
        <v>14</v>
      </c>
      <c r="Y199" s="132" t="str">
        <f t="shared" si="45"/>
        <v/>
      </c>
      <c r="Z199" s="132" t="str">
        <f t="shared" si="46"/>
        <v/>
      </c>
      <c r="AA199" s="132" t="str">
        <f t="shared" si="47"/>
        <v/>
      </c>
      <c r="AB199" s="132" t="str">
        <f t="shared" si="48"/>
        <v/>
      </c>
    </row>
    <row r="200" spans="20:28" x14ac:dyDescent="0.25">
      <c r="W200" s="132" t="str">
        <f t="shared" si="43"/>
        <v/>
      </c>
      <c r="X200" s="132">
        <f t="shared" si="44"/>
        <v>14</v>
      </c>
      <c r="Y200" s="132" t="str">
        <f t="shared" si="45"/>
        <v/>
      </c>
      <c r="Z200" s="132" t="str">
        <f t="shared" si="46"/>
        <v/>
      </c>
      <c r="AA200" s="132" t="str">
        <f t="shared" si="47"/>
        <v/>
      </c>
      <c r="AB200" s="132" t="str">
        <f t="shared" si="48"/>
        <v/>
      </c>
    </row>
    <row r="201" spans="20:28" x14ac:dyDescent="0.25">
      <c r="W201" s="132" t="str">
        <f t="shared" si="43"/>
        <v/>
      </c>
      <c r="X201" s="132">
        <f t="shared" si="44"/>
        <v>14</v>
      </c>
      <c r="Y201" s="132" t="str">
        <f t="shared" si="45"/>
        <v/>
      </c>
      <c r="Z201" s="132" t="str">
        <f t="shared" si="46"/>
        <v/>
      </c>
      <c r="AA201" s="132" t="str">
        <f t="shared" si="47"/>
        <v/>
      </c>
      <c r="AB201" s="132" t="str">
        <f t="shared" si="48"/>
        <v/>
      </c>
    </row>
    <row r="202" spans="20:28" x14ac:dyDescent="0.25">
      <c r="W202" s="132" t="str">
        <f t="shared" si="43"/>
        <v/>
      </c>
      <c r="X202" s="132">
        <f t="shared" si="44"/>
        <v>14</v>
      </c>
      <c r="Y202" s="132" t="str">
        <f t="shared" si="45"/>
        <v/>
      </c>
      <c r="Z202" s="132" t="str">
        <f t="shared" si="46"/>
        <v/>
      </c>
      <c r="AA202" s="132" t="str">
        <f t="shared" si="47"/>
        <v/>
      </c>
      <c r="AB202" s="132" t="str">
        <f t="shared" si="48"/>
        <v/>
      </c>
    </row>
    <row r="203" spans="20:28" x14ac:dyDescent="0.25">
      <c r="W203" s="132" t="str">
        <f t="shared" si="43"/>
        <v/>
      </c>
      <c r="X203" s="132">
        <f t="shared" si="44"/>
        <v>14</v>
      </c>
      <c r="Y203" s="132" t="str">
        <f t="shared" si="45"/>
        <v/>
      </c>
      <c r="Z203" s="132" t="str">
        <f t="shared" si="46"/>
        <v/>
      </c>
      <c r="AA203" s="132" t="str">
        <f t="shared" si="47"/>
        <v/>
      </c>
      <c r="AB203" s="132" t="str">
        <f t="shared" si="48"/>
        <v/>
      </c>
    </row>
    <row r="204" spans="20:28" x14ac:dyDescent="0.25">
      <c r="W204" s="132" t="str">
        <f t="shared" si="43"/>
        <v/>
      </c>
      <c r="X204" s="132">
        <f t="shared" si="44"/>
        <v>14</v>
      </c>
      <c r="Y204" s="132" t="str">
        <f t="shared" si="45"/>
        <v/>
      </c>
      <c r="Z204" s="132" t="str">
        <f t="shared" si="46"/>
        <v/>
      </c>
      <c r="AA204" s="132" t="str">
        <f t="shared" si="47"/>
        <v/>
      </c>
      <c r="AB204" s="132" t="str">
        <f t="shared" si="48"/>
        <v/>
      </c>
    </row>
    <row r="205" spans="20:28" x14ac:dyDescent="0.25">
      <c r="W205" s="132" t="str">
        <f t="shared" si="43"/>
        <v/>
      </c>
      <c r="X205" s="132">
        <f t="shared" si="44"/>
        <v>14</v>
      </c>
      <c r="Y205" s="132" t="str">
        <f t="shared" si="45"/>
        <v/>
      </c>
      <c r="Z205" s="132" t="str">
        <f t="shared" si="46"/>
        <v/>
      </c>
      <c r="AA205" s="132" t="str">
        <f t="shared" si="47"/>
        <v/>
      </c>
      <c r="AB205" s="132" t="str">
        <f t="shared" si="48"/>
        <v/>
      </c>
    </row>
    <row r="206" spans="20:28" x14ac:dyDescent="0.25">
      <c r="W206" s="132" t="str">
        <f t="shared" si="43"/>
        <v/>
      </c>
      <c r="X206" s="132">
        <f t="shared" si="44"/>
        <v>14</v>
      </c>
      <c r="Y206" s="132" t="str">
        <f t="shared" si="45"/>
        <v/>
      </c>
      <c r="Z206" s="132" t="str">
        <f t="shared" si="46"/>
        <v/>
      </c>
      <c r="AA206" s="132" t="str">
        <f t="shared" si="47"/>
        <v/>
      </c>
      <c r="AB206" s="132" t="str">
        <f t="shared" si="48"/>
        <v/>
      </c>
    </row>
    <row r="207" spans="20:28" x14ac:dyDescent="0.25">
      <c r="W207" s="132" t="str">
        <f t="shared" si="43"/>
        <v/>
      </c>
      <c r="X207" s="132">
        <f t="shared" si="44"/>
        <v>14</v>
      </c>
      <c r="Y207" s="132" t="str">
        <f t="shared" si="45"/>
        <v/>
      </c>
      <c r="Z207" s="132" t="str">
        <f t="shared" si="46"/>
        <v/>
      </c>
      <c r="AA207" s="132" t="str">
        <f t="shared" si="47"/>
        <v/>
      </c>
      <c r="AB207" s="132" t="str">
        <f t="shared" si="48"/>
        <v/>
      </c>
    </row>
    <row r="208" spans="20:28" x14ac:dyDescent="0.25">
      <c r="W208" s="132" t="str">
        <f t="shared" si="43"/>
        <v/>
      </c>
      <c r="X208" s="132">
        <f t="shared" si="44"/>
        <v>14</v>
      </c>
      <c r="Y208" s="132" t="str">
        <f t="shared" si="45"/>
        <v/>
      </c>
      <c r="Z208" s="132" t="str">
        <f t="shared" si="46"/>
        <v/>
      </c>
      <c r="AA208" s="132" t="str">
        <f t="shared" si="47"/>
        <v/>
      </c>
      <c r="AB208" s="132" t="str">
        <f t="shared" si="48"/>
        <v/>
      </c>
    </row>
    <row r="209" spans="23:28" x14ac:dyDescent="0.25">
      <c r="W209" s="132" t="str">
        <f t="shared" si="43"/>
        <v/>
      </c>
      <c r="X209" s="132">
        <f t="shared" si="44"/>
        <v>14</v>
      </c>
      <c r="Y209" s="132" t="str">
        <f t="shared" si="45"/>
        <v/>
      </c>
      <c r="Z209" s="132" t="str">
        <f t="shared" si="46"/>
        <v/>
      </c>
      <c r="AA209" s="132" t="str">
        <f t="shared" si="47"/>
        <v/>
      </c>
      <c r="AB209" s="132" t="str">
        <f t="shared" si="48"/>
        <v/>
      </c>
    </row>
    <row r="210" spans="23:28" x14ac:dyDescent="0.25">
      <c r="W210" s="132" t="str">
        <f t="shared" si="43"/>
        <v/>
      </c>
      <c r="X210" s="132">
        <f t="shared" si="44"/>
        <v>14</v>
      </c>
      <c r="Y210" s="132" t="str">
        <f t="shared" si="45"/>
        <v/>
      </c>
      <c r="Z210" s="132" t="str">
        <f t="shared" si="46"/>
        <v/>
      </c>
      <c r="AA210" s="132" t="str">
        <f t="shared" si="47"/>
        <v/>
      </c>
      <c r="AB210" s="132" t="str">
        <f t="shared" si="48"/>
        <v/>
      </c>
    </row>
    <row r="211" spans="23:28" x14ac:dyDescent="0.25">
      <c r="W211" s="132" t="str">
        <f t="shared" si="43"/>
        <v/>
      </c>
      <c r="X211" s="132">
        <f t="shared" si="44"/>
        <v>14</v>
      </c>
      <c r="Y211" s="132" t="str">
        <f t="shared" si="45"/>
        <v/>
      </c>
      <c r="Z211" s="132" t="str">
        <f t="shared" si="46"/>
        <v/>
      </c>
      <c r="AA211" s="132" t="str">
        <f t="shared" si="47"/>
        <v/>
      </c>
      <c r="AB211" s="132" t="str">
        <f t="shared" si="48"/>
        <v/>
      </c>
    </row>
    <row r="212" spans="23:28" x14ac:dyDescent="0.25">
      <c r="W212" s="132" t="str">
        <f t="shared" si="43"/>
        <v/>
      </c>
      <c r="X212" s="132">
        <f t="shared" si="44"/>
        <v>14</v>
      </c>
      <c r="Y212" s="132" t="str">
        <f t="shared" si="45"/>
        <v/>
      </c>
      <c r="Z212" s="132" t="str">
        <f t="shared" si="46"/>
        <v/>
      </c>
      <c r="AA212" s="132" t="str">
        <f t="shared" si="47"/>
        <v/>
      </c>
      <c r="AB212" s="132" t="str">
        <f t="shared" si="48"/>
        <v/>
      </c>
    </row>
    <row r="213" spans="23:28" x14ac:dyDescent="0.25">
      <c r="W213" s="132" t="str">
        <f t="shared" si="43"/>
        <v/>
      </c>
      <c r="X213" s="132">
        <f t="shared" si="44"/>
        <v>14</v>
      </c>
      <c r="Y213" s="132" t="str">
        <f t="shared" si="45"/>
        <v/>
      </c>
      <c r="Z213" s="132" t="str">
        <f t="shared" si="46"/>
        <v/>
      </c>
      <c r="AA213" s="132" t="str">
        <f t="shared" si="47"/>
        <v/>
      </c>
      <c r="AB213" s="132" t="str">
        <f t="shared" si="48"/>
        <v/>
      </c>
    </row>
    <row r="214" spans="23:28" x14ac:dyDescent="0.25">
      <c r="W214" s="132" t="str">
        <f t="shared" si="43"/>
        <v/>
      </c>
      <c r="X214" s="132">
        <f t="shared" si="44"/>
        <v>14</v>
      </c>
      <c r="Y214" s="132" t="str">
        <f t="shared" si="45"/>
        <v/>
      </c>
      <c r="Z214" s="132" t="str">
        <f t="shared" si="46"/>
        <v/>
      </c>
      <c r="AA214" s="132" t="str">
        <f t="shared" si="47"/>
        <v/>
      </c>
      <c r="AB214" s="132" t="str">
        <f t="shared" si="48"/>
        <v/>
      </c>
    </row>
    <row r="215" spans="23:28" x14ac:dyDescent="0.25">
      <c r="W215" s="132" t="str">
        <f t="shared" si="43"/>
        <v/>
      </c>
      <c r="X215" s="132">
        <f t="shared" si="44"/>
        <v>14</v>
      </c>
      <c r="Y215" s="132" t="str">
        <f t="shared" si="45"/>
        <v/>
      </c>
      <c r="Z215" s="132" t="str">
        <f t="shared" si="46"/>
        <v/>
      </c>
      <c r="AA215" s="132" t="str">
        <f t="shared" si="47"/>
        <v/>
      </c>
      <c r="AB215" s="132" t="str">
        <f t="shared" si="48"/>
        <v/>
      </c>
    </row>
    <row r="216" spans="23:28" x14ac:dyDescent="0.25">
      <c r="W216" s="132" t="str">
        <f t="shared" si="43"/>
        <v/>
      </c>
      <c r="X216" s="132">
        <f t="shared" si="44"/>
        <v>14</v>
      </c>
      <c r="Y216" s="132" t="str">
        <f t="shared" si="45"/>
        <v/>
      </c>
      <c r="Z216" s="132" t="str">
        <f t="shared" si="46"/>
        <v/>
      </c>
      <c r="AA216" s="132" t="str">
        <f t="shared" si="47"/>
        <v/>
      </c>
      <c r="AB216" s="132" t="str">
        <f t="shared" si="48"/>
        <v/>
      </c>
    </row>
    <row r="217" spans="23:28" x14ac:dyDescent="0.25">
      <c r="W217" s="132" t="str">
        <f t="shared" si="43"/>
        <v/>
      </c>
      <c r="X217" s="132">
        <f t="shared" si="44"/>
        <v>14</v>
      </c>
      <c r="Y217" s="132" t="str">
        <f t="shared" si="45"/>
        <v/>
      </c>
      <c r="Z217" s="132" t="str">
        <f t="shared" si="46"/>
        <v/>
      </c>
      <c r="AA217" s="132" t="str">
        <f t="shared" si="47"/>
        <v/>
      </c>
      <c r="AB217" s="132" t="str">
        <f t="shared" si="48"/>
        <v/>
      </c>
    </row>
    <row r="218" spans="23:28" x14ac:dyDescent="0.25">
      <c r="W218" s="132" t="str">
        <f t="shared" si="43"/>
        <v/>
      </c>
      <c r="X218" s="132">
        <f t="shared" si="44"/>
        <v>14</v>
      </c>
      <c r="Y218" s="132" t="str">
        <f t="shared" si="45"/>
        <v/>
      </c>
      <c r="Z218" s="132" t="str">
        <f t="shared" si="46"/>
        <v/>
      </c>
      <c r="AA218" s="132" t="str">
        <f t="shared" si="47"/>
        <v/>
      </c>
      <c r="AB218" s="132" t="str">
        <f t="shared" si="48"/>
        <v/>
      </c>
    </row>
    <row r="219" spans="23:28" x14ac:dyDescent="0.25">
      <c r="W219" s="132" t="str">
        <f t="shared" si="43"/>
        <v/>
      </c>
      <c r="X219" s="132">
        <f t="shared" si="44"/>
        <v>15</v>
      </c>
      <c r="Y219" s="132" t="str">
        <f t="shared" si="45"/>
        <v>Clippers @ Bucks</v>
      </c>
      <c r="Z219" s="132" t="str">
        <f t="shared" si="46"/>
        <v>Clippers @ Bucks</v>
      </c>
      <c r="AA219" s="132" t="str">
        <f t="shared" si="47"/>
        <v>Under 232</v>
      </c>
      <c r="AB219" s="132">
        <f t="shared" si="48"/>
        <v>0.69857999999999998</v>
      </c>
    </row>
    <row r="220" spans="23:28" x14ac:dyDescent="0.25">
      <c r="W220" s="132" t="str">
        <f t="shared" si="43"/>
        <v/>
      </c>
      <c r="X220" s="132">
        <f t="shared" si="44"/>
        <v>15</v>
      </c>
      <c r="Y220" s="132" t="str">
        <f t="shared" si="45"/>
        <v>Under 232</v>
      </c>
      <c r="Z220" s="132" t="str">
        <f t="shared" si="46"/>
        <v/>
      </c>
      <c r="AA220" s="132" t="str">
        <f t="shared" si="47"/>
        <v/>
      </c>
      <c r="AB220" s="132" t="str">
        <f t="shared" si="48"/>
        <v/>
      </c>
    </row>
    <row r="221" spans="23:28" x14ac:dyDescent="0.25">
      <c r="W221" s="132" t="str">
        <f t="shared" si="43"/>
        <v/>
      </c>
      <c r="X221" s="132">
        <f t="shared" si="44"/>
        <v>15</v>
      </c>
      <c r="Y221" s="132">
        <f t="shared" si="45"/>
        <v>0.69857999999999998</v>
      </c>
      <c r="Z221" s="132" t="str">
        <f t="shared" si="46"/>
        <v/>
      </c>
      <c r="AA221" s="132" t="str">
        <f t="shared" si="47"/>
        <v/>
      </c>
      <c r="AB221" s="132" t="str">
        <f t="shared" si="48"/>
        <v/>
      </c>
    </row>
    <row r="222" spans="23:28" x14ac:dyDescent="0.25">
      <c r="W222" s="132" t="str">
        <f t="shared" si="43"/>
        <v/>
      </c>
      <c r="X222" s="132">
        <f t="shared" si="44"/>
        <v>15</v>
      </c>
      <c r="Y222" s="132" t="str">
        <f t="shared" si="45"/>
        <v/>
      </c>
      <c r="Z222" s="132" t="str">
        <f t="shared" si="46"/>
        <v/>
      </c>
      <c r="AA222" s="132" t="str">
        <f t="shared" si="47"/>
        <v/>
      </c>
      <c r="AB222" s="132" t="str">
        <f t="shared" si="48"/>
        <v/>
      </c>
    </row>
    <row r="223" spans="23:28" x14ac:dyDescent="0.25">
      <c r="W223" s="132" t="str">
        <f t="shared" si="43"/>
        <v/>
      </c>
      <c r="X223" s="132">
        <f t="shared" si="44"/>
        <v>15</v>
      </c>
      <c r="Y223" s="132" t="str">
        <f t="shared" si="45"/>
        <v/>
      </c>
      <c r="Z223" s="132" t="str">
        <f t="shared" si="46"/>
        <v/>
      </c>
      <c r="AA223" s="132" t="str">
        <f t="shared" si="47"/>
        <v/>
      </c>
      <c r="AB223" s="132" t="str">
        <f t="shared" si="48"/>
        <v/>
      </c>
    </row>
    <row r="224" spans="23:28" x14ac:dyDescent="0.25">
      <c r="W224" s="132" t="str">
        <f t="shared" si="43"/>
        <v/>
      </c>
      <c r="X224" s="132">
        <f t="shared" si="44"/>
        <v>15</v>
      </c>
      <c r="Y224" s="132" t="str">
        <f t="shared" si="45"/>
        <v/>
      </c>
      <c r="Z224" s="132" t="str">
        <f t="shared" si="46"/>
        <v/>
      </c>
      <c r="AA224" s="132" t="str">
        <f t="shared" si="47"/>
        <v/>
      </c>
      <c r="AB224" s="132" t="str">
        <f t="shared" si="48"/>
        <v/>
      </c>
    </row>
    <row r="225" spans="23:28" x14ac:dyDescent="0.25">
      <c r="W225" s="132" t="str">
        <f t="shared" si="43"/>
        <v/>
      </c>
      <c r="X225" s="132">
        <f t="shared" si="44"/>
        <v>15</v>
      </c>
      <c r="Y225" s="132" t="str">
        <f t="shared" si="45"/>
        <v/>
      </c>
      <c r="Z225" s="132" t="str">
        <f t="shared" si="46"/>
        <v/>
      </c>
      <c r="AA225" s="132" t="str">
        <f t="shared" si="47"/>
        <v/>
      </c>
      <c r="AB225" s="132" t="str">
        <f t="shared" si="48"/>
        <v/>
      </c>
    </row>
    <row r="226" spans="23:28" x14ac:dyDescent="0.25">
      <c r="W226" s="132" t="str">
        <f t="shared" si="43"/>
        <v/>
      </c>
      <c r="X226" s="132">
        <f t="shared" si="44"/>
        <v>15</v>
      </c>
      <c r="Y226" s="132" t="str">
        <f t="shared" si="45"/>
        <v/>
      </c>
      <c r="Z226" s="132" t="str">
        <f t="shared" si="46"/>
        <v/>
      </c>
      <c r="AA226" s="132" t="str">
        <f t="shared" si="47"/>
        <v/>
      </c>
      <c r="AB226" s="132" t="str">
        <f t="shared" si="48"/>
        <v/>
      </c>
    </row>
    <row r="227" spans="23:28" x14ac:dyDescent="0.25">
      <c r="W227" s="132" t="str">
        <f t="shared" si="43"/>
        <v/>
      </c>
      <c r="X227" s="132">
        <f t="shared" si="44"/>
        <v>15</v>
      </c>
      <c r="Y227" s="132" t="str">
        <f t="shared" si="45"/>
        <v/>
      </c>
      <c r="Z227" s="132" t="str">
        <f t="shared" si="46"/>
        <v/>
      </c>
      <c r="AA227" s="132" t="str">
        <f t="shared" si="47"/>
        <v/>
      </c>
      <c r="AB227" s="132" t="str">
        <f t="shared" si="48"/>
        <v/>
      </c>
    </row>
    <row r="228" spans="23:28" x14ac:dyDescent="0.25">
      <c r="W228" s="132" t="str">
        <f t="shared" si="43"/>
        <v/>
      </c>
      <c r="X228" s="132">
        <f t="shared" si="44"/>
        <v>15</v>
      </c>
      <c r="Y228" s="132" t="str">
        <f t="shared" si="45"/>
        <v/>
      </c>
      <c r="Z228" s="132" t="str">
        <f t="shared" si="46"/>
        <v/>
      </c>
      <c r="AA228" s="132" t="str">
        <f t="shared" si="47"/>
        <v/>
      </c>
      <c r="AB228" s="132" t="str">
        <f t="shared" si="48"/>
        <v/>
      </c>
    </row>
    <row r="229" spans="23:28" x14ac:dyDescent="0.25">
      <c r="W229" s="132" t="str">
        <f t="shared" si="43"/>
        <v/>
      </c>
      <c r="X229" s="132">
        <f t="shared" si="44"/>
        <v>15</v>
      </c>
      <c r="Y229" s="132" t="str">
        <f t="shared" si="45"/>
        <v/>
      </c>
      <c r="Z229" s="132" t="str">
        <f t="shared" si="46"/>
        <v/>
      </c>
      <c r="AA229" s="132" t="str">
        <f t="shared" si="47"/>
        <v/>
      </c>
      <c r="AB229" s="132" t="str">
        <f t="shared" si="48"/>
        <v/>
      </c>
    </row>
    <row r="230" spans="23:28" x14ac:dyDescent="0.25">
      <c r="W230" s="132" t="str">
        <f t="shared" si="43"/>
        <v/>
      </c>
      <c r="X230" s="132">
        <f t="shared" si="44"/>
        <v>15</v>
      </c>
      <c r="Y230" s="132" t="str">
        <f t="shared" si="45"/>
        <v/>
      </c>
      <c r="Z230" s="132" t="str">
        <f t="shared" si="46"/>
        <v/>
      </c>
      <c r="AA230" s="132" t="str">
        <f t="shared" si="47"/>
        <v/>
      </c>
      <c r="AB230" s="132" t="str">
        <f t="shared" si="48"/>
        <v/>
      </c>
    </row>
    <row r="231" spans="23:28" x14ac:dyDescent="0.25">
      <c r="W231" s="132" t="str">
        <f t="shared" si="43"/>
        <v/>
      </c>
      <c r="X231" s="132">
        <f t="shared" si="44"/>
        <v>15</v>
      </c>
      <c r="Y231" s="132" t="str">
        <f t="shared" si="45"/>
        <v/>
      </c>
      <c r="Z231" s="132" t="str">
        <f t="shared" si="46"/>
        <v/>
      </c>
      <c r="AA231" s="132" t="str">
        <f t="shared" si="47"/>
        <v/>
      </c>
      <c r="AB231" s="132" t="str">
        <f t="shared" si="48"/>
        <v/>
      </c>
    </row>
    <row r="232" spans="23:28" x14ac:dyDescent="0.25">
      <c r="W232" s="132" t="str">
        <f t="shared" si="43"/>
        <v/>
      </c>
      <c r="X232" s="132">
        <f t="shared" si="44"/>
        <v>15</v>
      </c>
      <c r="Y232" s="132" t="str">
        <f t="shared" si="45"/>
        <v/>
      </c>
      <c r="Z232" s="132" t="str">
        <f t="shared" si="46"/>
        <v/>
      </c>
      <c r="AA232" s="132" t="str">
        <f t="shared" si="47"/>
        <v/>
      </c>
      <c r="AB232" s="132" t="str">
        <f t="shared" si="48"/>
        <v/>
      </c>
    </row>
    <row r="233" spans="23:28" x14ac:dyDescent="0.25">
      <c r="W233" s="132" t="str">
        <f t="shared" si="43"/>
        <v/>
      </c>
      <c r="X233" s="132">
        <f t="shared" si="44"/>
        <v>15</v>
      </c>
      <c r="Y233" s="132" t="str">
        <f t="shared" si="45"/>
        <v/>
      </c>
      <c r="Z233" s="132" t="str">
        <f t="shared" si="46"/>
        <v/>
      </c>
      <c r="AA233" s="132" t="str">
        <f t="shared" si="47"/>
        <v/>
      </c>
      <c r="AB233" s="132" t="str">
        <f t="shared" si="48"/>
        <v/>
      </c>
    </row>
    <row r="234" spans="23:28" x14ac:dyDescent="0.25">
      <c r="W234" s="132" t="str">
        <f t="shared" si="43"/>
        <v/>
      </c>
      <c r="X234" s="132">
        <f t="shared" si="44"/>
        <v>15</v>
      </c>
      <c r="Y234" s="132" t="str">
        <f t="shared" si="45"/>
        <v/>
      </c>
      <c r="Z234" s="132" t="str">
        <f t="shared" si="46"/>
        <v/>
      </c>
      <c r="AA234" s="132" t="str">
        <f t="shared" si="47"/>
        <v/>
      </c>
      <c r="AB234" s="132" t="str">
        <f t="shared" si="48"/>
        <v/>
      </c>
    </row>
    <row r="235" spans="23:28" x14ac:dyDescent="0.25">
      <c r="W235" s="132" t="str">
        <f t="shared" si="43"/>
        <v/>
      </c>
      <c r="X235" s="132">
        <f t="shared" si="44"/>
        <v>15</v>
      </c>
      <c r="Y235" s="132" t="str">
        <f t="shared" si="45"/>
        <v/>
      </c>
      <c r="Z235" s="132" t="str">
        <f t="shared" si="46"/>
        <v/>
      </c>
      <c r="AA235" s="132" t="str">
        <f t="shared" si="47"/>
        <v/>
      </c>
      <c r="AB235" s="132" t="str">
        <f t="shared" si="48"/>
        <v/>
      </c>
    </row>
    <row r="236" spans="23:28" x14ac:dyDescent="0.25">
      <c r="W236" s="132" t="str">
        <f t="shared" si="43"/>
        <v/>
      </c>
      <c r="X236" s="132">
        <f t="shared" si="44"/>
        <v>15</v>
      </c>
      <c r="Y236" s="132" t="str">
        <f t="shared" si="45"/>
        <v/>
      </c>
      <c r="Z236" s="132" t="str">
        <f t="shared" si="46"/>
        <v/>
      </c>
      <c r="AA236" s="132" t="str">
        <f t="shared" si="47"/>
        <v/>
      </c>
      <c r="AB236" s="132" t="str">
        <f t="shared" si="48"/>
        <v/>
      </c>
    </row>
    <row r="237" spans="23:28" x14ac:dyDescent="0.25">
      <c r="W237" s="132" t="str">
        <f t="shared" si="43"/>
        <v/>
      </c>
      <c r="X237" s="132">
        <f t="shared" si="44"/>
        <v>15</v>
      </c>
      <c r="Y237" s="132" t="str">
        <f t="shared" si="45"/>
        <v/>
      </c>
      <c r="Z237" s="132" t="str">
        <f t="shared" si="46"/>
        <v/>
      </c>
      <c r="AA237" s="132" t="str">
        <f t="shared" si="47"/>
        <v/>
      </c>
      <c r="AB237" s="132" t="str">
        <f t="shared" si="48"/>
        <v/>
      </c>
    </row>
    <row r="238" spans="23:28" x14ac:dyDescent="0.25">
      <c r="W238" s="132" t="str">
        <f t="shared" si="43"/>
        <v/>
      </c>
      <c r="X238" s="132">
        <f t="shared" si="44"/>
        <v>15</v>
      </c>
      <c r="Y238" s="132" t="str">
        <f t="shared" si="45"/>
        <v/>
      </c>
      <c r="Z238" s="132" t="str">
        <f t="shared" si="46"/>
        <v/>
      </c>
      <c r="AA238" s="132" t="str">
        <f t="shared" si="47"/>
        <v/>
      </c>
      <c r="AB238" s="132" t="str">
        <f t="shared" si="48"/>
        <v/>
      </c>
    </row>
    <row r="239" spans="23:28" x14ac:dyDescent="0.25">
      <c r="W239" s="132" t="str">
        <f t="shared" si="43"/>
        <v/>
      </c>
      <c r="X239" s="132">
        <f t="shared" si="44"/>
        <v>15</v>
      </c>
      <c r="Y239" s="132" t="str">
        <f t="shared" si="45"/>
        <v/>
      </c>
      <c r="Z239" s="132" t="str">
        <f t="shared" si="46"/>
        <v/>
      </c>
      <c r="AA239" s="132" t="str">
        <f t="shared" si="47"/>
        <v/>
      </c>
      <c r="AB239" s="132" t="str">
        <f t="shared" si="48"/>
        <v/>
      </c>
    </row>
    <row r="240" spans="23:28" x14ac:dyDescent="0.25">
      <c r="W240" s="132" t="str">
        <f t="shared" si="43"/>
        <v/>
      </c>
      <c r="X240" s="132">
        <f t="shared" si="44"/>
        <v>15</v>
      </c>
      <c r="Y240" s="132" t="str">
        <f t="shared" si="45"/>
        <v/>
      </c>
      <c r="Z240" s="132" t="str">
        <f t="shared" si="46"/>
        <v/>
      </c>
      <c r="AA240" s="132" t="str">
        <f t="shared" si="47"/>
        <v/>
      </c>
      <c r="AB240" s="132" t="str">
        <f t="shared" si="48"/>
        <v/>
      </c>
    </row>
    <row r="241" spans="23:28" x14ac:dyDescent="0.25">
      <c r="W241" s="132" t="str">
        <f t="shared" si="43"/>
        <v/>
      </c>
      <c r="X241" s="132">
        <f t="shared" si="44"/>
        <v>15</v>
      </c>
      <c r="Y241" s="132" t="str">
        <f t="shared" si="45"/>
        <v/>
      </c>
      <c r="Z241" s="132" t="str">
        <f t="shared" si="46"/>
        <v/>
      </c>
      <c r="AA241" s="132" t="str">
        <f t="shared" si="47"/>
        <v/>
      </c>
      <c r="AB241" s="132" t="str">
        <f t="shared" si="48"/>
        <v/>
      </c>
    </row>
    <row r="242" spans="23:28" x14ac:dyDescent="0.25">
      <c r="W242" s="132" t="str">
        <f t="shared" si="43"/>
        <v/>
      </c>
      <c r="X242" s="132">
        <f t="shared" si="44"/>
        <v>15</v>
      </c>
      <c r="Y242" s="132" t="str">
        <f t="shared" si="45"/>
        <v/>
      </c>
      <c r="Z242" s="132" t="str">
        <f t="shared" si="46"/>
        <v/>
      </c>
      <c r="AA242" s="132" t="str">
        <f t="shared" si="47"/>
        <v/>
      </c>
      <c r="AB242" s="132" t="str">
        <f t="shared" si="48"/>
        <v/>
      </c>
    </row>
    <row r="243" spans="23:28" x14ac:dyDescent="0.25">
      <c r="W243" s="132" t="str">
        <f t="shared" si="43"/>
        <v/>
      </c>
      <c r="X243" s="132">
        <f t="shared" si="44"/>
        <v>15</v>
      </c>
      <c r="Y243" s="132" t="str">
        <f t="shared" si="45"/>
        <v/>
      </c>
      <c r="Z243" s="132" t="str">
        <f t="shared" si="46"/>
        <v/>
      </c>
      <c r="AA243" s="132" t="str">
        <f t="shared" si="47"/>
        <v/>
      </c>
      <c r="AB243" s="132" t="str">
        <f t="shared" si="48"/>
        <v/>
      </c>
    </row>
    <row r="244" spans="23:28" x14ac:dyDescent="0.25">
      <c r="W244" s="132" t="str">
        <f t="shared" si="43"/>
        <v/>
      </c>
      <c r="X244" s="132">
        <f t="shared" si="44"/>
        <v>15</v>
      </c>
      <c r="Y244" s="132" t="str">
        <f t="shared" si="45"/>
        <v/>
      </c>
      <c r="Z244" s="132" t="str">
        <f t="shared" si="46"/>
        <v/>
      </c>
      <c r="AA244" s="132" t="str">
        <f t="shared" si="47"/>
        <v/>
      </c>
      <c r="AB244" s="132" t="str">
        <f t="shared" si="48"/>
        <v/>
      </c>
    </row>
    <row r="245" spans="23:28" x14ac:dyDescent="0.25">
      <c r="W245" s="132" t="str">
        <f t="shared" si="43"/>
        <v/>
      </c>
      <c r="X245" s="132">
        <f t="shared" si="44"/>
        <v>15</v>
      </c>
      <c r="Y245" s="132" t="str">
        <f t="shared" si="45"/>
        <v/>
      </c>
      <c r="Z245" s="132" t="str">
        <f t="shared" si="46"/>
        <v/>
      </c>
      <c r="AA245" s="132" t="str">
        <f t="shared" si="47"/>
        <v/>
      </c>
      <c r="AB245" s="132" t="str">
        <f t="shared" si="48"/>
        <v/>
      </c>
    </row>
    <row r="246" spans="23:28" x14ac:dyDescent="0.25">
      <c r="W246" s="132" t="str">
        <f t="shared" si="43"/>
        <v/>
      </c>
      <c r="X246" s="132">
        <f t="shared" si="44"/>
        <v>16</v>
      </c>
      <c r="Y246" s="132" t="str">
        <f t="shared" si="45"/>
        <v>Cavaliers @ Spurs</v>
      </c>
      <c r="Z246" s="132" t="str">
        <f t="shared" si="46"/>
        <v>Cavaliers @ Spurs</v>
      </c>
      <c r="AA246" s="132" t="str">
        <f t="shared" si="47"/>
        <v>Over 218</v>
      </c>
      <c r="AB246" s="132">
        <f t="shared" si="48"/>
        <v>0.56362999999999996</v>
      </c>
    </row>
    <row r="247" spans="23:28" x14ac:dyDescent="0.25">
      <c r="W247" s="132" t="str">
        <f t="shared" si="43"/>
        <v/>
      </c>
      <c r="X247" s="132">
        <f t="shared" si="44"/>
        <v>16</v>
      </c>
      <c r="Y247" s="132" t="str">
        <f t="shared" si="45"/>
        <v>Over 218</v>
      </c>
      <c r="Z247" s="132" t="str">
        <f t="shared" si="46"/>
        <v/>
      </c>
      <c r="AA247" s="132" t="str">
        <f t="shared" si="47"/>
        <v/>
      </c>
      <c r="AB247" s="132" t="str">
        <f t="shared" si="48"/>
        <v/>
      </c>
    </row>
    <row r="248" spans="23:28" x14ac:dyDescent="0.25">
      <c r="W248" s="132" t="str">
        <f t="shared" si="43"/>
        <v/>
      </c>
      <c r="X248" s="132">
        <f t="shared" si="44"/>
        <v>16</v>
      </c>
      <c r="Y248" s="132">
        <f t="shared" si="45"/>
        <v>0.56362999999999996</v>
      </c>
      <c r="Z248" s="132" t="str">
        <f t="shared" si="46"/>
        <v/>
      </c>
      <c r="AA248" s="132" t="str">
        <f t="shared" si="47"/>
        <v/>
      </c>
      <c r="AB248" s="132" t="str">
        <f t="shared" si="48"/>
        <v/>
      </c>
    </row>
    <row r="249" spans="23:28" x14ac:dyDescent="0.25">
      <c r="W249" s="132" t="str">
        <f t="shared" si="43"/>
        <v/>
      </c>
      <c r="X249" s="132">
        <f t="shared" si="44"/>
        <v>16</v>
      </c>
      <c r="Y249" s="132" t="str">
        <f t="shared" si="45"/>
        <v/>
      </c>
      <c r="Z249" s="132" t="str">
        <f t="shared" si="46"/>
        <v/>
      </c>
      <c r="AA249" s="132" t="str">
        <f t="shared" si="47"/>
        <v/>
      </c>
      <c r="AB249" s="132" t="str">
        <f t="shared" si="48"/>
        <v/>
      </c>
    </row>
    <row r="250" spans="23:28" x14ac:dyDescent="0.25">
      <c r="W250" s="132" t="str">
        <f t="shared" si="43"/>
        <v/>
      </c>
      <c r="X250" s="132">
        <f t="shared" si="44"/>
        <v>16</v>
      </c>
      <c r="Y250" s="132" t="str">
        <f t="shared" si="45"/>
        <v/>
      </c>
      <c r="Z250" s="132" t="str">
        <f t="shared" si="46"/>
        <v/>
      </c>
      <c r="AA250" s="132" t="str">
        <f t="shared" si="47"/>
        <v/>
      </c>
      <c r="AB250" s="132" t="str">
        <f t="shared" si="48"/>
        <v/>
      </c>
    </row>
    <row r="251" spans="23:28" x14ac:dyDescent="0.25">
      <c r="W251" s="132" t="str">
        <f t="shared" si="43"/>
        <v/>
      </c>
      <c r="X251" s="132">
        <f t="shared" si="44"/>
        <v>16</v>
      </c>
      <c r="Y251" s="132" t="str">
        <f t="shared" si="45"/>
        <v/>
      </c>
      <c r="Z251" s="132" t="str">
        <f t="shared" si="46"/>
        <v/>
      </c>
      <c r="AA251" s="132" t="str">
        <f t="shared" si="47"/>
        <v/>
      </c>
      <c r="AB251" s="132" t="str">
        <f t="shared" si="48"/>
        <v/>
      </c>
    </row>
    <row r="252" spans="23:28" x14ac:dyDescent="0.25">
      <c r="W252" s="132" t="str">
        <f t="shared" si="43"/>
        <v/>
      </c>
      <c r="X252" s="132">
        <f t="shared" si="44"/>
        <v>17</v>
      </c>
      <c r="Y252" s="132" t="str">
        <f t="shared" si="45"/>
        <v>Cavaliers @ Spurs</v>
      </c>
      <c r="Z252" s="132" t="str">
        <f t="shared" si="46"/>
        <v>Cavaliers @ Spurs</v>
      </c>
      <c r="AA252" s="132" t="str">
        <f t="shared" si="47"/>
        <v>Spurs Moneyline</v>
      </c>
      <c r="AB252" s="132">
        <f t="shared" si="48"/>
        <v>0.80342000000000002</v>
      </c>
    </row>
    <row r="253" spans="23:28" x14ac:dyDescent="0.25">
      <c r="W253" s="132" t="str">
        <f t="shared" si="43"/>
        <v/>
      </c>
      <c r="X253" s="132">
        <f t="shared" si="44"/>
        <v>17</v>
      </c>
      <c r="Y253" s="132" t="str">
        <f t="shared" si="45"/>
        <v>Spurs Moneyline</v>
      </c>
      <c r="Z253" s="132" t="str">
        <f t="shared" si="46"/>
        <v/>
      </c>
      <c r="AA253" s="132" t="str">
        <f t="shared" si="47"/>
        <v/>
      </c>
      <c r="AB253" s="132" t="str">
        <f t="shared" si="48"/>
        <v/>
      </c>
    </row>
    <row r="254" spans="23:28" x14ac:dyDescent="0.25">
      <c r="W254" s="132" t="str">
        <f t="shared" si="43"/>
        <v/>
      </c>
      <c r="X254" s="132">
        <f t="shared" si="44"/>
        <v>17</v>
      </c>
      <c r="Y254" s="132">
        <f t="shared" si="45"/>
        <v>0.80342000000000002</v>
      </c>
      <c r="Z254" s="132" t="str">
        <f t="shared" si="46"/>
        <v/>
      </c>
      <c r="AA254" s="132" t="str">
        <f t="shared" si="47"/>
        <v/>
      </c>
      <c r="AB254" s="132" t="str">
        <f t="shared" si="48"/>
        <v/>
      </c>
    </row>
    <row r="255" spans="23:28" x14ac:dyDescent="0.25">
      <c r="W255" s="132" t="str">
        <f t="shared" si="43"/>
        <v/>
      </c>
      <c r="X255" s="132">
        <f t="shared" si="44"/>
        <v>17</v>
      </c>
      <c r="Y255" s="132" t="str">
        <f t="shared" si="45"/>
        <v/>
      </c>
      <c r="Z255" s="132" t="str">
        <f t="shared" si="46"/>
        <v/>
      </c>
      <c r="AA255" s="132" t="str">
        <f t="shared" si="47"/>
        <v/>
      </c>
      <c r="AB255" s="132" t="str">
        <f t="shared" si="48"/>
        <v/>
      </c>
    </row>
    <row r="256" spans="23:28" x14ac:dyDescent="0.25">
      <c r="W256" s="132" t="str">
        <f t="shared" si="43"/>
        <v/>
      </c>
      <c r="X256" s="132">
        <f t="shared" si="44"/>
        <v>17</v>
      </c>
      <c r="Y256" s="132" t="str">
        <f t="shared" si="45"/>
        <v/>
      </c>
      <c r="Z256" s="132" t="str">
        <f t="shared" si="46"/>
        <v/>
      </c>
      <c r="AA256" s="132" t="str">
        <f t="shared" si="47"/>
        <v/>
      </c>
      <c r="AB256" s="132" t="str">
        <f t="shared" si="48"/>
        <v/>
      </c>
    </row>
    <row r="257" spans="23:28" x14ac:dyDescent="0.25">
      <c r="W257" s="132" t="str">
        <f t="shared" si="43"/>
        <v/>
      </c>
      <c r="X257" s="132">
        <f t="shared" si="44"/>
        <v>17</v>
      </c>
      <c r="Y257" s="132" t="str">
        <f t="shared" si="45"/>
        <v/>
      </c>
      <c r="Z257" s="132" t="str">
        <f t="shared" si="46"/>
        <v/>
      </c>
      <c r="AA257" s="132" t="str">
        <f t="shared" si="47"/>
        <v/>
      </c>
      <c r="AB257" s="132" t="str">
        <f t="shared" si="48"/>
        <v/>
      </c>
    </row>
    <row r="258" spans="23:28" x14ac:dyDescent="0.25">
      <c r="W258" s="132" t="str">
        <f t="shared" si="43"/>
        <v/>
      </c>
      <c r="X258" s="132">
        <f t="shared" si="44"/>
        <v>17</v>
      </c>
      <c r="Y258" s="132" t="str">
        <f t="shared" si="45"/>
        <v/>
      </c>
      <c r="Z258" s="132" t="str">
        <f t="shared" si="46"/>
        <v/>
      </c>
      <c r="AA258" s="132" t="str">
        <f t="shared" si="47"/>
        <v/>
      </c>
      <c r="AB258" s="132" t="str">
        <f t="shared" si="48"/>
        <v/>
      </c>
    </row>
    <row r="259" spans="23:28" x14ac:dyDescent="0.25">
      <c r="W259" s="132" t="str">
        <f t="shared" si="43"/>
        <v/>
      </c>
      <c r="X259" s="132">
        <f t="shared" si="44"/>
        <v>17</v>
      </c>
      <c r="Y259" s="132" t="str">
        <f t="shared" si="45"/>
        <v/>
      </c>
      <c r="Z259" s="132" t="str">
        <f t="shared" si="46"/>
        <v/>
      </c>
      <c r="AA259" s="132" t="str">
        <f t="shared" si="47"/>
        <v/>
      </c>
      <c r="AB259" s="132" t="str">
        <f t="shared" si="48"/>
        <v/>
      </c>
    </row>
    <row r="260" spans="23:28" x14ac:dyDescent="0.25">
      <c r="W260" s="132" t="str">
        <f t="shared" ref="W260:W290" si="49">IF(MOD(ROW(),3)=0,IF(H262&gt;=$O$1,H262,IF(I262&gt;=$O$1,I262,"")),"")</f>
        <v/>
      </c>
      <c r="X260" s="132">
        <f t="shared" ref="X260:X323" si="50">IF(ISNUMBER(CODE(Z260)),X259+1,X259)</f>
        <v>17</v>
      </c>
      <c r="Y260" s="132" t="str">
        <f t="shared" ref="Y260:Y290" si="51">INDEX($O$3:$W$50,1+INT((ROW(A258)-1)/COLUMNS($O$3:$W$50)),MOD(ROW(A258)-1+COLUMNS($O$3:$W$50),COLUMNS($O$3:$W$50))+1)</f>
        <v/>
      </c>
      <c r="Z260" s="132" t="str">
        <f t="shared" ref="Z260:Z290" si="52">IF(ISNUMBER(SEARCH("@",Y260)),Y260,"")</f>
        <v/>
      </c>
      <c r="AA260" s="132" t="str">
        <f t="shared" ref="AA260:AA290" si="53">IF(ISNUMBER(SEARCH("@",Y260)),Y261,"")</f>
        <v/>
      </c>
      <c r="AB260" s="132" t="str">
        <f t="shared" ref="AB260:AB290" si="54">IF(ISNUMBER(SEARCH("@",Y260)),Y262,"")</f>
        <v/>
      </c>
    </row>
    <row r="261" spans="23:28" x14ac:dyDescent="0.25">
      <c r="W261" s="132" t="str">
        <f t="shared" si="49"/>
        <v/>
      </c>
      <c r="X261" s="132">
        <f t="shared" si="50"/>
        <v>17</v>
      </c>
      <c r="Y261" s="132" t="str">
        <f t="shared" si="51"/>
        <v/>
      </c>
      <c r="Z261" s="132" t="str">
        <f t="shared" si="52"/>
        <v/>
      </c>
      <c r="AA261" s="132" t="str">
        <f t="shared" si="53"/>
        <v/>
      </c>
      <c r="AB261" s="132" t="str">
        <f t="shared" si="54"/>
        <v/>
      </c>
    </row>
    <row r="262" spans="23:28" x14ac:dyDescent="0.25">
      <c r="W262" s="132" t="str">
        <f t="shared" si="49"/>
        <v/>
      </c>
      <c r="X262" s="132">
        <f t="shared" si="50"/>
        <v>17</v>
      </c>
      <c r="Y262" s="132" t="str">
        <f t="shared" si="51"/>
        <v/>
      </c>
      <c r="Z262" s="132" t="str">
        <f t="shared" si="52"/>
        <v/>
      </c>
      <c r="AA262" s="132" t="str">
        <f t="shared" si="53"/>
        <v/>
      </c>
      <c r="AB262" s="132" t="str">
        <f t="shared" si="54"/>
        <v/>
      </c>
    </row>
    <row r="263" spans="23:28" x14ac:dyDescent="0.25">
      <c r="W263" s="132" t="str">
        <f t="shared" si="49"/>
        <v/>
      </c>
      <c r="X263" s="132">
        <f t="shared" si="50"/>
        <v>17</v>
      </c>
      <c r="Y263" s="132" t="str">
        <f t="shared" si="51"/>
        <v/>
      </c>
      <c r="Z263" s="132" t="str">
        <f t="shared" si="52"/>
        <v/>
      </c>
      <c r="AA263" s="132" t="str">
        <f t="shared" si="53"/>
        <v/>
      </c>
      <c r="AB263" s="132" t="str">
        <f t="shared" si="54"/>
        <v/>
      </c>
    </row>
    <row r="264" spans="23:28" x14ac:dyDescent="0.25">
      <c r="W264" s="132" t="str">
        <f t="shared" si="49"/>
        <v/>
      </c>
      <c r="X264" s="132">
        <f t="shared" si="50"/>
        <v>17</v>
      </c>
      <c r="Y264" s="132" t="str">
        <f t="shared" si="51"/>
        <v/>
      </c>
      <c r="Z264" s="132" t="str">
        <f t="shared" si="52"/>
        <v/>
      </c>
      <c r="AA264" s="132" t="str">
        <f t="shared" si="53"/>
        <v/>
      </c>
      <c r="AB264" s="132" t="str">
        <f t="shared" si="54"/>
        <v/>
      </c>
    </row>
    <row r="265" spans="23:28" x14ac:dyDescent="0.25">
      <c r="W265" s="132" t="str">
        <f t="shared" si="49"/>
        <v/>
      </c>
      <c r="X265" s="132">
        <f t="shared" si="50"/>
        <v>17</v>
      </c>
      <c r="Y265" s="132" t="str">
        <f t="shared" si="51"/>
        <v/>
      </c>
      <c r="Z265" s="132" t="str">
        <f t="shared" si="52"/>
        <v/>
      </c>
      <c r="AA265" s="132" t="str">
        <f t="shared" si="53"/>
        <v/>
      </c>
      <c r="AB265" s="132" t="str">
        <f t="shared" si="54"/>
        <v/>
      </c>
    </row>
    <row r="266" spans="23:28" x14ac:dyDescent="0.25">
      <c r="W266" s="132" t="str">
        <f t="shared" si="49"/>
        <v/>
      </c>
      <c r="X266" s="132">
        <f t="shared" si="50"/>
        <v>17</v>
      </c>
      <c r="Y266" s="132" t="str">
        <f t="shared" si="51"/>
        <v/>
      </c>
      <c r="Z266" s="132" t="str">
        <f t="shared" si="52"/>
        <v/>
      </c>
      <c r="AA266" s="132" t="str">
        <f t="shared" si="53"/>
        <v/>
      </c>
      <c r="AB266" s="132" t="str">
        <f t="shared" si="54"/>
        <v/>
      </c>
    </row>
    <row r="267" spans="23:28" x14ac:dyDescent="0.25">
      <c r="W267" s="132" t="str">
        <f t="shared" si="49"/>
        <v/>
      </c>
      <c r="X267" s="132">
        <f t="shared" si="50"/>
        <v>17</v>
      </c>
      <c r="Y267" s="132" t="str">
        <f t="shared" si="51"/>
        <v/>
      </c>
      <c r="Z267" s="132" t="str">
        <f t="shared" si="52"/>
        <v/>
      </c>
      <c r="AA267" s="132" t="str">
        <f t="shared" si="53"/>
        <v/>
      </c>
      <c r="AB267" s="132" t="str">
        <f t="shared" si="54"/>
        <v/>
      </c>
    </row>
    <row r="268" spans="23:28" x14ac:dyDescent="0.25">
      <c r="W268" s="132" t="str">
        <f t="shared" si="49"/>
        <v/>
      </c>
      <c r="X268" s="132">
        <f t="shared" si="50"/>
        <v>17</v>
      </c>
      <c r="Y268" s="132" t="str">
        <f t="shared" si="51"/>
        <v/>
      </c>
      <c r="Z268" s="132" t="str">
        <f t="shared" si="52"/>
        <v/>
      </c>
      <c r="AA268" s="132" t="str">
        <f t="shared" si="53"/>
        <v/>
      </c>
      <c r="AB268" s="132" t="str">
        <f t="shared" si="54"/>
        <v/>
      </c>
    </row>
    <row r="269" spans="23:28" x14ac:dyDescent="0.25">
      <c r="W269" s="132" t="str">
        <f t="shared" si="49"/>
        <v/>
      </c>
      <c r="X269" s="132">
        <f t="shared" si="50"/>
        <v>17</v>
      </c>
      <c r="Y269" s="132" t="str">
        <f t="shared" si="51"/>
        <v/>
      </c>
      <c r="Z269" s="132" t="str">
        <f t="shared" si="52"/>
        <v/>
      </c>
      <c r="AA269" s="132" t="str">
        <f t="shared" si="53"/>
        <v/>
      </c>
      <c r="AB269" s="132" t="str">
        <f t="shared" si="54"/>
        <v/>
      </c>
    </row>
    <row r="270" spans="23:28" x14ac:dyDescent="0.25">
      <c r="W270" s="132" t="str">
        <f t="shared" si="49"/>
        <v/>
      </c>
      <c r="X270" s="132">
        <f t="shared" si="50"/>
        <v>17</v>
      </c>
      <c r="Y270" s="132" t="str">
        <f t="shared" si="51"/>
        <v/>
      </c>
      <c r="Z270" s="132" t="str">
        <f t="shared" si="52"/>
        <v/>
      </c>
      <c r="AA270" s="132" t="str">
        <f t="shared" si="53"/>
        <v/>
      </c>
      <c r="AB270" s="132" t="str">
        <f t="shared" si="54"/>
        <v/>
      </c>
    </row>
    <row r="271" spans="23:28" x14ac:dyDescent="0.25">
      <c r="W271" s="132" t="str">
        <f t="shared" si="49"/>
        <v/>
      </c>
      <c r="X271" s="132">
        <f t="shared" si="50"/>
        <v>17</v>
      </c>
      <c r="Y271" s="132" t="str">
        <f t="shared" si="51"/>
        <v/>
      </c>
      <c r="Z271" s="132" t="str">
        <f t="shared" si="52"/>
        <v/>
      </c>
      <c r="AA271" s="132" t="str">
        <f t="shared" si="53"/>
        <v/>
      </c>
      <c r="AB271" s="132" t="str">
        <f t="shared" si="54"/>
        <v/>
      </c>
    </row>
    <row r="272" spans="23:28" x14ac:dyDescent="0.25">
      <c r="W272" s="132" t="str">
        <f t="shared" si="49"/>
        <v/>
      </c>
      <c r="X272" s="132">
        <f t="shared" si="50"/>
        <v>17</v>
      </c>
      <c r="Y272" s="132" t="str">
        <f t="shared" si="51"/>
        <v/>
      </c>
      <c r="Z272" s="132" t="str">
        <f t="shared" si="52"/>
        <v/>
      </c>
      <c r="AA272" s="132" t="str">
        <f t="shared" si="53"/>
        <v/>
      </c>
      <c r="AB272" s="132" t="str">
        <f t="shared" si="54"/>
        <v/>
      </c>
    </row>
    <row r="273" spans="23:28" x14ac:dyDescent="0.25">
      <c r="W273" s="132" t="str">
        <f t="shared" si="49"/>
        <v/>
      </c>
      <c r="X273" s="132">
        <f t="shared" si="50"/>
        <v>17</v>
      </c>
      <c r="Y273" s="132" t="str">
        <f t="shared" si="51"/>
        <v/>
      </c>
      <c r="Z273" s="132" t="str">
        <f t="shared" si="52"/>
        <v/>
      </c>
      <c r="AA273" s="132" t="str">
        <f t="shared" si="53"/>
        <v/>
      </c>
      <c r="AB273" s="132" t="str">
        <f t="shared" si="54"/>
        <v/>
      </c>
    </row>
    <row r="274" spans="23:28" x14ac:dyDescent="0.25">
      <c r="W274" s="132" t="str">
        <f t="shared" si="49"/>
        <v/>
      </c>
      <c r="X274" s="132">
        <f t="shared" si="50"/>
        <v>17</v>
      </c>
      <c r="Y274" s="132" t="str">
        <f t="shared" si="51"/>
        <v/>
      </c>
      <c r="Z274" s="132" t="str">
        <f t="shared" si="52"/>
        <v/>
      </c>
      <c r="AA274" s="132" t="str">
        <f t="shared" si="53"/>
        <v/>
      </c>
      <c r="AB274" s="132" t="str">
        <f t="shared" si="54"/>
        <v/>
      </c>
    </row>
    <row r="275" spans="23:28" x14ac:dyDescent="0.25">
      <c r="W275" s="132" t="str">
        <f t="shared" si="49"/>
        <v/>
      </c>
      <c r="X275" s="132">
        <f t="shared" si="50"/>
        <v>17</v>
      </c>
      <c r="Y275" s="132" t="str">
        <f t="shared" si="51"/>
        <v/>
      </c>
      <c r="Z275" s="132" t="str">
        <f t="shared" si="52"/>
        <v/>
      </c>
      <c r="AA275" s="132" t="str">
        <f t="shared" si="53"/>
        <v/>
      </c>
      <c r="AB275" s="132" t="str">
        <f t="shared" si="54"/>
        <v/>
      </c>
    </row>
    <row r="276" spans="23:28" x14ac:dyDescent="0.25">
      <c r="W276" s="132" t="str">
        <f t="shared" si="49"/>
        <v/>
      </c>
      <c r="X276" s="132">
        <f t="shared" si="50"/>
        <v>17</v>
      </c>
      <c r="Y276" s="132" t="str">
        <f t="shared" si="51"/>
        <v/>
      </c>
      <c r="Z276" s="132" t="str">
        <f t="shared" si="52"/>
        <v/>
      </c>
      <c r="AA276" s="132" t="str">
        <f t="shared" si="53"/>
        <v/>
      </c>
      <c r="AB276" s="132" t="str">
        <f t="shared" si="54"/>
        <v/>
      </c>
    </row>
    <row r="277" spans="23:28" x14ac:dyDescent="0.25">
      <c r="W277" s="132" t="str">
        <f t="shared" si="49"/>
        <v/>
      </c>
      <c r="X277" s="132">
        <f t="shared" si="50"/>
        <v>17</v>
      </c>
      <c r="Y277" s="132" t="str">
        <f t="shared" si="51"/>
        <v/>
      </c>
      <c r="Z277" s="132" t="str">
        <f t="shared" si="52"/>
        <v/>
      </c>
      <c r="AA277" s="132" t="str">
        <f t="shared" si="53"/>
        <v/>
      </c>
      <c r="AB277" s="132" t="str">
        <f t="shared" si="54"/>
        <v/>
      </c>
    </row>
    <row r="278" spans="23:28" x14ac:dyDescent="0.25">
      <c r="W278" s="132" t="str">
        <f t="shared" si="49"/>
        <v/>
      </c>
      <c r="X278" s="132">
        <f t="shared" si="50"/>
        <v>17</v>
      </c>
      <c r="Y278" s="132" t="str">
        <f t="shared" si="51"/>
        <v/>
      </c>
      <c r="Z278" s="132" t="str">
        <f t="shared" si="52"/>
        <v/>
      </c>
      <c r="AA278" s="132" t="str">
        <f t="shared" si="53"/>
        <v/>
      </c>
      <c r="AB278" s="132" t="str">
        <f t="shared" si="54"/>
        <v/>
      </c>
    </row>
    <row r="279" spans="23:28" x14ac:dyDescent="0.25">
      <c r="W279" s="132" t="str">
        <f t="shared" si="49"/>
        <v/>
      </c>
      <c r="X279" s="132">
        <f t="shared" si="50"/>
        <v>17</v>
      </c>
      <c r="Y279" s="132" t="str">
        <f t="shared" si="51"/>
        <v/>
      </c>
      <c r="Z279" s="132" t="str">
        <f t="shared" si="52"/>
        <v/>
      </c>
      <c r="AA279" s="132" t="str">
        <f t="shared" si="53"/>
        <v/>
      </c>
      <c r="AB279" s="132" t="str">
        <f t="shared" si="54"/>
        <v/>
      </c>
    </row>
    <row r="280" spans="23:28" x14ac:dyDescent="0.25">
      <c r="W280" s="132" t="str">
        <f t="shared" si="49"/>
        <v/>
      </c>
      <c r="X280" s="132">
        <f t="shared" si="50"/>
        <v>17</v>
      </c>
      <c r="Y280" s="132" t="str">
        <f t="shared" si="51"/>
        <v/>
      </c>
      <c r="Z280" s="132" t="str">
        <f t="shared" si="52"/>
        <v/>
      </c>
      <c r="AA280" s="132" t="str">
        <f t="shared" si="53"/>
        <v/>
      </c>
      <c r="AB280" s="132" t="str">
        <f t="shared" si="54"/>
        <v/>
      </c>
    </row>
    <row r="281" spans="23:28" x14ac:dyDescent="0.25">
      <c r="W281" s="132" t="str">
        <f t="shared" si="49"/>
        <v/>
      </c>
      <c r="X281" s="132">
        <f t="shared" si="50"/>
        <v>17</v>
      </c>
      <c r="Y281" s="132" t="str">
        <f t="shared" si="51"/>
        <v/>
      </c>
      <c r="Z281" s="132" t="str">
        <f t="shared" si="52"/>
        <v/>
      </c>
      <c r="AA281" s="132" t="str">
        <f t="shared" si="53"/>
        <v/>
      </c>
      <c r="AB281" s="132" t="str">
        <f t="shared" si="54"/>
        <v/>
      </c>
    </row>
    <row r="282" spans="23:28" x14ac:dyDescent="0.25">
      <c r="W282" s="132" t="str">
        <f t="shared" si="49"/>
        <v/>
      </c>
      <c r="X282" s="132">
        <f t="shared" si="50"/>
        <v>17</v>
      </c>
      <c r="Y282" s="132" t="str">
        <f t="shared" si="51"/>
        <v/>
      </c>
      <c r="Z282" s="132" t="str">
        <f t="shared" si="52"/>
        <v/>
      </c>
      <c r="AA282" s="132" t="str">
        <f t="shared" si="53"/>
        <v/>
      </c>
      <c r="AB282" s="132" t="str">
        <f t="shared" si="54"/>
        <v/>
      </c>
    </row>
    <row r="283" spans="23:28" x14ac:dyDescent="0.25">
      <c r="W283" s="132" t="str">
        <f t="shared" si="49"/>
        <v/>
      </c>
      <c r="X283" s="132">
        <f t="shared" si="50"/>
        <v>17</v>
      </c>
      <c r="Y283" s="132" t="str">
        <f t="shared" si="51"/>
        <v/>
      </c>
      <c r="Z283" s="132" t="str">
        <f t="shared" si="52"/>
        <v/>
      </c>
      <c r="AA283" s="132" t="str">
        <f t="shared" si="53"/>
        <v/>
      </c>
      <c r="AB283" s="132" t="str">
        <f t="shared" si="54"/>
        <v/>
      </c>
    </row>
    <row r="284" spans="23:28" x14ac:dyDescent="0.25">
      <c r="W284" s="132" t="str">
        <f t="shared" si="49"/>
        <v/>
      </c>
      <c r="X284" s="132">
        <f t="shared" si="50"/>
        <v>17</v>
      </c>
      <c r="Y284" s="132" t="str">
        <f t="shared" si="51"/>
        <v/>
      </c>
      <c r="Z284" s="132" t="str">
        <f t="shared" si="52"/>
        <v/>
      </c>
      <c r="AA284" s="132" t="str">
        <f t="shared" si="53"/>
        <v/>
      </c>
      <c r="AB284" s="132" t="str">
        <f t="shared" si="54"/>
        <v/>
      </c>
    </row>
    <row r="285" spans="23:28" x14ac:dyDescent="0.25">
      <c r="W285" s="132" t="str">
        <f t="shared" si="49"/>
        <v/>
      </c>
      <c r="X285" s="132">
        <f t="shared" si="50"/>
        <v>17</v>
      </c>
      <c r="Y285" s="132" t="str">
        <f t="shared" si="51"/>
        <v/>
      </c>
      <c r="Z285" s="132" t="str">
        <f t="shared" si="52"/>
        <v/>
      </c>
      <c r="AA285" s="132" t="str">
        <f t="shared" si="53"/>
        <v/>
      </c>
      <c r="AB285" s="132" t="str">
        <f t="shared" si="54"/>
        <v/>
      </c>
    </row>
    <row r="286" spans="23:28" x14ac:dyDescent="0.25">
      <c r="W286" s="132" t="str">
        <f t="shared" si="49"/>
        <v/>
      </c>
      <c r="X286" s="132">
        <f t="shared" si="50"/>
        <v>17</v>
      </c>
      <c r="Y286" s="132" t="str">
        <f t="shared" si="51"/>
        <v/>
      </c>
      <c r="Z286" s="132" t="str">
        <f t="shared" si="52"/>
        <v/>
      </c>
      <c r="AA286" s="132" t="str">
        <f t="shared" si="53"/>
        <v/>
      </c>
      <c r="AB286" s="132" t="str">
        <f t="shared" si="54"/>
        <v/>
      </c>
    </row>
    <row r="287" spans="23:28" x14ac:dyDescent="0.25">
      <c r="W287" s="132" t="str">
        <f t="shared" si="49"/>
        <v/>
      </c>
      <c r="X287" s="132">
        <f t="shared" si="50"/>
        <v>17</v>
      </c>
      <c r="Y287" s="132" t="str">
        <f t="shared" si="51"/>
        <v/>
      </c>
      <c r="Z287" s="132" t="str">
        <f t="shared" si="52"/>
        <v/>
      </c>
      <c r="AA287" s="132" t="str">
        <f t="shared" si="53"/>
        <v/>
      </c>
      <c r="AB287" s="132" t="str">
        <f t="shared" si="54"/>
        <v/>
      </c>
    </row>
    <row r="288" spans="23:28" x14ac:dyDescent="0.25">
      <c r="W288" s="132" t="str">
        <f t="shared" si="49"/>
        <v/>
      </c>
      <c r="X288" s="132">
        <f t="shared" si="50"/>
        <v>17</v>
      </c>
      <c r="Y288" s="132" t="str">
        <f t="shared" si="51"/>
        <v/>
      </c>
      <c r="Z288" s="132" t="str">
        <f t="shared" si="52"/>
        <v/>
      </c>
      <c r="AA288" s="132" t="str">
        <f t="shared" si="53"/>
        <v/>
      </c>
      <c r="AB288" s="132" t="str">
        <f t="shared" si="54"/>
        <v/>
      </c>
    </row>
    <row r="289" spans="23:28" x14ac:dyDescent="0.25">
      <c r="W289" s="132" t="str">
        <f t="shared" si="49"/>
        <v/>
      </c>
      <c r="X289" s="132">
        <f t="shared" si="50"/>
        <v>17</v>
      </c>
      <c r="Y289" s="132" t="str">
        <f t="shared" si="51"/>
        <v/>
      </c>
      <c r="Z289" s="132" t="str">
        <f t="shared" si="52"/>
        <v/>
      </c>
      <c r="AA289" s="132" t="str">
        <f t="shared" si="53"/>
        <v/>
      </c>
      <c r="AB289" s="132" t="str">
        <f t="shared" si="54"/>
        <v/>
      </c>
    </row>
    <row r="290" spans="23:28" x14ac:dyDescent="0.25">
      <c r="W290" s="132" t="str">
        <f t="shared" si="49"/>
        <v/>
      </c>
      <c r="X290" s="132">
        <f t="shared" si="50"/>
        <v>17</v>
      </c>
      <c r="Y290" s="132" t="str">
        <f t="shared" si="51"/>
        <v/>
      </c>
      <c r="Z290" s="132" t="str">
        <f t="shared" si="52"/>
        <v/>
      </c>
      <c r="AA290" s="132" t="str">
        <f t="shared" si="53"/>
        <v/>
      </c>
      <c r="AB290" s="132" t="str">
        <f t="shared" si="54"/>
        <v/>
      </c>
    </row>
    <row r="291" spans="23:28" x14ac:dyDescent="0.25">
      <c r="X291" s="132">
        <f t="shared" si="50"/>
        <v>17</v>
      </c>
      <c r="Y291" s="132" t="str">
        <f>INDEX($O$3:$W$50,1+INT((ROW(A289)-1)/COLUMNS($O$3:$W$50)),MOD(ROW(A289)-1+COLUMNS($O$3:$W$50),COLUMNS($O$3:$W$50))+1)</f>
        <v/>
      </c>
    </row>
    <row r="292" spans="23:28" x14ac:dyDescent="0.25">
      <c r="X292" s="132">
        <f t="shared" si="50"/>
        <v>17</v>
      </c>
      <c r="Y292" s="132" t="str">
        <f t="shared" ref="Y292:Y355" si="55">INDEX($O$3:$W$50,1+INT((ROW(A290)-1)/COLUMNS($O$3:$W$50)),MOD(ROW(A290)-1+COLUMNS($O$3:$W$50),COLUMNS($O$3:$W$50))+1)</f>
        <v/>
      </c>
    </row>
    <row r="293" spans="23:28" x14ac:dyDescent="0.25">
      <c r="X293" s="132">
        <f t="shared" si="50"/>
        <v>17</v>
      </c>
      <c r="Y293" s="132" t="str">
        <f t="shared" si="55"/>
        <v/>
      </c>
    </row>
    <row r="294" spans="23:28" x14ac:dyDescent="0.25">
      <c r="X294" s="132">
        <f t="shared" si="50"/>
        <v>17</v>
      </c>
      <c r="Y294" s="132" t="str">
        <f t="shared" si="55"/>
        <v/>
      </c>
    </row>
    <row r="295" spans="23:28" x14ac:dyDescent="0.25">
      <c r="X295" s="132">
        <f t="shared" si="50"/>
        <v>17</v>
      </c>
      <c r="Y295" s="132" t="str">
        <f t="shared" si="55"/>
        <v/>
      </c>
    </row>
    <row r="296" spans="23:28" x14ac:dyDescent="0.25">
      <c r="X296" s="132">
        <f t="shared" si="50"/>
        <v>17</v>
      </c>
      <c r="Y296" s="132" t="str">
        <f t="shared" si="55"/>
        <v/>
      </c>
    </row>
    <row r="297" spans="23:28" x14ac:dyDescent="0.25">
      <c r="X297" s="132">
        <f t="shared" si="50"/>
        <v>17</v>
      </c>
      <c r="Y297" s="132" t="str">
        <f t="shared" si="55"/>
        <v/>
      </c>
    </row>
    <row r="298" spans="23:28" x14ac:dyDescent="0.25">
      <c r="X298" s="132">
        <f t="shared" si="50"/>
        <v>17</v>
      </c>
      <c r="Y298" s="132" t="str">
        <f t="shared" si="55"/>
        <v/>
      </c>
    </row>
    <row r="299" spans="23:28" x14ac:dyDescent="0.25">
      <c r="X299" s="132">
        <f t="shared" si="50"/>
        <v>17</v>
      </c>
      <c r="Y299" s="132" t="str">
        <f t="shared" si="55"/>
        <v/>
      </c>
    </row>
    <row r="300" spans="23:28" x14ac:dyDescent="0.25">
      <c r="X300" s="132">
        <f t="shared" si="50"/>
        <v>17</v>
      </c>
      <c r="Y300" s="132" t="str">
        <f t="shared" si="55"/>
        <v/>
      </c>
    </row>
    <row r="301" spans="23:28" x14ac:dyDescent="0.25">
      <c r="X301" s="132">
        <f t="shared" si="50"/>
        <v>17</v>
      </c>
      <c r="Y301" s="132" t="str">
        <f t="shared" si="55"/>
        <v/>
      </c>
    </row>
    <row r="302" spans="23:28" x14ac:dyDescent="0.25">
      <c r="X302" s="132">
        <f t="shared" si="50"/>
        <v>17</v>
      </c>
      <c r="Y302" s="132" t="str">
        <f t="shared" si="55"/>
        <v/>
      </c>
    </row>
    <row r="303" spans="23:28" x14ac:dyDescent="0.25">
      <c r="X303" s="132">
        <f t="shared" si="50"/>
        <v>17</v>
      </c>
      <c r="Y303" s="132" t="str">
        <f t="shared" si="55"/>
        <v/>
      </c>
    </row>
    <row r="304" spans="23:28" x14ac:dyDescent="0.25">
      <c r="X304" s="132">
        <f t="shared" si="50"/>
        <v>17</v>
      </c>
      <c r="Y304" s="132" t="str">
        <f t="shared" si="55"/>
        <v/>
      </c>
    </row>
    <row r="305" spans="24:25" x14ac:dyDescent="0.25">
      <c r="X305" s="132">
        <f t="shared" si="50"/>
        <v>17</v>
      </c>
      <c r="Y305" s="132" t="str">
        <f t="shared" si="55"/>
        <v/>
      </c>
    </row>
    <row r="306" spans="24:25" x14ac:dyDescent="0.25">
      <c r="X306" s="132">
        <f t="shared" si="50"/>
        <v>17</v>
      </c>
      <c r="Y306" s="132" t="str">
        <f t="shared" si="55"/>
        <v/>
      </c>
    </row>
    <row r="307" spans="24:25" x14ac:dyDescent="0.25">
      <c r="X307" s="132">
        <f t="shared" si="50"/>
        <v>17</v>
      </c>
      <c r="Y307" s="132" t="str">
        <f t="shared" si="55"/>
        <v/>
      </c>
    </row>
    <row r="308" spans="24:25" x14ac:dyDescent="0.25">
      <c r="X308" s="132">
        <f t="shared" si="50"/>
        <v>17</v>
      </c>
      <c r="Y308" s="132" t="str">
        <f t="shared" si="55"/>
        <v/>
      </c>
    </row>
    <row r="309" spans="24:25" x14ac:dyDescent="0.25">
      <c r="X309" s="132">
        <f t="shared" si="50"/>
        <v>17</v>
      </c>
      <c r="Y309" s="132" t="str">
        <f t="shared" si="55"/>
        <v/>
      </c>
    </row>
    <row r="310" spans="24:25" x14ac:dyDescent="0.25">
      <c r="X310" s="132">
        <f t="shared" si="50"/>
        <v>17</v>
      </c>
      <c r="Y310" s="132" t="str">
        <f t="shared" si="55"/>
        <v/>
      </c>
    </row>
    <row r="311" spans="24:25" x14ac:dyDescent="0.25">
      <c r="X311" s="132">
        <f t="shared" si="50"/>
        <v>17</v>
      </c>
      <c r="Y311" s="132" t="str">
        <f t="shared" si="55"/>
        <v/>
      </c>
    </row>
    <row r="312" spans="24:25" x14ac:dyDescent="0.25">
      <c r="X312" s="132">
        <f t="shared" si="50"/>
        <v>17</v>
      </c>
      <c r="Y312" s="132" t="str">
        <f t="shared" si="55"/>
        <v/>
      </c>
    </row>
    <row r="313" spans="24:25" x14ac:dyDescent="0.25">
      <c r="X313" s="132">
        <f t="shared" si="50"/>
        <v>17</v>
      </c>
      <c r="Y313" s="132" t="str">
        <f t="shared" si="55"/>
        <v/>
      </c>
    </row>
    <row r="314" spans="24:25" x14ac:dyDescent="0.25">
      <c r="X314" s="132">
        <f t="shared" si="50"/>
        <v>17</v>
      </c>
      <c r="Y314" s="132" t="str">
        <f t="shared" si="55"/>
        <v/>
      </c>
    </row>
    <row r="315" spans="24:25" x14ac:dyDescent="0.25">
      <c r="X315" s="132">
        <f t="shared" si="50"/>
        <v>17</v>
      </c>
      <c r="Y315" s="132" t="str">
        <f t="shared" si="55"/>
        <v/>
      </c>
    </row>
    <row r="316" spans="24:25" x14ac:dyDescent="0.25">
      <c r="X316" s="132">
        <f t="shared" si="50"/>
        <v>17</v>
      </c>
      <c r="Y316" s="132" t="str">
        <f t="shared" si="55"/>
        <v/>
      </c>
    </row>
    <row r="317" spans="24:25" x14ac:dyDescent="0.25">
      <c r="X317" s="132">
        <f t="shared" si="50"/>
        <v>17</v>
      </c>
      <c r="Y317" s="132" t="str">
        <f t="shared" si="55"/>
        <v/>
      </c>
    </row>
    <row r="318" spans="24:25" x14ac:dyDescent="0.25">
      <c r="X318" s="132">
        <f t="shared" si="50"/>
        <v>17</v>
      </c>
      <c r="Y318" s="132" t="str">
        <f t="shared" si="55"/>
        <v/>
      </c>
    </row>
    <row r="319" spans="24:25" x14ac:dyDescent="0.25">
      <c r="X319" s="132">
        <f t="shared" si="50"/>
        <v>17</v>
      </c>
      <c r="Y319" s="132" t="str">
        <f t="shared" si="55"/>
        <v/>
      </c>
    </row>
    <row r="320" spans="24:25" x14ac:dyDescent="0.25">
      <c r="X320" s="132">
        <f t="shared" si="50"/>
        <v>17</v>
      </c>
      <c r="Y320" s="132" t="str">
        <f t="shared" si="55"/>
        <v/>
      </c>
    </row>
    <row r="321" spans="24:25" x14ac:dyDescent="0.25">
      <c r="X321" s="132">
        <f t="shared" si="50"/>
        <v>17</v>
      </c>
      <c r="Y321" s="132" t="str">
        <f t="shared" si="55"/>
        <v/>
      </c>
    </row>
    <row r="322" spans="24:25" x14ac:dyDescent="0.25">
      <c r="X322" s="132">
        <f t="shared" si="50"/>
        <v>17</v>
      </c>
      <c r="Y322" s="132" t="str">
        <f t="shared" si="55"/>
        <v/>
      </c>
    </row>
    <row r="323" spans="24:25" x14ac:dyDescent="0.25">
      <c r="X323" s="132">
        <f t="shared" si="50"/>
        <v>17</v>
      </c>
      <c r="Y323" s="132" t="str">
        <f t="shared" si="55"/>
        <v/>
      </c>
    </row>
    <row r="324" spans="24:25" x14ac:dyDescent="0.25">
      <c r="X324" s="132">
        <f t="shared" ref="X324:X387" si="56">IF(ISNUMBER(CODE(Z324)),X323+1,X323)</f>
        <v>17</v>
      </c>
      <c r="Y324" s="132" t="str">
        <f t="shared" si="55"/>
        <v/>
      </c>
    </row>
    <row r="325" spans="24:25" x14ac:dyDescent="0.25">
      <c r="X325" s="132">
        <f t="shared" si="56"/>
        <v>17</v>
      </c>
      <c r="Y325" s="132" t="str">
        <f t="shared" si="55"/>
        <v/>
      </c>
    </row>
    <row r="326" spans="24:25" x14ac:dyDescent="0.25">
      <c r="X326" s="132">
        <f t="shared" si="56"/>
        <v>17</v>
      </c>
      <c r="Y326" s="132" t="str">
        <f t="shared" si="55"/>
        <v/>
      </c>
    </row>
    <row r="327" spans="24:25" x14ac:dyDescent="0.25">
      <c r="X327" s="132">
        <f t="shared" si="56"/>
        <v>17</v>
      </c>
      <c r="Y327" s="132" t="str">
        <f t="shared" si="55"/>
        <v/>
      </c>
    </row>
    <row r="328" spans="24:25" x14ac:dyDescent="0.25">
      <c r="X328" s="132">
        <f t="shared" si="56"/>
        <v>17</v>
      </c>
      <c r="Y328" s="132" t="str">
        <f t="shared" si="55"/>
        <v/>
      </c>
    </row>
    <row r="329" spans="24:25" x14ac:dyDescent="0.25">
      <c r="X329" s="132">
        <f t="shared" si="56"/>
        <v>17</v>
      </c>
      <c r="Y329" s="132" t="str">
        <f t="shared" si="55"/>
        <v/>
      </c>
    </row>
    <row r="330" spans="24:25" x14ac:dyDescent="0.25">
      <c r="X330" s="132">
        <f t="shared" si="56"/>
        <v>17</v>
      </c>
      <c r="Y330" s="132" t="str">
        <f t="shared" si="55"/>
        <v/>
      </c>
    </row>
    <row r="331" spans="24:25" x14ac:dyDescent="0.25">
      <c r="X331" s="132">
        <f t="shared" si="56"/>
        <v>17</v>
      </c>
      <c r="Y331" s="132" t="str">
        <f t="shared" si="55"/>
        <v/>
      </c>
    </row>
    <row r="332" spans="24:25" x14ac:dyDescent="0.25">
      <c r="X332" s="132">
        <f t="shared" si="56"/>
        <v>17</v>
      </c>
      <c r="Y332" s="132" t="str">
        <f t="shared" si="55"/>
        <v/>
      </c>
    </row>
    <row r="333" spans="24:25" x14ac:dyDescent="0.25">
      <c r="X333" s="132">
        <f t="shared" si="56"/>
        <v>17</v>
      </c>
      <c r="Y333" s="132" t="str">
        <f t="shared" si="55"/>
        <v/>
      </c>
    </row>
    <row r="334" spans="24:25" x14ac:dyDescent="0.25">
      <c r="X334" s="132">
        <f t="shared" si="56"/>
        <v>17</v>
      </c>
      <c r="Y334" s="132" t="str">
        <f t="shared" si="55"/>
        <v/>
      </c>
    </row>
    <row r="335" spans="24:25" x14ac:dyDescent="0.25">
      <c r="X335" s="132">
        <f t="shared" si="56"/>
        <v>17</v>
      </c>
      <c r="Y335" s="132" t="str">
        <f t="shared" si="55"/>
        <v/>
      </c>
    </row>
    <row r="336" spans="24:25" x14ac:dyDescent="0.25">
      <c r="X336" s="132">
        <f t="shared" si="56"/>
        <v>17</v>
      </c>
      <c r="Y336" s="132" t="str">
        <f t="shared" si="55"/>
        <v/>
      </c>
    </row>
    <row r="337" spans="24:25" x14ac:dyDescent="0.25">
      <c r="X337" s="132">
        <f t="shared" si="56"/>
        <v>17</v>
      </c>
      <c r="Y337" s="132" t="str">
        <f t="shared" si="55"/>
        <v/>
      </c>
    </row>
    <row r="338" spans="24:25" x14ac:dyDescent="0.25">
      <c r="X338" s="132">
        <f t="shared" si="56"/>
        <v>17</v>
      </c>
      <c r="Y338" s="132" t="str">
        <f t="shared" si="55"/>
        <v/>
      </c>
    </row>
    <row r="339" spans="24:25" x14ac:dyDescent="0.25">
      <c r="X339" s="132">
        <f t="shared" si="56"/>
        <v>17</v>
      </c>
      <c r="Y339" s="132" t="str">
        <f t="shared" si="55"/>
        <v/>
      </c>
    </row>
    <row r="340" spans="24:25" x14ac:dyDescent="0.25">
      <c r="X340" s="132">
        <f t="shared" si="56"/>
        <v>17</v>
      </c>
      <c r="Y340" s="132" t="str">
        <f t="shared" si="55"/>
        <v/>
      </c>
    </row>
    <row r="341" spans="24:25" x14ac:dyDescent="0.25">
      <c r="X341" s="132">
        <f t="shared" si="56"/>
        <v>17</v>
      </c>
      <c r="Y341" s="132" t="str">
        <f t="shared" si="55"/>
        <v/>
      </c>
    </row>
    <row r="342" spans="24:25" x14ac:dyDescent="0.25">
      <c r="X342" s="132">
        <f t="shared" si="56"/>
        <v>17</v>
      </c>
      <c r="Y342" s="132" t="str">
        <f t="shared" si="55"/>
        <v/>
      </c>
    </row>
    <row r="343" spans="24:25" x14ac:dyDescent="0.25">
      <c r="X343" s="132">
        <f t="shared" si="56"/>
        <v>17</v>
      </c>
      <c r="Y343" s="132" t="str">
        <f t="shared" si="55"/>
        <v/>
      </c>
    </row>
    <row r="344" spans="24:25" x14ac:dyDescent="0.25">
      <c r="X344" s="132">
        <f t="shared" si="56"/>
        <v>17</v>
      </c>
      <c r="Y344" s="132" t="str">
        <f t="shared" si="55"/>
        <v/>
      </c>
    </row>
    <row r="345" spans="24:25" x14ac:dyDescent="0.25">
      <c r="X345" s="132">
        <f t="shared" si="56"/>
        <v>17</v>
      </c>
      <c r="Y345" s="132" t="str">
        <f t="shared" si="55"/>
        <v/>
      </c>
    </row>
    <row r="346" spans="24:25" x14ac:dyDescent="0.25">
      <c r="X346" s="132">
        <f t="shared" si="56"/>
        <v>17</v>
      </c>
      <c r="Y346" s="132" t="str">
        <f t="shared" si="55"/>
        <v/>
      </c>
    </row>
    <row r="347" spans="24:25" x14ac:dyDescent="0.25">
      <c r="X347" s="132">
        <f t="shared" si="56"/>
        <v>17</v>
      </c>
      <c r="Y347" s="132" t="str">
        <f t="shared" si="55"/>
        <v/>
      </c>
    </row>
    <row r="348" spans="24:25" x14ac:dyDescent="0.25">
      <c r="X348" s="132">
        <f t="shared" si="56"/>
        <v>17</v>
      </c>
      <c r="Y348" s="132" t="str">
        <f t="shared" si="55"/>
        <v/>
      </c>
    </row>
    <row r="349" spans="24:25" x14ac:dyDescent="0.25">
      <c r="X349" s="132">
        <f t="shared" si="56"/>
        <v>17</v>
      </c>
      <c r="Y349" s="132" t="str">
        <f t="shared" si="55"/>
        <v/>
      </c>
    </row>
    <row r="350" spans="24:25" x14ac:dyDescent="0.25">
      <c r="X350" s="132">
        <f t="shared" si="56"/>
        <v>17</v>
      </c>
      <c r="Y350" s="132" t="str">
        <f t="shared" si="55"/>
        <v/>
      </c>
    </row>
    <row r="351" spans="24:25" x14ac:dyDescent="0.25">
      <c r="X351" s="132">
        <f t="shared" si="56"/>
        <v>17</v>
      </c>
      <c r="Y351" s="132" t="str">
        <f t="shared" si="55"/>
        <v/>
      </c>
    </row>
    <row r="352" spans="24:25" x14ac:dyDescent="0.25">
      <c r="X352" s="132">
        <f t="shared" si="56"/>
        <v>17</v>
      </c>
      <c r="Y352" s="132" t="str">
        <f t="shared" si="55"/>
        <v/>
      </c>
    </row>
    <row r="353" spans="24:25" x14ac:dyDescent="0.25">
      <c r="X353" s="132">
        <f t="shared" si="56"/>
        <v>17</v>
      </c>
      <c r="Y353" s="132" t="str">
        <f t="shared" si="55"/>
        <v/>
      </c>
    </row>
    <row r="354" spans="24:25" x14ac:dyDescent="0.25">
      <c r="X354" s="132">
        <f t="shared" si="56"/>
        <v>17</v>
      </c>
      <c r="Y354" s="132" t="str">
        <f t="shared" si="55"/>
        <v/>
      </c>
    </row>
    <row r="355" spans="24:25" x14ac:dyDescent="0.25">
      <c r="X355" s="132">
        <f t="shared" si="56"/>
        <v>17</v>
      </c>
      <c r="Y355" s="132" t="str">
        <f t="shared" si="55"/>
        <v/>
      </c>
    </row>
    <row r="356" spans="24:25" x14ac:dyDescent="0.25">
      <c r="X356" s="132">
        <f t="shared" si="56"/>
        <v>17</v>
      </c>
      <c r="Y356" s="132" t="str">
        <f t="shared" ref="Y356:Y419" si="57">INDEX($O$3:$W$50,1+INT((ROW(A354)-1)/COLUMNS($O$3:$W$50)),MOD(ROW(A354)-1+COLUMNS($O$3:$W$50),COLUMNS($O$3:$W$50))+1)</f>
        <v/>
      </c>
    </row>
    <row r="357" spans="24:25" x14ac:dyDescent="0.25">
      <c r="X357" s="132">
        <f t="shared" si="56"/>
        <v>17</v>
      </c>
      <c r="Y357" s="132" t="str">
        <f t="shared" si="57"/>
        <v/>
      </c>
    </row>
    <row r="358" spans="24:25" x14ac:dyDescent="0.25">
      <c r="X358" s="132">
        <f t="shared" si="56"/>
        <v>17</v>
      </c>
      <c r="Y358" s="132" t="str">
        <f t="shared" si="57"/>
        <v/>
      </c>
    </row>
    <row r="359" spans="24:25" x14ac:dyDescent="0.25">
      <c r="X359" s="132">
        <f t="shared" si="56"/>
        <v>17</v>
      </c>
      <c r="Y359" s="132" t="str">
        <f t="shared" si="57"/>
        <v/>
      </c>
    </row>
    <row r="360" spans="24:25" x14ac:dyDescent="0.25">
      <c r="X360" s="132">
        <f t="shared" si="56"/>
        <v>17</v>
      </c>
      <c r="Y360" s="132" t="str">
        <f t="shared" si="57"/>
        <v/>
      </c>
    </row>
    <row r="361" spans="24:25" x14ac:dyDescent="0.25">
      <c r="X361" s="132">
        <f t="shared" si="56"/>
        <v>17</v>
      </c>
      <c r="Y361" s="132" t="str">
        <f t="shared" si="57"/>
        <v/>
      </c>
    </row>
    <row r="362" spans="24:25" x14ac:dyDescent="0.25">
      <c r="X362" s="132">
        <f t="shared" si="56"/>
        <v>17</v>
      </c>
      <c r="Y362" s="132" t="str">
        <f t="shared" si="57"/>
        <v/>
      </c>
    </row>
    <row r="363" spans="24:25" x14ac:dyDescent="0.25">
      <c r="X363" s="132">
        <f t="shared" si="56"/>
        <v>17</v>
      </c>
      <c r="Y363" s="132" t="str">
        <f t="shared" si="57"/>
        <v/>
      </c>
    </row>
    <row r="364" spans="24:25" x14ac:dyDescent="0.25">
      <c r="X364" s="132">
        <f t="shared" si="56"/>
        <v>17</v>
      </c>
      <c r="Y364" s="132" t="str">
        <f t="shared" si="57"/>
        <v/>
      </c>
    </row>
    <row r="365" spans="24:25" x14ac:dyDescent="0.25">
      <c r="X365" s="132">
        <f t="shared" si="56"/>
        <v>17</v>
      </c>
      <c r="Y365" s="132" t="str">
        <f t="shared" si="57"/>
        <v/>
      </c>
    </row>
    <row r="366" spans="24:25" x14ac:dyDescent="0.25">
      <c r="X366" s="132">
        <f t="shared" si="56"/>
        <v>17</v>
      </c>
      <c r="Y366" s="132" t="str">
        <f t="shared" si="57"/>
        <v/>
      </c>
    </row>
    <row r="367" spans="24:25" x14ac:dyDescent="0.25">
      <c r="X367" s="132">
        <f t="shared" si="56"/>
        <v>17</v>
      </c>
      <c r="Y367" s="132" t="str">
        <f t="shared" si="57"/>
        <v/>
      </c>
    </row>
    <row r="368" spans="24:25" x14ac:dyDescent="0.25">
      <c r="X368" s="132">
        <f t="shared" si="56"/>
        <v>17</v>
      </c>
      <c r="Y368" s="132" t="str">
        <f t="shared" si="57"/>
        <v/>
      </c>
    </row>
    <row r="369" spans="24:25" x14ac:dyDescent="0.25">
      <c r="X369" s="132">
        <f t="shared" si="56"/>
        <v>17</v>
      </c>
      <c r="Y369" s="132" t="str">
        <f t="shared" si="57"/>
        <v/>
      </c>
    </row>
    <row r="370" spans="24:25" x14ac:dyDescent="0.25">
      <c r="X370" s="132">
        <f t="shared" si="56"/>
        <v>17</v>
      </c>
      <c r="Y370" s="132" t="str">
        <f t="shared" si="57"/>
        <v/>
      </c>
    </row>
    <row r="371" spans="24:25" x14ac:dyDescent="0.25">
      <c r="X371" s="132">
        <f t="shared" si="56"/>
        <v>17</v>
      </c>
      <c r="Y371" s="132" t="str">
        <f t="shared" si="57"/>
        <v/>
      </c>
    </row>
    <row r="372" spans="24:25" x14ac:dyDescent="0.25">
      <c r="X372" s="132">
        <f t="shared" si="56"/>
        <v>17</v>
      </c>
      <c r="Y372" s="132" t="str">
        <f t="shared" si="57"/>
        <v/>
      </c>
    </row>
    <row r="373" spans="24:25" x14ac:dyDescent="0.25">
      <c r="X373" s="132">
        <f t="shared" si="56"/>
        <v>17</v>
      </c>
      <c r="Y373" s="132" t="str">
        <f t="shared" si="57"/>
        <v/>
      </c>
    </row>
    <row r="374" spans="24:25" x14ac:dyDescent="0.25">
      <c r="X374" s="132">
        <f t="shared" si="56"/>
        <v>17</v>
      </c>
      <c r="Y374" s="132" t="str">
        <f t="shared" si="57"/>
        <v/>
      </c>
    </row>
    <row r="375" spans="24:25" x14ac:dyDescent="0.25">
      <c r="X375" s="132">
        <f t="shared" si="56"/>
        <v>17</v>
      </c>
      <c r="Y375" s="132" t="str">
        <f t="shared" si="57"/>
        <v/>
      </c>
    </row>
    <row r="376" spans="24:25" x14ac:dyDescent="0.25">
      <c r="X376" s="132">
        <f t="shared" si="56"/>
        <v>17</v>
      </c>
      <c r="Y376" s="132" t="str">
        <f t="shared" si="57"/>
        <v/>
      </c>
    </row>
    <row r="377" spans="24:25" x14ac:dyDescent="0.25">
      <c r="X377" s="132">
        <f t="shared" si="56"/>
        <v>17</v>
      </c>
      <c r="Y377" s="132" t="str">
        <f t="shared" si="57"/>
        <v/>
      </c>
    </row>
    <row r="378" spans="24:25" x14ac:dyDescent="0.25">
      <c r="X378" s="132">
        <f t="shared" si="56"/>
        <v>17</v>
      </c>
      <c r="Y378" s="132" t="str">
        <f t="shared" si="57"/>
        <v/>
      </c>
    </row>
    <row r="379" spans="24:25" x14ac:dyDescent="0.25">
      <c r="X379" s="132">
        <f t="shared" si="56"/>
        <v>17</v>
      </c>
      <c r="Y379" s="132" t="str">
        <f t="shared" si="57"/>
        <v/>
      </c>
    </row>
    <row r="380" spans="24:25" x14ac:dyDescent="0.25">
      <c r="X380" s="132">
        <f t="shared" si="56"/>
        <v>17</v>
      </c>
      <c r="Y380" s="132" t="str">
        <f t="shared" si="57"/>
        <v/>
      </c>
    </row>
    <row r="381" spans="24:25" x14ac:dyDescent="0.25">
      <c r="X381" s="132">
        <f t="shared" si="56"/>
        <v>17</v>
      </c>
      <c r="Y381" s="132" t="str">
        <f t="shared" si="57"/>
        <v/>
      </c>
    </row>
    <row r="382" spans="24:25" x14ac:dyDescent="0.25">
      <c r="X382" s="132">
        <f t="shared" si="56"/>
        <v>17</v>
      </c>
      <c r="Y382" s="132" t="str">
        <f t="shared" si="57"/>
        <v/>
      </c>
    </row>
    <row r="383" spans="24:25" x14ac:dyDescent="0.25">
      <c r="X383" s="132">
        <f t="shared" si="56"/>
        <v>17</v>
      </c>
      <c r="Y383" s="132" t="str">
        <f t="shared" si="57"/>
        <v/>
      </c>
    </row>
    <row r="384" spans="24:25" x14ac:dyDescent="0.25">
      <c r="X384" s="132">
        <f t="shared" si="56"/>
        <v>17</v>
      </c>
      <c r="Y384" s="132" t="str">
        <f t="shared" si="57"/>
        <v/>
      </c>
    </row>
    <row r="385" spans="24:25" x14ac:dyDescent="0.25">
      <c r="X385" s="132">
        <f t="shared" si="56"/>
        <v>17</v>
      </c>
      <c r="Y385" s="132" t="str">
        <f t="shared" si="57"/>
        <v/>
      </c>
    </row>
    <row r="386" spans="24:25" x14ac:dyDescent="0.25">
      <c r="X386" s="132">
        <f t="shared" si="56"/>
        <v>17</v>
      </c>
      <c r="Y386" s="132" t="str">
        <f t="shared" si="57"/>
        <v/>
      </c>
    </row>
    <row r="387" spans="24:25" x14ac:dyDescent="0.25">
      <c r="X387" s="132">
        <f t="shared" si="56"/>
        <v>17</v>
      </c>
      <c r="Y387" s="132" t="str">
        <f t="shared" si="57"/>
        <v/>
      </c>
    </row>
    <row r="388" spans="24:25" x14ac:dyDescent="0.25">
      <c r="X388" s="132">
        <f t="shared" ref="X388:X434" si="58">IF(ISNUMBER(CODE(Z388)),X387+1,X387)</f>
        <v>17</v>
      </c>
      <c r="Y388" s="132" t="str">
        <f t="shared" si="57"/>
        <v/>
      </c>
    </row>
    <row r="389" spans="24:25" x14ac:dyDescent="0.25">
      <c r="X389" s="132">
        <f t="shared" si="58"/>
        <v>17</v>
      </c>
      <c r="Y389" s="132" t="str">
        <f t="shared" si="57"/>
        <v/>
      </c>
    </row>
    <row r="390" spans="24:25" x14ac:dyDescent="0.25">
      <c r="X390" s="132">
        <f t="shared" si="58"/>
        <v>17</v>
      </c>
      <c r="Y390" s="132" t="str">
        <f t="shared" si="57"/>
        <v/>
      </c>
    </row>
    <row r="391" spans="24:25" x14ac:dyDescent="0.25">
      <c r="X391" s="132">
        <f t="shared" si="58"/>
        <v>17</v>
      </c>
      <c r="Y391" s="132" t="str">
        <f t="shared" si="57"/>
        <v/>
      </c>
    </row>
    <row r="392" spans="24:25" x14ac:dyDescent="0.25">
      <c r="X392" s="132">
        <f t="shared" si="58"/>
        <v>17</v>
      </c>
      <c r="Y392" s="132" t="str">
        <f t="shared" si="57"/>
        <v/>
      </c>
    </row>
    <row r="393" spans="24:25" x14ac:dyDescent="0.25">
      <c r="X393" s="132">
        <f t="shared" si="58"/>
        <v>17</v>
      </c>
      <c r="Y393" s="132" t="str">
        <f t="shared" si="57"/>
        <v/>
      </c>
    </row>
    <row r="394" spans="24:25" x14ac:dyDescent="0.25">
      <c r="X394" s="132">
        <f t="shared" si="58"/>
        <v>17</v>
      </c>
      <c r="Y394" s="132" t="str">
        <f t="shared" si="57"/>
        <v/>
      </c>
    </row>
    <row r="395" spans="24:25" x14ac:dyDescent="0.25">
      <c r="X395" s="132">
        <f t="shared" si="58"/>
        <v>17</v>
      </c>
      <c r="Y395" s="132" t="str">
        <f t="shared" si="57"/>
        <v/>
      </c>
    </row>
    <row r="396" spans="24:25" x14ac:dyDescent="0.25">
      <c r="X396" s="132">
        <f t="shared" si="58"/>
        <v>17</v>
      </c>
      <c r="Y396" s="132" t="str">
        <f t="shared" si="57"/>
        <v/>
      </c>
    </row>
    <row r="397" spans="24:25" x14ac:dyDescent="0.25">
      <c r="X397" s="132">
        <f t="shared" si="58"/>
        <v>17</v>
      </c>
      <c r="Y397" s="132" t="str">
        <f t="shared" si="57"/>
        <v/>
      </c>
    </row>
    <row r="398" spans="24:25" x14ac:dyDescent="0.25">
      <c r="X398" s="132">
        <f t="shared" si="58"/>
        <v>17</v>
      </c>
      <c r="Y398" s="132" t="str">
        <f t="shared" si="57"/>
        <v/>
      </c>
    </row>
    <row r="399" spans="24:25" x14ac:dyDescent="0.25">
      <c r="X399" s="132">
        <f t="shared" si="58"/>
        <v>17</v>
      </c>
      <c r="Y399" s="132" t="str">
        <f t="shared" si="57"/>
        <v/>
      </c>
    </row>
    <row r="400" spans="24:25" x14ac:dyDescent="0.25">
      <c r="X400" s="132">
        <f t="shared" si="58"/>
        <v>17</v>
      </c>
      <c r="Y400" s="132" t="str">
        <f t="shared" si="57"/>
        <v/>
      </c>
    </row>
    <row r="401" spans="24:25" x14ac:dyDescent="0.25">
      <c r="X401" s="132">
        <f t="shared" si="58"/>
        <v>17</v>
      </c>
      <c r="Y401" s="132" t="str">
        <f t="shared" si="57"/>
        <v/>
      </c>
    </row>
    <row r="402" spans="24:25" x14ac:dyDescent="0.25">
      <c r="X402" s="132">
        <f t="shared" si="58"/>
        <v>17</v>
      </c>
      <c r="Y402" s="132" t="str">
        <f t="shared" si="57"/>
        <v/>
      </c>
    </row>
    <row r="403" spans="24:25" x14ac:dyDescent="0.25">
      <c r="X403" s="132">
        <f t="shared" si="58"/>
        <v>17</v>
      </c>
      <c r="Y403" s="132" t="str">
        <f t="shared" si="57"/>
        <v/>
      </c>
    </row>
    <row r="404" spans="24:25" x14ac:dyDescent="0.25">
      <c r="X404" s="132">
        <f t="shared" si="58"/>
        <v>17</v>
      </c>
      <c r="Y404" s="132" t="str">
        <f t="shared" si="57"/>
        <v/>
      </c>
    </row>
    <row r="405" spans="24:25" x14ac:dyDescent="0.25">
      <c r="X405" s="132">
        <f t="shared" si="58"/>
        <v>17</v>
      </c>
      <c r="Y405" s="132" t="str">
        <f t="shared" si="57"/>
        <v/>
      </c>
    </row>
    <row r="406" spans="24:25" x14ac:dyDescent="0.25">
      <c r="X406" s="132">
        <f t="shared" si="58"/>
        <v>17</v>
      </c>
      <c r="Y406" s="132" t="str">
        <f t="shared" si="57"/>
        <v/>
      </c>
    </row>
    <row r="407" spans="24:25" x14ac:dyDescent="0.25">
      <c r="X407" s="132">
        <f t="shared" si="58"/>
        <v>17</v>
      </c>
      <c r="Y407" s="132" t="str">
        <f t="shared" si="57"/>
        <v/>
      </c>
    </row>
    <row r="408" spans="24:25" x14ac:dyDescent="0.25">
      <c r="X408" s="132">
        <f t="shared" si="58"/>
        <v>17</v>
      </c>
      <c r="Y408" s="132" t="str">
        <f t="shared" si="57"/>
        <v/>
      </c>
    </row>
    <row r="409" spans="24:25" x14ac:dyDescent="0.25">
      <c r="X409" s="132">
        <f t="shared" si="58"/>
        <v>17</v>
      </c>
      <c r="Y409" s="132" t="str">
        <f t="shared" si="57"/>
        <v/>
      </c>
    </row>
    <row r="410" spans="24:25" x14ac:dyDescent="0.25">
      <c r="X410" s="132">
        <f t="shared" si="58"/>
        <v>17</v>
      </c>
      <c r="Y410" s="132" t="str">
        <f t="shared" si="57"/>
        <v/>
      </c>
    </row>
    <row r="411" spans="24:25" x14ac:dyDescent="0.25">
      <c r="X411" s="132">
        <f t="shared" si="58"/>
        <v>17</v>
      </c>
      <c r="Y411" s="132" t="str">
        <f t="shared" si="57"/>
        <v/>
      </c>
    </row>
    <row r="412" spans="24:25" x14ac:dyDescent="0.25">
      <c r="X412" s="132">
        <f t="shared" si="58"/>
        <v>17</v>
      </c>
      <c r="Y412" s="132" t="str">
        <f t="shared" si="57"/>
        <v/>
      </c>
    </row>
    <row r="413" spans="24:25" x14ac:dyDescent="0.25">
      <c r="X413" s="132">
        <f t="shared" si="58"/>
        <v>17</v>
      </c>
      <c r="Y413" s="132" t="str">
        <f t="shared" si="57"/>
        <v/>
      </c>
    </row>
    <row r="414" spans="24:25" x14ac:dyDescent="0.25">
      <c r="X414" s="132">
        <f t="shared" si="58"/>
        <v>17</v>
      </c>
      <c r="Y414" s="132" t="str">
        <f t="shared" si="57"/>
        <v/>
      </c>
    </row>
    <row r="415" spans="24:25" x14ac:dyDescent="0.25">
      <c r="X415" s="132">
        <f t="shared" si="58"/>
        <v>17</v>
      </c>
      <c r="Y415" s="132" t="str">
        <f t="shared" si="57"/>
        <v/>
      </c>
    </row>
    <row r="416" spans="24:25" x14ac:dyDescent="0.25">
      <c r="X416" s="132">
        <f t="shared" si="58"/>
        <v>17</v>
      </c>
      <c r="Y416" s="132" t="str">
        <f t="shared" si="57"/>
        <v/>
      </c>
    </row>
    <row r="417" spans="24:25" x14ac:dyDescent="0.25">
      <c r="X417" s="132">
        <f t="shared" si="58"/>
        <v>17</v>
      </c>
      <c r="Y417" s="132" t="str">
        <f t="shared" si="57"/>
        <v/>
      </c>
    </row>
    <row r="418" spans="24:25" x14ac:dyDescent="0.25">
      <c r="X418" s="132">
        <f t="shared" si="58"/>
        <v>17</v>
      </c>
      <c r="Y418" s="132" t="str">
        <f t="shared" si="57"/>
        <v/>
      </c>
    </row>
    <row r="419" spans="24:25" x14ac:dyDescent="0.25">
      <c r="X419" s="132">
        <f t="shared" si="58"/>
        <v>17</v>
      </c>
      <c r="Y419" s="132" t="str">
        <f t="shared" si="57"/>
        <v/>
      </c>
    </row>
    <row r="420" spans="24:25" x14ac:dyDescent="0.25">
      <c r="X420" s="132">
        <f t="shared" si="58"/>
        <v>17</v>
      </c>
      <c r="Y420" s="132" t="str">
        <f t="shared" ref="Y420:Y434" si="59">INDEX($O$3:$W$50,1+INT((ROW(A418)-1)/COLUMNS($O$3:$W$50)),MOD(ROW(A418)-1+COLUMNS($O$3:$W$50),COLUMNS($O$3:$W$50))+1)</f>
        <v/>
      </c>
    </row>
    <row r="421" spans="24:25" x14ac:dyDescent="0.25">
      <c r="X421" s="132">
        <f t="shared" si="58"/>
        <v>17</v>
      </c>
      <c r="Y421" s="132" t="str">
        <f t="shared" si="59"/>
        <v/>
      </c>
    </row>
    <row r="422" spans="24:25" x14ac:dyDescent="0.25">
      <c r="X422" s="132">
        <f t="shared" si="58"/>
        <v>17</v>
      </c>
      <c r="Y422" s="132" t="str">
        <f t="shared" si="59"/>
        <v/>
      </c>
    </row>
    <row r="423" spans="24:25" x14ac:dyDescent="0.25">
      <c r="X423" s="132">
        <f t="shared" si="58"/>
        <v>17</v>
      </c>
      <c r="Y423" s="132" t="str">
        <f t="shared" si="59"/>
        <v/>
      </c>
    </row>
    <row r="424" spans="24:25" x14ac:dyDescent="0.25">
      <c r="X424" s="132">
        <f t="shared" si="58"/>
        <v>17</v>
      </c>
      <c r="Y424" s="132" t="str">
        <f t="shared" si="59"/>
        <v/>
      </c>
    </row>
    <row r="425" spans="24:25" x14ac:dyDescent="0.25">
      <c r="X425" s="132">
        <f t="shared" si="58"/>
        <v>17</v>
      </c>
      <c r="Y425" s="132" t="str">
        <f t="shared" si="59"/>
        <v/>
      </c>
    </row>
    <row r="426" spans="24:25" x14ac:dyDescent="0.25">
      <c r="X426" s="132">
        <f t="shared" si="58"/>
        <v>17</v>
      </c>
      <c r="Y426" s="132" t="str">
        <f t="shared" si="59"/>
        <v/>
      </c>
    </row>
    <row r="427" spans="24:25" x14ac:dyDescent="0.25">
      <c r="X427" s="132">
        <f t="shared" si="58"/>
        <v>17</v>
      </c>
      <c r="Y427" s="132" t="str">
        <f t="shared" si="59"/>
        <v/>
      </c>
    </row>
    <row r="428" spans="24:25" x14ac:dyDescent="0.25">
      <c r="X428" s="132">
        <f t="shared" si="58"/>
        <v>17</v>
      </c>
      <c r="Y428" s="132" t="str">
        <f t="shared" si="59"/>
        <v/>
      </c>
    </row>
    <row r="429" spans="24:25" x14ac:dyDescent="0.25">
      <c r="X429" s="132">
        <f t="shared" si="58"/>
        <v>17</v>
      </c>
      <c r="Y429" s="132" t="str">
        <f t="shared" si="59"/>
        <v/>
      </c>
    </row>
    <row r="430" spans="24:25" x14ac:dyDescent="0.25">
      <c r="X430" s="132">
        <f t="shared" si="58"/>
        <v>17</v>
      </c>
      <c r="Y430" s="132" t="str">
        <f t="shared" si="59"/>
        <v/>
      </c>
    </row>
    <row r="431" spans="24:25" x14ac:dyDescent="0.25">
      <c r="X431" s="132">
        <f t="shared" si="58"/>
        <v>17</v>
      </c>
      <c r="Y431" s="132" t="str">
        <f t="shared" si="59"/>
        <v/>
      </c>
    </row>
    <row r="432" spans="24:25" x14ac:dyDescent="0.25">
      <c r="X432" s="132">
        <f t="shared" si="58"/>
        <v>17</v>
      </c>
      <c r="Y432" s="132" t="str">
        <f t="shared" si="59"/>
        <v/>
      </c>
    </row>
    <row r="433" spans="24:25" x14ac:dyDescent="0.25">
      <c r="X433" s="132">
        <f t="shared" si="58"/>
        <v>17</v>
      </c>
      <c r="Y433" s="132" t="str">
        <f t="shared" si="59"/>
        <v/>
      </c>
    </row>
    <row r="434" spans="24:25" x14ac:dyDescent="0.25">
      <c r="X434" s="132">
        <f t="shared" si="58"/>
        <v>17</v>
      </c>
      <c r="Y434" s="132" t="str">
        <f t="shared" si="59"/>
        <v/>
      </c>
    </row>
  </sheetData>
  <mergeCells count="5">
    <mergeCell ref="I1:J1"/>
    <mergeCell ref="K1:L1"/>
    <mergeCell ref="H2:I2"/>
    <mergeCell ref="J2:K2"/>
    <mergeCell ref="L2:M2"/>
  </mergeCells>
  <conditionalFormatting sqref="B3:D101">
    <cfRule type="expression" dxfId="1" priority="1">
      <formula>IF($A3=1,1,0)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4"/>
  <sheetViews>
    <sheetView workbookViewId="0">
      <selection activeCell="J2" sqref="J2:K2"/>
    </sheetView>
  </sheetViews>
  <sheetFormatPr defaultRowHeight="15" x14ac:dyDescent="0.25"/>
  <cols>
    <col min="1" max="1" width="9.140625" style="5"/>
    <col min="2" max="3" width="21.5703125" style="68" bestFit="1" customWidth="1"/>
    <col min="4" max="4" width="11.140625" style="68" bestFit="1" customWidth="1"/>
    <col min="5" max="7" width="9.140625" style="2"/>
    <col min="8" max="13" width="11.85546875" customWidth="1"/>
    <col min="14" max="14" width="9.140625" style="28"/>
    <col min="15" max="17" width="9.140625" style="3"/>
    <col min="18" max="23" width="9.140625" style="3" customWidth="1"/>
    <col min="24" max="29" width="9.140625" style="3"/>
    <col min="30" max="34" width="9.140625" style="28"/>
  </cols>
  <sheetData>
    <row r="1" spans="1:28" ht="15.75" thickBot="1" x14ac:dyDescent="0.3">
      <c r="B1" s="11" t="str">
        <f>COUNTIF($E$3:$E$100,"w")&amp;"-"&amp;COUNTIF($E$3:$E$100,"l")&amp;IF(COUNTIF($E$3:$E$100,"p")&gt;0,"-"&amp;COUNTIF($E$3:$E$100,"p"),"")</f>
        <v>0-0</v>
      </c>
      <c r="C1" s="2"/>
      <c r="D1" s="2"/>
      <c r="I1" s="155" t="s">
        <v>53</v>
      </c>
      <c r="J1" s="155"/>
      <c r="K1" s="156">
        <v>0.6</v>
      </c>
      <c r="L1" s="156"/>
    </row>
    <row r="2" spans="1:28" ht="15.75" thickBot="1" x14ac:dyDescent="0.3">
      <c r="B2" s="4" t="s">
        <v>3</v>
      </c>
      <c r="C2" s="4" t="s">
        <v>1</v>
      </c>
      <c r="D2" s="4" t="s">
        <v>111</v>
      </c>
      <c r="H2" s="157" t="s">
        <v>44</v>
      </c>
      <c r="I2" s="158"/>
      <c r="J2" s="159" t="s">
        <v>45</v>
      </c>
      <c r="K2" s="159"/>
      <c r="L2" s="160" t="s">
        <v>46</v>
      </c>
      <c r="M2" s="161"/>
      <c r="O2" s="3" t="s">
        <v>54</v>
      </c>
      <c r="AA2" s="3" t="str">
        <f>IF(ISNUMBER(SEARCH("@",Y2)),Y3,"")</f>
        <v/>
      </c>
    </row>
    <row r="3" spans="1:28" ht="15.75" thickTop="1" x14ac:dyDescent="0.25">
      <c r="A3" s="5">
        <f>IF(ISNUMBER(CODE(B3)),1,0)</f>
        <v>1</v>
      </c>
      <c r="B3" s="4" t="str">
        <f>IFERROR(VLOOKUP(ROW()-2,$X$3:$AA$290,3,0),"")</f>
        <v>Colts @ Chiefs</v>
      </c>
      <c r="C3" s="4" t="str">
        <f>IFERROR(VLOOKUP(ROW()-2,$X$3:$AA$290,4,0),"")</f>
        <v>Over 57</v>
      </c>
      <c r="D3" s="36">
        <f>IFERROR(VLOOKUP(ROW()-2,$X$3:$AB$290,5,0),"")</f>
        <v>0.64266999999999996</v>
      </c>
      <c r="E3" s="2">
        <v>-110</v>
      </c>
      <c r="H3" s="14" t="s">
        <v>315</v>
      </c>
      <c r="I3" s="15" t="s">
        <v>237</v>
      </c>
      <c r="J3" s="16" t="s">
        <v>47</v>
      </c>
      <c r="K3" s="16" t="s">
        <v>48</v>
      </c>
      <c r="L3" s="17" t="s">
        <v>315</v>
      </c>
      <c r="M3" s="15" t="s">
        <v>237</v>
      </c>
      <c r="O3" s="3" t="str">
        <f>IF(J3="under",IF(HLOOKUP("Under",J3:K5,3,0)&gt;=$K$1,I3&amp;" @ "&amp;H3,IF(HLOOKUP("Over",J3:K5,3,0)&gt;=$K$1,I3&amp;" @ "&amp;H3,"")),"")</f>
        <v>Colts @ Chiefs</v>
      </c>
      <c r="P3" s="3" t="str">
        <f>IF(J3="under",IF(HLOOKUP("Under",J3:K5,3,0)&gt;=$K$1,"Under "&amp;J4,IF(HLOOKUP("Over",J3:K5,3,0)&gt;=$K$1,"Over "&amp;J4,"")),"")</f>
        <v>Over 57</v>
      </c>
      <c r="Q3" s="3">
        <f t="shared" ref="Q3:Q67" si="0">IF(J3="under",IF(HLOOKUP("Under",J3:K5,3,0)&gt;=$K$1,J5,IF(HLOOKUP("Over",J3:K5,3,0)&gt;=$K$1,K5,"")),"")</f>
        <v>0.64266999999999996</v>
      </c>
      <c r="R3" s="3" t="str">
        <f>IF(MOD(ROW(),3)=0,IF(L5&gt;=$K$1,I3&amp;" @ "&amp;H3,IF(M5&gt;=$K$1,I3&amp;" @ "&amp;H3,"")),"")</f>
        <v/>
      </c>
      <c r="S3" s="3" t="str">
        <f>IF(MOD(ROW(),3)=0,IF(L5&gt;=$K$1,L3&amp;" "&amp;L4,IF(M5&gt;=$K$1,M3&amp;" "&amp;M4,"")),"")</f>
        <v/>
      </c>
      <c r="T3" s="3" t="str">
        <f>IF(MOD(ROW(),3)=0,IF(L5&gt;=$K$1,L5,IF(M5&gt;=$K$1,M5,"")),"")</f>
        <v/>
      </c>
      <c r="U3" s="3" t="str">
        <f>IF(MOD(ROW(),3)=0,IF(H4="Dog",IF(H5&gt;=0.75,I3&amp;" @ "&amp;H3,""),IF(I5&gt;=0.75,I3&amp;" @ "&amp;H3,"")),"")</f>
        <v/>
      </c>
      <c r="V3" s="3" t="str">
        <f>IF(MOD(ROW(),3)=0,IF(H4="Dog",IF(H5&gt;=0.75,H3&amp;" Moneyline",""),IF(I5&gt;=0.75,I3&amp;" Moneyline","")),"")</f>
        <v/>
      </c>
      <c r="W3" s="3" t="str">
        <f>IF(MOD(ROW(),3)=0,IF(H4="Dog",IF(H5&gt;=0.75,H5,""),IF(I5&gt;=0.75,I5,"")),"")</f>
        <v/>
      </c>
      <c r="X3" s="3">
        <f>IF(ISNUMBER(CODE(Z3)),X2+1,X2)</f>
        <v>1</v>
      </c>
      <c r="Y3" s="3" t="str">
        <f>INDEX($O$3:$W$50,1+INT((ROW(A1)-1)/COLUMNS($O$3:$W$50)),MOD(ROW(A1)-1+COLUMNS($O$3:$W$50),COLUMNS($O$3:$W$50))+1)</f>
        <v>Colts @ Chiefs</v>
      </c>
      <c r="Z3" s="3" t="str">
        <f>IF(ISNUMBER(SEARCH("@",Y3)),Y3,"")</f>
        <v>Colts @ Chiefs</v>
      </c>
      <c r="AA3" s="3" t="str">
        <f t="shared" ref="AA3:AA66" si="1">IF(ISNUMBER(SEARCH("@",Y3)),Y4,"")</f>
        <v>Over 57</v>
      </c>
      <c r="AB3" s="3">
        <f>IF(ISNUMBER(SEARCH("@",Y3)),Y5,"")</f>
        <v>0.64266999999999996</v>
      </c>
    </row>
    <row r="4" spans="1:28" x14ac:dyDescent="0.25">
      <c r="A4" s="5">
        <f t="shared" ref="A4:A67" si="2">IF(ISNUMBER(CODE(B4)),1,0)</f>
        <v>1</v>
      </c>
      <c r="B4" s="4" t="str">
        <f t="shared" ref="B4:B67" si="3">IFERROR(VLOOKUP(ROW()-2,$X$3:$AA$290,3,0),"")</f>
        <v>Cowboys @ Rams</v>
      </c>
      <c r="C4" s="4" t="str">
        <f t="shared" ref="C4:C67" si="4">IFERROR(VLOOKUP(ROW()-2,$X$3:$AA$290,4,0),"")</f>
        <v>Over 50</v>
      </c>
      <c r="D4" s="36">
        <f t="shared" ref="D4:D67" si="5">IFERROR(VLOOKUP(ROW()-2,$X$3:$AB$290,5,0),"")</f>
        <v>0.70491000000000004</v>
      </c>
      <c r="E4" s="2">
        <v>-110</v>
      </c>
      <c r="F4" s="2">
        <v>49.5</v>
      </c>
      <c r="H4" s="18" t="s">
        <v>49</v>
      </c>
      <c r="I4" s="19" t="s">
        <v>50</v>
      </c>
      <c r="J4" s="20">
        <v>57</v>
      </c>
      <c r="K4" s="20">
        <v>57</v>
      </c>
      <c r="L4" s="21">
        <v>-5</v>
      </c>
      <c r="M4" s="22" t="s">
        <v>339</v>
      </c>
      <c r="O4" s="3" t="str">
        <f t="shared" ref="O4:O50" si="6">IF(J4="under",IF(HLOOKUP("Under",J4:K6,3,0)&gt;=$K$1,I4&amp;" @ "&amp;H4,IF(HLOOKUP("Over",J4:K6,3,0)&gt;=$K$1,I4&amp;" @ "&amp;H4,"")),"")</f>
        <v/>
      </c>
      <c r="P4" s="3" t="str">
        <f t="shared" ref="P4:P67" si="7">IF(J4="under",IF(HLOOKUP("Under",J4:K6,3,0)&gt;=$K$1,"Under "&amp;J5,IF(HLOOKUP("Over",J4:K6,3,0)&gt;=$K$1,"Over "&amp;J5,"")),"")</f>
        <v/>
      </c>
      <c r="Q4" s="3" t="str">
        <f t="shared" si="0"/>
        <v/>
      </c>
      <c r="R4" s="3" t="str">
        <f t="shared" ref="R4:R67" si="8">IF(MOD(ROW(),3)=0,IF(L6&gt;=$K$1,I4&amp;" @ "&amp;H4,IF(M6&gt;=$K$1,I4&amp;" @ "&amp;H4,"")),"")</f>
        <v/>
      </c>
      <c r="S4" s="3" t="str">
        <f t="shared" ref="S4:S50" si="9">IF(MOD(ROW(),3)=0,IF(L6&gt;=$K$1,L4&amp;" "&amp;L5,IF(M6&gt;=$K$1,M4&amp;" "&amp;M5,"")),"")</f>
        <v/>
      </c>
      <c r="T4" s="3" t="str">
        <f t="shared" ref="T4:T67" si="10">IF(MOD(ROW(),3)=0,IF(L6&gt;=$K$1,L6,IF(M6&gt;=$K$1,M6,"")),"")</f>
        <v/>
      </c>
      <c r="U4" s="3" t="str">
        <f t="shared" ref="U4:U67" si="11">IF(MOD(ROW(),3)=0,IF(H5="Dog",IF(H6&gt;=0.75,I4&amp;" @ "&amp;H4,""),IF(I6&gt;=0.75,I4&amp;" @ "&amp;H4,"")),"")</f>
        <v/>
      </c>
      <c r="V4" s="3" t="str">
        <f t="shared" ref="V4:V67" si="12">IF(MOD(ROW(),3)=0,IF(H5="Dog",IF(H6&gt;=0.75,H4&amp;" Moneyline",""),IF(I6&gt;=0.75,I4&amp;" Moneyline","")),"")</f>
        <v/>
      </c>
      <c r="W4" s="3" t="str">
        <f t="shared" ref="W4:W67" si="13">IF(MOD(ROW(),3)=0,IF(H5="Dog",IF(H6&gt;=0.75,H6,""),IF(I6&gt;=0.75,I6,"")),"")</f>
        <v/>
      </c>
      <c r="X4" s="3">
        <f t="shared" ref="X4:X67" si="14">IF(ISNUMBER(CODE(Z4)),X3+1,X3)</f>
        <v>1</v>
      </c>
      <c r="Y4" s="3" t="str">
        <f t="shared" ref="Y4:Y67" si="15">INDEX($O$3:$W$50,1+INT((ROW(A2)-1)/COLUMNS($O$3:$W$50)),MOD(ROW(A2)-1+COLUMNS($O$3:$W$50),COLUMNS($O$3:$W$50))+1)</f>
        <v>Over 57</v>
      </c>
      <c r="Z4" s="3" t="str">
        <f t="shared" ref="Z4:Z67" si="16">IF(ISNUMBER(SEARCH("@",Y4)),Y4,"")</f>
        <v/>
      </c>
      <c r="AA4" s="3" t="str">
        <f t="shared" si="1"/>
        <v/>
      </c>
      <c r="AB4" s="3" t="str">
        <f t="shared" ref="AB4:AB67" si="17">IF(ISNUMBER(SEARCH("@",Y4)),Y6,"")</f>
        <v/>
      </c>
    </row>
    <row r="5" spans="1:28" ht="15.75" thickBot="1" x14ac:dyDescent="0.3">
      <c r="A5" s="5">
        <f t="shared" si="2"/>
        <v>1</v>
      </c>
      <c r="B5" s="4" t="str">
        <f t="shared" si="3"/>
        <v>Cowboys @ Rams</v>
      </c>
      <c r="C5" s="4" t="str">
        <f t="shared" si="4"/>
        <v>Rams -7</v>
      </c>
      <c r="D5" s="36">
        <f t="shared" si="5"/>
        <v>0.85233000000000003</v>
      </c>
      <c r="E5" s="2">
        <v>-110</v>
      </c>
      <c r="H5" s="23">
        <v>0.61292000000000002</v>
      </c>
      <c r="I5" s="24">
        <v>0.38707999999999998</v>
      </c>
      <c r="J5" s="25">
        <v>0.35732999999999998</v>
      </c>
      <c r="K5" s="25">
        <v>0.64266999999999996</v>
      </c>
      <c r="L5" s="26">
        <v>0.47209000000000001</v>
      </c>
      <c r="M5" s="27">
        <v>0.52790999999999999</v>
      </c>
      <c r="O5" s="3" t="str">
        <f t="shared" si="6"/>
        <v/>
      </c>
      <c r="P5" s="3" t="str">
        <f t="shared" si="7"/>
        <v/>
      </c>
      <c r="Q5" s="3" t="str">
        <f t="shared" si="0"/>
        <v/>
      </c>
      <c r="R5" s="3" t="str">
        <f t="shared" si="8"/>
        <v/>
      </c>
      <c r="S5" s="3" t="str">
        <f t="shared" si="9"/>
        <v/>
      </c>
      <c r="T5" s="3" t="str">
        <f t="shared" si="10"/>
        <v/>
      </c>
      <c r="U5" s="3" t="str">
        <f t="shared" si="11"/>
        <v/>
      </c>
      <c r="V5" s="3" t="str">
        <f t="shared" si="12"/>
        <v/>
      </c>
      <c r="W5" s="3" t="str">
        <f t="shared" si="13"/>
        <v/>
      </c>
      <c r="X5" s="3">
        <f t="shared" si="14"/>
        <v>1</v>
      </c>
      <c r="Y5" s="3">
        <f t="shared" si="15"/>
        <v>0.64266999999999996</v>
      </c>
      <c r="Z5" s="3" t="str">
        <f t="shared" si="16"/>
        <v/>
      </c>
      <c r="AA5" s="3" t="str">
        <f t="shared" si="1"/>
        <v/>
      </c>
      <c r="AB5" s="3" t="str">
        <f t="shared" si="17"/>
        <v/>
      </c>
    </row>
    <row r="6" spans="1:28" x14ac:dyDescent="0.25">
      <c r="A6" s="5">
        <f t="shared" si="2"/>
        <v>1</v>
      </c>
      <c r="B6" s="4" t="str">
        <f t="shared" si="3"/>
        <v>Chargers @ Patriots</v>
      </c>
      <c r="C6" s="4" t="str">
        <f t="shared" si="4"/>
        <v>Over 47.5</v>
      </c>
      <c r="D6" s="36">
        <f t="shared" si="5"/>
        <v>0.92264000000000002</v>
      </c>
      <c r="E6" s="2">
        <v>-115</v>
      </c>
      <c r="H6" s="14" t="s">
        <v>316</v>
      </c>
      <c r="I6" s="15" t="s">
        <v>43</v>
      </c>
      <c r="J6" s="16" t="s">
        <v>47</v>
      </c>
      <c r="K6" s="16" t="s">
        <v>48</v>
      </c>
      <c r="L6" s="17" t="s">
        <v>316</v>
      </c>
      <c r="M6" s="15" t="s">
        <v>43</v>
      </c>
      <c r="O6" s="3" t="str">
        <f t="shared" si="6"/>
        <v>Cowboys @ Rams</v>
      </c>
      <c r="P6" s="3" t="str">
        <f t="shared" si="7"/>
        <v>Over 50</v>
      </c>
      <c r="Q6" s="3">
        <f t="shared" si="0"/>
        <v>0.70491000000000004</v>
      </c>
      <c r="R6" s="3" t="str">
        <f t="shared" si="8"/>
        <v>Cowboys @ Rams</v>
      </c>
      <c r="S6" s="3" t="str">
        <f t="shared" si="9"/>
        <v>Rams -7</v>
      </c>
      <c r="T6" s="3">
        <f t="shared" si="10"/>
        <v>0.85233000000000003</v>
      </c>
      <c r="U6" s="3" t="str">
        <f t="shared" si="11"/>
        <v/>
      </c>
      <c r="V6" s="3" t="str">
        <f t="shared" si="12"/>
        <v/>
      </c>
      <c r="W6" s="3" t="str">
        <f t="shared" si="13"/>
        <v/>
      </c>
      <c r="X6" s="3">
        <f t="shared" si="14"/>
        <v>1</v>
      </c>
      <c r="Y6" s="3" t="str">
        <f t="shared" si="15"/>
        <v/>
      </c>
      <c r="Z6" s="3" t="str">
        <f t="shared" si="16"/>
        <v/>
      </c>
      <c r="AA6" s="3" t="str">
        <f t="shared" si="1"/>
        <v/>
      </c>
      <c r="AB6" s="3" t="str">
        <f t="shared" si="17"/>
        <v/>
      </c>
    </row>
    <row r="7" spans="1:28" x14ac:dyDescent="0.25">
      <c r="A7" s="5">
        <f t="shared" si="2"/>
        <v>1</v>
      </c>
      <c r="B7" s="4" t="str">
        <f t="shared" si="3"/>
        <v>Eagles @ Saints</v>
      </c>
      <c r="C7" s="4" t="str">
        <f t="shared" si="4"/>
        <v>Over 51</v>
      </c>
      <c r="D7" s="36">
        <f t="shared" si="5"/>
        <v>0.74058999999999997</v>
      </c>
      <c r="E7" s="2">
        <v>-110</v>
      </c>
      <c r="H7" s="18" t="s">
        <v>49</v>
      </c>
      <c r="I7" s="19" t="s">
        <v>50</v>
      </c>
      <c r="J7" s="20">
        <v>50</v>
      </c>
      <c r="K7" s="20">
        <v>50</v>
      </c>
      <c r="L7" s="21">
        <v>-7</v>
      </c>
      <c r="M7" s="22" t="s">
        <v>373</v>
      </c>
      <c r="O7" s="3" t="str">
        <f t="shared" si="6"/>
        <v/>
      </c>
      <c r="P7" s="3" t="str">
        <f t="shared" si="7"/>
        <v/>
      </c>
      <c r="Q7" s="3" t="str">
        <f t="shared" si="0"/>
        <v/>
      </c>
      <c r="R7" s="3" t="str">
        <f t="shared" si="8"/>
        <v/>
      </c>
      <c r="S7" s="3" t="str">
        <f t="shared" si="9"/>
        <v/>
      </c>
      <c r="T7" s="3" t="str">
        <f t="shared" si="10"/>
        <v/>
      </c>
      <c r="U7" s="3" t="str">
        <f t="shared" si="11"/>
        <v/>
      </c>
      <c r="V7" s="3" t="str">
        <f t="shared" si="12"/>
        <v/>
      </c>
      <c r="W7" s="3" t="str">
        <f t="shared" si="13"/>
        <v/>
      </c>
      <c r="X7" s="3">
        <f t="shared" si="14"/>
        <v>1</v>
      </c>
      <c r="Y7" s="3" t="str">
        <f t="shared" si="15"/>
        <v/>
      </c>
      <c r="Z7" s="3" t="str">
        <f t="shared" si="16"/>
        <v/>
      </c>
      <c r="AA7" s="3" t="str">
        <f t="shared" si="1"/>
        <v/>
      </c>
      <c r="AB7" s="3" t="str">
        <f t="shared" si="17"/>
        <v/>
      </c>
    </row>
    <row r="8" spans="1:28" ht="15.75" thickBot="1" x14ac:dyDescent="0.3">
      <c r="A8" s="5">
        <f t="shared" si="2"/>
        <v>1</v>
      </c>
      <c r="B8" s="4" t="str">
        <f t="shared" si="3"/>
        <v>Eagles @ Saints</v>
      </c>
      <c r="C8" s="4" t="str">
        <f t="shared" si="4"/>
        <v>Saints -8</v>
      </c>
      <c r="D8" s="36">
        <f t="shared" si="5"/>
        <v>0.65608</v>
      </c>
      <c r="E8" s="2">
        <v>-105</v>
      </c>
      <c r="H8" s="23">
        <v>0.95089999999999997</v>
      </c>
      <c r="I8" s="24">
        <v>4.9099999999999998E-2</v>
      </c>
      <c r="J8" s="25">
        <v>0.29509000000000002</v>
      </c>
      <c r="K8" s="25">
        <v>0.70491000000000004</v>
      </c>
      <c r="L8" s="26">
        <v>0.85233000000000003</v>
      </c>
      <c r="M8" s="27">
        <v>0.14767</v>
      </c>
      <c r="O8" s="3" t="str">
        <f t="shared" si="6"/>
        <v/>
      </c>
      <c r="P8" s="3" t="str">
        <f t="shared" si="7"/>
        <v/>
      </c>
      <c r="Q8" s="3" t="str">
        <f t="shared" si="0"/>
        <v/>
      </c>
      <c r="R8" s="3" t="str">
        <f t="shared" si="8"/>
        <v/>
      </c>
      <c r="S8" s="3" t="str">
        <f t="shared" si="9"/>
        <v/>
      </c>
      <c r="T8" s="3" t="str">
        <f t="shared" si="10"/>
        <v/>
      </c>
      <c r="U8" s="3" t="str">
        <f t="shared" si="11"/>
        <v/>
      </c>
      <c r="V8" s="3" t="str">
        <f t="shared" si="12"/>
        <v/>
      </c>
      <c r="W8" s="3" t="str">
        <f t="shared" si="13"/>
        <v/>
      </c>
      <c r="X8" s="3">
        <f t="shared" si="14"/>
        <v>1</v>
      </c>
      <c r="Y8" s="3" t="str">
        <f t="shared" si="15"/>
        <v/>
      </c>
      <c r="Z8" s="3" t="str">
        <f t="shared" si="16"/>
        <v/>
      </c>
      <c r="AA8" s="3" t="str">
        <f t="shared" si="1"/>
        <v/>
      </c>
      <c r="AB8" s="3" t="str">
        <f t="shared" si="17"/>
        <v/>
      </c>
    </row>
    <row r="9" spans="1:28" x14ac:dyDescent="0.25">
      <c r="A9" s="5">
        <f t="shared" si="2"/>
        <v>0</v>
      </c>
      <c r="B9" s="4" t="str">
        <f t="shared" si="3"/>
        <v/>
      </c>
      <c r="C9" s="4" t="str">
        <f t="shared" si="4"/>
        <v/>
      </c>
      <c r="D9" s="36" t="str">
        <f t="shared" si="5"/>
        <v/>
      </c>
      <c r="H9" s="14" t="s">
        <v>317</v>
      </c>
      <c r="I9" s="15" t="s">
        <v>8</v>
      </c>
      <c r="J9" s="16" t="s">
        <v>47</v>
      </c>
      <c r="K9" s="16" t="s">
        <v>48</v>
      </c>
      <c r="L9" s="17" t="s">
        <v>317</v>
      </c>
      <c r="M9" s="15" t="s">
        <v>8</v>
      </c>
      <c r="O9" s="3" t="str">
        <f t="shared" si="6"/>
        <v>Chargers @ Patriots</v>
      </c>
      <c r="P9" s="3" t="str">
        <f t="shared" si="7"/>
        <v>Over 47.5</v>
      </c>
      <c r="Q9" s="3">
        <f t="shared" si="0"/>
        <v>0.92264000000000002</v>
      </c>
      <c r="R9" s="3" t="str">
        <f t="shared" si="8"/>
        <v/>
      </c>
      <c r="S9" s="3" t="str">
        <f t="shared" si="9"/>
        <v/>
      </c>
      <c r="T9" s="3" t="str">
        <f t="shared" si="10"/>
        <v/>
      </c>
      <c r="U9" s="3" t="str">
        <f t="shared" si="11"/>
        <v/>
      </c>
      <c r="V9" s="3" t="str">
        <f t="shared" si="12"/>
        <v/>
      </c>
      <c r="W9" s="3" t="str">
        <f t="shared" si="13"/>
        <v/>
      </c>
      <c r="X9" s="3">
        <f t="shared" si="14"/>
        <v>1</v>
      </c>
      <c r="Y9" s="3" t="str">
        <f t="shared" si="15"/>
        <v/>
      </c>
      <c r="Z9" s="3" t="str">
        <f t="shared" si="16"/>
        <v/>
      </c>
      <c r="AA9" s="3" t="str">
        <f t="shared" si="1"/>
        <v/>
      </c>
      <c r="AB9" s="3" t="str">
        <f t="shared" si="17"/>
        <v/>
      </c>
    </row>
    <row r="10" spans="1:28" x14ac:dyDescent="0.25">
      <c r="A10" s="5">
        <f t="shared" si="2"/>
        <v>0</v>
      </c>
      <c r="B10" s="4" t="str">
        <f t="shared" si="3"/>
        <v/>
      </c>
      <c r="C10" s="4" t="str">
        <f t="shared" si="4"/>
        <v/>
      </c>
      <c r="D10" s="36" t="str">
        <f t="shared" si="5"/>
        <v/>
      </c>
      <c r="H10" s="18" t="s">
        <v>49</v>
      </c>
      <c r="I10" s="19" t="s">
        <v>50</v>
      </c>
      <c r="J10" s="20">
        <v>47.5</v>
      </c>
      <c r="K10" s="20">
        <v>47.5</v>
      </c>
      <c r="L10" s="21">
        <v>-4</v>
      </c>
      <c r="M10" s="22" t="s">
        <v>374</v>
      </c>
      <c r="O10" s="3" t="str">
        <f t="shared" si="6"/>
        <v/>
      </c>
      <c r="P10" s="3" t="str">
        <f t="shared" si="7"/>
        <v/>
      </c>
      <c r="Q10" s="3" t="str">
        <f t="shared" si="0"/>
        <v/>
      </c>
      <c r="R10" s="3" t="str">
        <f t="shared" si="8"/>
        <v/>
      </c>
      <c r="S10" s="3" t="str">
        <f t="shared" si="9"/>
        <v/>
      </c>
      <c r="T10" s="3" t="str">
        <f t="shared" si="10"/>
        <v/>
      </c>
      <c r="U10" s="3" t="str">
        <f t="shared" si="11"/>
        <v/>
      </c>
      <c r="V10" s="3" t="str">
        <f t="shared" si="12"/>
        <v/>
      </c>
      <c r="W10" s="3" t="str">
        <f t="shared" si="13"/>
        <v/>
      </c>
      <c r="X10" s="3">
        <f t="shared" si="14"/>
        <v>1</v>
      </c>
      <c r="Y10" s="3" t="str">
        <f t="shared" si="15"/>
        <v/>
      </c>
      <c r="Z10" s="3" t="str">
        <f t="shared" si="16"/>
        <v/>
      </c>
      <c r="AA10" s="3" t="str">
        <f t="shared" si="1"/>
        <v/>
      </c>
      <c r="AB10" s="3" t="str">
        <f t="shared" si="17"/>
        <v/>
      </c>
    </row>
    <row r="11" spans="1:28" ht="15.75" thickBot="1" x14ac:dyDescent="0.3">
      <c r="A11" s="5">
        <f t="shared" si="2"/>
        <v>0</v>
      </c>
      <c r="B11" s="4" t="str">
        <f t="shared" si="3"/>
        <v/>
      </c>
      <c r="C11" s="4" t="str">
        <f t="shared" si="4"/>
        <v/>
      </c>
      <c r="D11" s="36" t="str">
        <f t="shared" si="5"/>
        <v/>
      </c>
      <c r="H11" s="23">
        <v>0.70684999999999998</v>
      </c>
      <c r="I11" s="24">
        <v>0.29315000000000002</v>
      </c>
      <c r="J11" s="25">
        <v>7.7359999999999998E-2</v>
      </c>
      <c r="K11" s="25">
        <v>0.92264000000000002</v>
      </c>
      <c r="L11" s="26">
        <v>0.53641000000000005</v>
      </c>
      <c r="M11" s="27">
        <v>0.46359</v>
      </c>
      <c r="O11" s="3" t="str">
        <f t="shared" si="6"/>
        <v/>
      </c>
      <c r="P11" s="3" t="str">
        <f t="shared" si="7"/>
        <v/>
      </c>
      <c r="Q11" s="3" t="str">
        <f t="shared" si="0"/>
        <v/>
      </c>
      <c r="R11" s="3" t="str">
        <f t="shared" si="8"/>
        <v/>
      </c>
      <c r="S11" s="3" t="str">
        <f t="shared" si="9"/>
        <v/>
      </c>
      <c r="T11" s="3" t="str">
        <f t="shared" si="10"/>
        <v/>
      </c>
      <c r="U11" s="3" t="str">
        <f t="shared" si="11"/>
        <v/>
      </c>
      <c r="V11" s="3" t="str">
        <f t="shared" si="12"/>
        <v/>
      </c>
      <c r="W11" s="3" t="str">
        <f t="shared" si="13"/>
        <v/>
      </c>
      <c r="X11" s="3">
        <f t="shared" si="14"/>
        <v>1</v>
      </c>
      <c r="Y11" s="3" t="str">
        <f t="shared" si="15"/>
        <v/>
      </c>
      <c r="Z11" s="3" t="str">
        <f t="shared" si="16"/>
        <v/>
      </c>
      <c r="AA11" s="3" t="str">
        <f t="shared" si="1"/>
        <v/>
      </c>
      <c r="AB11" s="3" t="str">
        <f t="shared" si="17"/>
        <v/>
      </c>
    </row>
    <row r="12" spans="1:28" x14ac:dyDescent="0.25">
      <c r="A12" s="5">
        <f t="shared" si="2"/>
        <v>0</v>
      </c>
      <c r="B12" s="4" t="str">
        <f t="shared" si="3"/>
        <v/>
      </c>
      <c r="C12" s="4" t="str">
        <f t="shared" si="4"/>
        <v/>
      </c>
      <c r="D12" s="36" t="str">
        <f t="shared" si="5"/>
        <v/>
      </c>
      <c r="H12" s="14" t="s">
        <v>318</v>
      </c>
      <c r="I12" s="15" t="s">
        <v>9</v>
      </c>
      <c r="J12" s="16" t="s">
        <v>47</v>
      </c>
      <c r="K12" s="16" t="s">
        <v>48</v>
      </c>
      <c r="L12" s="17" t="s">
        <v>318</v>
      </c>
      <c r="M12" s="15" t="s">
        <v>9</v>
      </c>
      <c r="O12" s="3" t="str">
        <f t="shared" si="6"/>
        <v>Eagles @ Saints</v>
      </c>
      <c r="P12" s="3" t="str">
        <f t="shared" si="7"/>
        <v>Over 51</v>
      </c>
      <c r="Q12" s="3">
        <f t="shared" si="0"/>
        <v>0.74058999999999997</v>
      </c>
      <c r="R12" s="3" t="str">
        <f t="shared" si="8"/>
        <v>Eagles @ Saints</v>
      </c>
      <c r="S12" s="3" t="str">
        <f t="shared" si="9"/>
        <v>Saints -8</v>
      </c>
      <c r="T12" s="3">
        <f t="shared" si="10"/>
        <v>0.65608</v>
      </c>
      <c r="U12" s="3" t="str">
        <f t="shared" si="11"/>
        <v/>
      </c>
      <c r="V12" s="3" t="str">
        <f t="shared" si="12"/>
        <v/>
      </c>
      <c r="W12" s="3" t="str">
        <f t="shared" si="13"/>
        <v/>
      </c>
      <c r="X12" s="3">
        <f t="shared" si="14"/>
        <v>1</v>
      </c>
      <c r="Y12" s="3" t="str">
        <f t="shared" si="15"/>
        <v/>
      </c>
      <c r="Z12" s="3" t="str">
        <f t="shared" si="16"/>
        <v/>
      </c>
      <c r="AA12" s="3" t="str">
        <f t="shared" si="1"/>
        <v/>
      </c>
      <c r="AB12" s="3" t="str">
        <f t="shared" si="17"/>
        <v/>
      </c>
    </row>
    <row r="13" spans="1:28" x14ac:dyDescent="0.25">
      <c r="A13" s="5">
        <f t="shared" si="2"/>
        <v>0</v>
      </c>
      <c r="B13" s="4" t="str">
        <f t="shared" si="3"/>
        <v/>
      </c>
      <c r="C13" s="4" t="str">
        <f t="shared" si="4"/>
        <v/>
      </c>
      <c r="D13" s="36" t="str">
        <f t="shared" si="5"/>
        <v/>
      </c>
      <c r="H13" s="18" t="s">
        <v>49</v>
      </c>
      <c r="I13" s="19" t="s">
        <v>50</v>
      </c>
      <c r="J13" s="20">
        <v>51</v>
      </c>
      <c r="K13" s="20">
        <v>51</v>
      </c>
      <c r="L13" s="21">
        <v>-8</v>
      </c>
      <c r="M13" s="22" t="s">
        <v>348</v>
      </c>
      <c r="O13" s="3" t="str">
        <f t="shared" si="6"/>
        <v/>
      </c>
      <c r="P13" s="3" t="str">
        <f t="shared" si="7"/>
        <v/>
      </c>
      <c r="Q13" s="3" t="str">
        <f t="shared" si="0"/>
        <v/>
      </c>
      <c r="R13" s="3" t="str">
        <f t="shared" si="8"/>
        <v/>
      </c>
      <c r="S13" s="3" t="str">
        <f t="shared" si="9"/>
        <v/>
      </c>
      <c r="T13" s="3" t="str">
        <f t="shared" si="10"/>
        <v/>
      </c>
      <c r="U13" s="3" t="str">
        <f t="shared" si="11"/>
        <v/>
      </c>
      <c r="V13" s="3" t="str">
        <f t="shared" si="12"/>
        <v/>
      </c>
      <c r="W13" s="3" t="str">
        <f t="shared" si="13"/>
        <v/>
      </c>
      <c r="X13" s="3">
        <f t="shared" si="14"/>
        <v>1</v>
      </c>
      <c r="Y13" s="3" t="str">
        <f t="shared" si="15"/>
        <v/>
      </c>
      <c r="Z13" s="3" t="str">
        <f t="shared" si="16"/>
        <v/>
      </c>
      <c r="AA13" s="3" t="str">
        <f t="shared" si="1"/>
        <v/>
      </c>
      <c r="AB13" s="3" t="str">
        <f t="shared" si="17"/>
        <v/>
      </c>
    </row>
    <row r="14" spans="1:28" ht="15.75" thickBot="1" x14ac:dyDescent="0.3">
      <c r="A14" s="5">
        <f t="shared" si="2"/>
        <v>0</v>
      </c>
      <c r="B14" s="4" t="str">
        <f t="shared" si="3"/>
        <v/>
      </c>
      <c r="C14" s="4" t="str">
        <f t="shared" si="4"/>
        <v/>
      </c>
      <c r="D14" s="36" t="str">
        <f t="shared" si="5"/>
        <v/>
      </c>
      <c r="H14" s="23">
        <v>0.86028000000000004</v>
      </c>
      <c r="I14" s="24">
        <v>0.13972000000000001</v>
      </c>
      <c r="J14" s="25">
        <v>0.25940999999999997</v>
      </c>
      <c r="K14" s="25">
        <v>0.74058999999999997</v>
      </c>
      <c r="L14" s="26">
        <v>0.65608</v>
      </c>
      <c r="M14" s="27">
        <v>0.34392</v>
      </c>
      <c r="O14" s="3" t="str">
        <f t="shared" si="6"/>
        <v/>
      </c>
      <c r="P14" s="3" t="str">
        <f t="shared" si="7"/>
        <v/>
      </c>
      <c r="Q14" s="3" t="str">
        <f t="shared" si="0"/>
        <v/>
      </c>
      <c r="R14" s="3" t="str">
        <f t="shared" si="8"/>
        <v/>
      </c>
      <c r="S14" s="3" t="str">
        <f t="shared" si="9"/>
        <v/>
      </c>
      <c r="T14" s="3" t="str">
        <f t="shared" si="10"/>
        <v/>
      </c>
      <c r="U14" s="3" t="str">
        <f t="shared" si="11"/>
        <v/>
      </c>
      <c r="V14" s="3" t="str">
        <f t="shared" si="12"/>
        <v/>
      </c>
      <c r="W14" s="3" t="str">
        <f t="shared" si="13"/>
        <v/>
      </c>
      <c r="X14" s="3">
        <f t="shared" si="14"/>
        <v>1</v>
      </c>
      <c r="Y14" s="3" t="str">
        <f t="shared" si="15"/>
        <v/>
      </c>
      <c r="Z14" s="3" t="str">
        <f t="shared" si="16"/>
        <v/>
      </c>
      <c r="AA14" s="3" t="str">
        <f t="shared" si="1"/>
        <v/>
      </c>
      <c r="AB14" s="3" t="str">
        <f t="shared" si="17"/>
        <v/>
      </c>
    </row>
    <row r="15" spans="1:28" x14ac:dyDescent="0.25">
      <c r="A15" s="5">
        <f t="shared" si="2"/>
        <v>0</v>
      </c>
      <c r="B15" s="4" t="str">
        <f t="shared" si="3"/>
        <v/>
      </c>
      <c r="C15" s="4" t="str">
        <f t="shared" si="4"/>
        <v/>
      </c>
      <c r="D15" s="36" t="str">
        <f t="shared" si="5"/>
        <v/>
      </c>
      <c r="O15" s="3" t="str">
        <f t="shared" si="6"/>
        <v/>
      </c>
      <c r="P15" s="3" t="str">
        <f t="shared" si="7"/>
        <v/>
      </c>
      <c r="Q15" s="3" t="str">
        <f t="shared" si="0"/>
        <v/>
      </c>
      <c r="R15" s="3" t="str">
        <f t="shared" si="8"/>
        <v/>
      </c>
      <c r="S15" s="3" t="str">
        <f t="shared" si="9"/>
        <v/>
      </c>
      <c r="T15" s="3" t="str">
        <f t="shared" si="10"/>
        <v/>
      </c>
      <c r="U15" s="3" t="str">
        <f t="shared" si="11"/>
        <v/>
      </c>
      <c r="V15" s="3" t="str">
        <f t="shared" si="12"/>
        <v/>
      </c>
      <c r="W15" s="3" t="str">
        <f t="shared" si="13"/>
        <v/>
      </c>
      <c r="X15" s="3">
        <f t="shared" si="14"/>
        <v>1</v>
      </c>
      <c r="Y15" s="3" t="str">
        <f t="shared" si="15"/>
        <v/>
      </c>
      <c r="Z15" s="3" t="str">
        <f t="shared" si="16"/>
        <v/>
      </c>
      <c r="AA15" s="3" t="str">
        <f t="shared" si="1"/>
        <v/>
      </c>
      <c r="AB15" s="3" t="str">
        <f t="shared" si="17"/>
        <v/>
      </c>
    </row>
    <row r="16" spans="1:28" x14ac:dyDescent="0.25">
      <c r="A16" s="5">
        <f t="shared" si="2"/>
        <v>0</v>
      </c>
      <c r="B16" s="4" t="str">
        <f t="shared" si="3"/>
        <v/>
      </c>
      <c r="C16" s="4" t="str">
        <f t="shared" si="4"/>
        <v/>
      </c>
      <c r="D16" s="36" t="str">
        <f t="shared" si="5"/>
        <v/>
      </c>
      <c r="O16" s="3" t="str">
        <f t="shared" si="6"/>
        <v/>
      </c>
      <c r="P16" s="3" t="str">
        <f t="shared" si="7"/>
        <v/>
      </c>
      <c r="Q16" s="3" t="str">
        <f t="shared" si="0"/>
        <v/>
      </c>
      <c r="R16" s="3" t="str">
        <f t="shared" si="8"/>
        <v/>
      </c>
      <c r="S16" s="3" t="str">
        <f t="shared" si="9"/>
        <v/>
      </c>
      <c r="T16" s="3" t="str">
        <f t="shared" si="10"/>
        <v/>
      </c>
      <c r="U16" s="3" t="str">
        <f t="shared" si="11"/>
        <v/>
      </c>
      <c r="V16" s="3" t="str">
        <f t="shared" si="12"/>
        <v/>
      </c>
      <c r="W16" s="3" t="str">
        <f t="shared" si="13"/>
        <v/>
      </c>
      <c r="X16" s="3">
        <f t="shared" si="14"/>
        <v>1</v>
      </c>
      <c r="Y16" s="3" t="str">
        <f t="shared" si="15"/>
        <v/>
      </c>
      <c r="Z16" s="3" t="str">
        <f t="shared" si="16"/>
        <v/>
      </c>
      <c r="AA16" s="3" t="str">
        <f t="shared" si="1"/>
        <v/>
      </c>
      <c r="AB16" s="3" t="str">
        <f t="shared" si="17"/>
        <v/>
      </c>
    </row>
    <row r="17" spans="1:28" x14ac:dyDescent="0.25">
      <c r="A17" s="5">
        <f t="shared" si="2"/>
        <v>0</v>
      </c>
      <c r="B17" s="4" t="str">
        <f t="shared" si="3"/>
        <v/>
      </c>
      <c r="C17" s="4" t="str">
        <f t="shared" si="4"/>
        <v/>
      </c>
      <c r="D17" s="36" t="str">
        <f t="shared" si="5"/>
        <v/>
      </c>
      <c r="O17" s="3" t="str">
        <f t="shared" si="6"/>
        <v/>
      </c>
      <c r="P17" s="3" t="str">
        <f t="shared" si="7"/>
        <v/>
      </c>
      <c r="Q17" s="3" t="str">
        <f t="shared" si="0"/>
        <v/>
      </c>
      <c r="R17" s="3" t="str">
        <f t="shared" si="8"/>
        <v/>
      </c>
      <c r="S17" s="3" t="str">
        <f t="shared" si="9"/>
        <v/>
      </c>
      <c r="T17" s="3" t="str">
        <f t="shared" si="10"/>
        <v/>
      </c>
      <c r="U17" s="3" t="str">
        <f t="shared" si="11"/>
        <v/>
      </c>
      <c r="V17" s="3" t="str">
        <f t="shared" si="12"/>
        <v/>
      </c>
      <c r="W17" s="3" t="str">
        <f t="shared" si="13"/>
        <v/>
      </c>
      <c r="X17" s="3">
        <f t="shared" si="14"/>
        <v>1</v>
      </c>
      <c r="Y17" s="3" t="str">
        <f t="shared" si="15"/>
        <v/>
      </c>
      <c r="Z17" s="3" t="str">
        <f t="shared" si="16"/>
        <v/>
      </c>
      <c r="AA17" s="3" t="str">
        <f t="shared" si="1"/>
        <v/>
      </c>
      <c r="AB17" s="3" t="str">
        <f t="shared" si="17"/>
        <v/>
      </c>
    </row>
    <row r="18" spans="1:28" x14ac:dyDescent="0.25">
      <c r="A18" s="5">
        <f t="shared" si="2"/>
        <v>0</v>
      </c>
      <c r="B18" s="4" t="str">
        <f t="shared" si="3"/>
        <v/>
      </c>
      <c r="C18" s="4" t="str">
        <f t="shared" si="4"/>
        <v/>
      </c>
      <c r="D18" s="36" t="str">
        <f t="shared" si="5"/>
        <v/>
      </c>
      <c r="O18" s="3" t="str">
        <f t="shared" si="6"/>
        <v/>
      </c>
      <c r="P18" s="3" t="str">
        <f t="shared" si="7"/>
        <v/>
      </c>
      <c r="Q18" s="3" t="str">
        <f t="shared" si="0"/>
        <v/>
      </c>
      <c r="R18" s="3" t="str">
        <f t="shared" si="8"/>
        <v/>
      </c>
      <c r="S18" s="3" t="str">
        <f t="shared" si="9"/>
        <v/>
      </c>
      <c r="T18" s="3" t="str">
        <f t="shared" si="10"/>
        <v/>
      </c>
      <c r="U18" s="3" t="str">
        <f t="shared" si="11"/>
        <v/>
      </c>
      <c r="V18" s="3" t="str">
        <f t="shared" si="12"/>
        <v/>
      </c>
      <c r="W18" s="3" t="str">
        <f t="shared" si="13"/>
        <v/>
      </c>
      <c r="X18" s="3">
        <f t="shared" si="14"/>
        <v>1</v>
      </c>
      <c r="Y18" s="3" t="str">
        <f t="shared" si="15"/>
        <v/>
      </c>
      <c r="Z18" s="3" t="str">
        <f t="shared" si="16"/>
        <v/>
      </c>
      <c r="AA18" s="3" t="str">
        <f t="shared" si="1"/>
        <v/>
      </c>
      <c r="AB18" s="3" t="str">
        <f t="shared" si="17"/>
        <v/>
      </c>
    </row>
    <row r="19" spans="1:28" x14ac:dyDescent="0.25">
      <c r="A19" s="5">
        <f t="shared" si="2"/>
        <v>0</v>
      </c>
      <c r="B19" s="4" t="str">
        <f t="shared" si="3"/>
        <v/>
      </c>
      <c r="C19" s="4" t="str">
        <f t="shared" si="4"/>
        <v/>
      </c>
      <c r="D19" s="36" t="str">
        <f t="shared" si="5"/>
        <v/>
      </c>
      <c r="O19" s="3" t="str">
        <f t="shared" si="6"/>
        <v/>
      </c>
      <c r="P19" s="3" t="str">
        <f t="shared" si="7"/>
        <v/>
      </c>
      <c r="Q19" s="3" t="str">
        <f t="shared" si="0"/>
        <v/>
      </c>
      <c r="R19" s="3" t="str">
        <f t="shared" si="8"/>
        <v/>
      </c>
      <c r="S19" s="3" t="str">
        <f t="shared" si="9"/>
        <v/>
      </c>
      <c r="T19" s="3" t="str">
        <f t="shared" si="10"/>
        <v/>
      </c>
      <c r="U19" s="3" t="str">
        <f t="shared" si="11"/>
        <v/>
      </c>
      <c r="V19" s="3" t="str">
        <f t="shared" si="12"/>
        <v/>
      </c>
      <c r="W19" s="3" t="str">
        <f t="shared" si="13"/>
        <v/>
      </c>
      <c r="X19" s="3">
        <f t="shared" si="14"/>
        <v>1</v>
      </c>
      <c r="Y19" s="3" t="str">
        <f t="shared" si="15"/>
        <v/>
      </c>
      <c r="Z19" s="3" t="str">
        <f t="shared" si="16"/>
        <v/>
      </c>
      <c r="AA19" s="3" t="str">
        <f t="shared" si="1"/>
        <v/>
      </c>
      <c r="AB19" s="3" t="str">
        <f t="shared" si="17"/>
        <v/>
      </c>
    </row>
    <row r="20" spans="1:28" x14ac:dyDescent="0.25">
      <c r="A20" s="5">
        <f t="shared" si="2"/>
        <v>0</v>
      </c>
      <c r="B20" s="4" t="str">
        <f t="shared" si="3"/>
        <v/>
      </c>
      <c r="C20" s="4" t="str">
        <f t="shared" si="4"/>
        <v/>
      </c>
      <c r="D20" s="36" t="str">
        <f t="shared" si="5"/>
        <v/>
      </c>
      <c r="O20" s="3" t="str">
        <f t="shared" si="6"/>
        <v/>
      </c>
      <c r="P20" s="3" t="str">
        <f t="shared" si="7"/>
        <v/>
      </c>
      <c r="Q20" s="3" t="str">
        <f t="shared" si="0"/>
        <v/>
      </c>
      <c r="R20" s="3" t="str">
        <f t="shared" si="8"/>
        <v/>
      </c>
      <c r="S20" s="3" t="str">
        <f t="shared" si="9"/>
        <v/>
      </c>
      <c r="T20" s="3" t="str">
        <f t="shared" si="10"/>
        <v/>
      </c>
      <c r="U20" s="3" t="str">
        <f t="shared" si="11"/>
        <v/>
      </c>
      <c r="V20" s="3" t="str">
        <f t="shared" si="12"/>
        <v/>
      </c>
      <c r="W20" s="3" t="str">
        <f t="shared" si="13"/>
        <v/>
      </c>
      <c r="X20" s="3">
        <f t="shared" si="14"/>
        <v>1</v>
      </c>
      <c r="Y20" s="3" t="str">
        <f t="shared" si="15"/>
        <v/>
      </c>
      <c r="Z20" s="3" t="str">
        <f t="shared" si="16"/>
        <v/>
      </c>
      <c r="AA20" s="3" t="str">
        <f t="shared" si="1"/>
        <v/>
      </c>
      <c r="AB20" s="3" t="str">
        <f t="shared" si="17"/>
        <v/>
      </c>
    </row>
    <row r="21" spans="1:28" x14ac:dyDescent="0.25">
      <c r="A21" s="5">
        <f t="shared" si="2"/>
        <v>0</v>
      </c>
      <c r="B21" s="4" t="str">
        <f t="shared" si="3"/>
        <v/>
      </c>
      <c r="C21" s="4" t="str">
        <f t="shared" si="4"/>
        <v/>
      </c>
      <c r="D21" s="36" t="str">
        <f t="shared" si="5"/>
        <v/>
      </c>
      <c r="O21" s="3" t="str">
        <f t="shared" si="6"/>
        <v/>
      </c>
      <c r="P21" s="3" t="str">
        <f t="shared" si="7"/>
        <v/>
      </c>
      <c r="Q21" s="3" t="str">
        <f t="shared" si="0"/>
        <v/>
      </c>
      <c r="R21" s="3" t="str">
        <f t="shared" si="8"/>
        <v/>
      </c>
      <c r="S21" s="3" t="str">
        <f t="shared" si="9"/>
        <v/>
      </c>
      <c r="T21" s="3" t="str">
        <f t="shared" si="10"/>
        <v/>
      </c>
      <c r="U21" s="3" t="str">
        <f t="shared" si="11"/>
        <v/>
      </c>
      <c r="V21" s="3" t="str">
        <f t="shared" si="12"/>
        <v/>
      </c>
      <c r="W21" s="3" t="str">
        <f t="shared" si="13"/>
        <v/>
      </c>
      <c r="X21" s="3">
        <f t="shared" si="14"/>
        <v>1</v>
      </c>
      <c r="Y21" s="3" t="str">
        <f t="shared" si="15"/>
        <v/>
      </c>
      <c r="Z21" s="3" t="str">
        <f t="shared" si="16"/>
        <v/>
      </c>
      <c r="AA21" s="3" t="str">
        <f t="shared" si="1"/>
        <v/>
      </c>
      <c r="AB21" s="3" t="str">
        <f t="shared" si="17"/>
        <v/>
      </c>
    </row>
    <row r="22" spans="1:28" x14ac:dyDescent="0.25">
      <c r="A22" s="5">
        <f t="shared" si="2"/>
        <v>0</v>
      </c>
      <c r="B22" s="4" t="str">
        <f t="shared" si="3"/>
        <v/>
      </c>
      <c r="C22" s="4" t="str">
        <f t="shared" si="4"/>
        <v/>
      </c>
      <c r="D22" s="36" t="str">
        <f t="shared" si="5"/>
        <v/>
      </c>
      <c r="O22" s="3" t="str">
        <f t="shared" si="6"/>
        <v/>
      </c>
      <c r="P22" s="3" t="str">
        <f t="shared" si="7"/>
        <v/>
      </c>
      <c r="Q22" s="3" t="str">
        <f t="shared" si="0"/>
        <v/>
      </c>
      <c r="R22" s="3" t="str">
        <f t="shared" si="8"/>
        <v/>
      </c>
      <c r="S22" s="3" t="str">
        <f t="shared" si="9"/>
        <v/>
      </c>
      <c r="T22" s="3" t="str">
        <f t="shared" si="10"/>
        <v/>
      </c>
      <c r="U22" s="3" t="str">
        <f t="shared" si="11"/>
        <v/>
      </c>
      <c r="V22" s="3" t="str">
        <f t="shared" si="12"/>
        <v/>
      </c>
      <c r="W22" s="3" t="str">
        <f t="shared" si="13"/>
        <v/>
      </c>
      <c r="X22" s="3">
        <f t="shared" si="14"/>
        <v>1</v>
      </c>
      <c r="Y22" s="3" t="str">
        <f t="shared" si="15"/>
        <v/>
      </c>
      <c r="Z22" s="3" t="str">
        <f t="shared" si="16"/>
        <v/>
      </c>
      <c r="AA22" s="3" t="str">
        <f t="shared" si="1"/>
        <v/>
      </c>
      <c r="AB22" s="3" t="str">
        <f t="shared" si="17"/>
        <v/>
      </c>
    </row>
    <row r="23" spans="1:28" x14ac:dyDescent="0.25">
      <c r="A23" s="5">
        <f t="shared" si="2"/>
        <v>0</v>
      </c>
      <c r="B23" s="4" t="str">
        <f t="shared" si="3"/>
        <v/>
      </c>
      <c r="C23" s="4" t="str">
        <f t="shared" si="4"/>
        <v/>
      </c>
      <c r="D23" s="36" t="str">
        <f t="shared" si="5"/>
        <v/>
      </c>
      <c r="O23" s="3" t="str">
        <f t="shared" si="6"/>
        <v/>
      </c>
      <c r="P23" s="3" t="str">
        <f t="shared" si="7"/>
        <v/>
      </c>
      <c r="Q23" s="3" t="str">
        <f t="shared" si="0"/>
        <v/>
      </c>
      <c r="R23" s="3" t="str">
        <f t="shared" si="8"/>
        <v/>
      </c>
      <c r="S23" s="3" t="str">
        <f t="shared" si="9"/>
        <v/>
      </c>
      <c r="T23" s="3" t="str">
        <f t="shared" si="10"/>
        <v/>
      </c>
      <c r="U23" s="3" t="str">
        <f t="shared" si="11"/>
        <v/>
      </c>
      <c r="V23" s="3" t="str">
        <f t="shared" si="12"/>
        <v/>
      </c>
      <c r="W23" s="3" t="str">
        <f t="shared" si="13"/>
        <v/>
      </c>
      <c r="X23" s="3">
        <f t="shared" si="14"/>
        <v>1</v>
      </c>
      <c r="Y23" s="3" t="str">
        <f t="shared" si="15"/>
        <v/>
      </c>
      <c r="Z23" s="3" t="str">
        <f t="shared" si="16"/>
        <v/>
      </c>
      <c r="AA23" s="3" t="str">
        <f t="shared" si="1"/>
        <v/>
      </c>
      <c r="AB23" s="3" t="str">
        <f t="shared" si="17"/>
        <v/>
      </c>
    </row>
    <row r="24" spans="1:28" x14ac:dyDescent="0.25">
      <c r="A24" s="5">
        <f t="shared" si="2"/>
        <v>0</v>
      </c>
      <c r="B24" s="4" t="str">
        <f t="shared" si="3"/>
        <v/>
      </c>
      <c r="C24" s="4" t="str">
        <f t="shared" si="4"/>
        <v/>
      </c>
      <c r="D24" s="36" t="str">
        <f t="shared" si="5"/>
        <v/>
      </c>
      <c r="E24" s="11"/>
      <c r="O24" s="3" t="str">
        <f t="shared" si="6"/>
        <v/>
      </c>
      <c r="P24" s="3" t="str">
        <f t="shared" si="7"/>
        <v/>
      </c>
      <c r="Q24" s="3" t="str">
        <f t="shared" si="0"/>
        <v/>
      </c>
      <c r="R24" s="3" t="str">
        <f t="shared" si="8"/>
        <v/>
      </c>
      <c r="S24" s="3" t="str">
        <f t="shared" si="9"/>
        <v/>
      </c>
      <c r="T24" s="3" t="str">
        <f t="shared" si="10"/>
        <v/>
      </c>
      <c r="U24" s="3" t="str">
        <f t="shared" si="11"/>
        <v/>
      </c>
      <c r="V24" s="3" t="str">
        <f t="shared" si="12"/>
        <v/>
      </c>
      <c r="W24" s="3" t="str">
        <f t="shared" si="13"/>
        <v/>
      </c>
      <c r="X24" s="3">
        <f t="shared" si="14"/>
        <v>1</v>
      </c>
      <c r="Y24" s="3" t="str">
        <f t="shared" si="15"/>
        <v/>
      </c>
      <c r="Z24" s="3" t="str">
        <f t="shared" si="16"/>
        <v/>
      </c>
      <c r="AA24" s="3" t="str">
        <f t="shared" si="1"/>
        <v/>
      </c>
      <c r="AB24" s="3" t="str">
        <f t="shared" si="17"/>
        <v/>
      </c>
    </row>
    <row r="25" spans="1:28" x14ac:dyDescent="0.25">
      <c r="A25" s="5">
        <f t="shared" si="2"/>
        <v>0</v>
      </c>
      <c r="B25" s="4" t="str">
        <f t="shared" si="3"/>
        <v/>
      </c>
      <c r="C25" s="4" t="str">
        <f t="shared" si="4"/>
        <v/>
      </c>
      <c r="D25" s="36" t="str">
        <f t="shared" si="5"/>
        <v/>
      </c>
      <c r="O25" s="3" t="str">
        <f t="shared" si="6"/>
        <v/>
      </c>
      <c r="P25" s="3" t="str">
        <f t="shared" si="7"/>
        <v/>
      </c>
      <c r="Q25" s="3" t="str">
        <f t="shared" si="0"/>
        <v/>
      </c>
      <c r="R25" s="3" t="str">
        <f t="shared" si="8"/>
        <v/>
      </c>
      <c r="S25" s="3" t="str">
        <f t="shared" si="9"/>
        <v/>
      </c>
      <c r="T25" s="3" t="str">
        <f t="shared" si="10"/>
        <v/>
      </c>
      <c r="U25" s="3" t="str">
        <f t="shared" si="11"/>
        <v/>
      </c>
      <c r="V25" s="3" t="str">
        <f t="shared" si="12"/>
        <v/>
      </c>
      <c r="W25" s="3" t="str">
        <f t="shared" si="13"/>
        <v/>
      </c>
      <c r="X25" s="3">
        <f t="shared" si="14"/>
        <v>1</v>
      </c>
      <c r="Y25" s="3" t="str">
        <f t="shared" si="15"/>
        <v/>
      </c>
      <c r="Z25" s="3" t="str">
        <f t="shared" si="16"/>
        <v/>
      </c>
      <c r="AA25" s="3" t="str">
        <f t="shared" si="1"/>
        <v/>
      </c>
      <c r="AB25" s="3" t="str">
        <f t="shared" si="17"/>
        <v/>
      </c>
    </row>
    <row r="26" spans="1:28" x14ac:dyDescent="0.25">
      <c r="A26" s="5">
        <f t="shared" si="2"/>
        <v>0</v>
      </c>
      <c r="B26" s="4" t="str">
        <f t="shared" si="3"/>
        <v/>
      </c>
      <c r="C26" s="4" t="str">
        <f t="shared" si="4"/>
        <v/>
      </c>
      <c r="D26" s="35" t="str">
        <f t="shared" si="5"/>
        <v/>
      </c>
      <c r="O26" s="3" t="str">
        <f t="shared" si="6"/>
        <v/>
      </c>
      <c r="P26" s="3" t="str">
        <f t="shared" si="7"/>
        <v/>
      </c>
      <c r="Q26" s="3" t="str">
        <f t="shared" si="0"/>
        <v/>
      </c>
      <c r="R26" s="3" t="str">
        <f t="shared" si="8"/>
        <v/>
      </c>
      <c r="S26" s="3" t="str">
        <f t="shared" si="9"/>
        <v/>
      </c>
      <c r="T26" s="3" t="str">
        <f t="shared" si="10"/>
        <v/>
      </c>
      <c r="U26" s="3" t="str">
        <f t="shared" si="11"/>
        <v/>
      </c>
      <c r="V26" s="3" t="str">
        <f t="shared" si="12"/>
        <v/>
      </c>
      <c r="W26" s="3" t="str">
        <f t="shared" si="13"/>
        <v/>
      </c>
      <c r="X26" s="3">
        <f t="shared" si="14"/>
        <v>1</v>
      </c>
      <c r="Y26" s="3" t="str">
        <f t="shared" si="15"/>
        <v/>
      </c>
      <c r="Z26" s="3" t="str">
        <f t="shared" si="16"/>
        <v/>
      </c>
      <c r="AA26" s="3" t="str">
        <f t="shared" si="1"/>
        <v/>
      </c>
      <c r="AB26" s="3" t="str">
        <f t="shared" si="17"/>
        <v/>
      </c>
    </row>
    <row r="27" spans="1:28" x14ac:dyDescent="0.25">
      <c r="A27" s="5">
        <f t="shared" si="2"/>
        <v>0</v>
      </c>
      <c r="B27" s="4" t="str">
        <f t="shared" si="3"/>
        <v/>
      </c>
      <c r="C27" s="4" t="str">
        <f t="shared" si="4"/>
        <v/>
      </c>
      <c r="D27" s="35" t="str">
        <f t="shared" si="5"/>
        <v/>
      </c>
      <c r="O27" s="3" t="str">
        <f t="shared" si="6"/>
        <v/>
      </c>
      <c r="P27" s="3" t="str">
        <f t="shared" si="7"/>
        <v/>
      </c>
      <c r="Q27" s="3" t="str">
        <f t="shared" si="0"/>
        <v/>
      </c>
      <c r="R27" s="3" t="str">
        <f t="shared" si="8"/>
        <v/>
      </c>
      <c r="S27" s="3" t="str">
        <f t="shared" si="9"/>
        <v/>
      </c>
      <c r="T27" s="3" t="str">
        <f t="shared" si="10"/>
        <v/>
      </c>
      <c r="U27" s="3" t="str">
        <f t="shared" si="11"/>
        <v/>
      </c>
      <c r="V27" s="3" t="str">
        <f t="shared" si="12"/>
        <v/>
      </c>
      <c r="W27" s="3" t="str">
        <f t="shared" si="13"/>
        <v/>
      </c>
      <c r="X27" s="3">
        <f t="shared" si="14"/>
        <v>1</v>
      </c>
      <c r="Y27" s="3" t="str">
        <f t="shared" si="15"/>
        <v/>
      </c>
      <c r="Z27" s="3" t="str">
        <f t="shared" si="16"/>
        <v/>
      </c>
      <c r="AA27" s="3" t="str">
        <f t="shared" si="1"/>
        <v/>
      </c>
      <c r="AB27" s="3" t="str">
        <f t="shared" si="17"/>
        <v/>
      </c>
    </row>
    <row r="28" spans="1:28" x14ac:dyDescent="0.25">
      <c r="A28" s="5">
        <f t="shared" si="2"/>
        <v>0</v>
      </c>
      <c r="B28" s="4" t="str">
        <f t="shared" si="3"/>
        <v/>
      </c>
      <c r="C28" s="4" t="str">
        <f t="shared" si="4"/>
        <v/>
      </c>
      <c r="D28" s="35" t="str">
        <f t="shared" si="5"/>
        <v/>
      </c>
      <c r="O28" s="3" t="str">
        <f t="shared" si="6"/>
        <v/>
      </c>
      <c r="P28" s="3" t="str">
        <f t="shared" si="7"/>
        <v/>
      </c>
      <c r="Q28" s="3" t="str">
        <f t="shared" si="0"/>
        <v/>
      </c>
      <c r="R28" s="3" t="str">
        <f t="shared" si="8"/>
        <v/>
      </c>
      <c r="S28" s="3" t="str">
        <f t="shared" si="9"/>
        <v/>
      </c>
      <c r="T28" s="3" t="str">
        <f t="shared" si="10"/>
        <v/>
      </c>
      <c r="U28" s="3" t="str">
        <f t="shared" si="11"/>
        <v/>
      </c>
      <c r="V28" s="3" t="str">
        <f t="shared" si="12"/>
        <v/>
      </c>
      <c r="W28" s="3" t="str">
        <f t="shared" si="13"/>
        <v/>
      </c>
      <c r="X28" s="3">
        <f t="shared" si="14"/>
        <v>1</v>
      </c>
      <c r="Y28" s="3" t="str">
        <f t="shared" si="15"/>
        <v/>
      </c>
      <c r="Z28" s="3" t="str">
        <f t="shared" si="16"/>
        <v/>
      </c>
      <c r="AA28" s="3" t="str">
        <f t="shared" si="1"/>
        <v/>
      </c>
      <c r="AB28" s="3" t="str">
        <f t="shared" si="17"/>
        <v/>
      </c>
    </row>
    <row r="29" spans="1:28" x14ac:dyDescent="0.25">
      <c r="A29" s="5">
        <f t="shared" si="2"/>
        <v>0</v>
      </c>
      <c r="B29" s="4" t="str">
        <f t="shared" si="3"/>
        <v/>
      </c>
      <c r="C29" s="4" t="str">
        <f t="shared" si="4"/>
        <v/>
      </c>
      <c r="D29" s="35" t="str">
        <f t="shared" si="5"/>
        <v/>
      </c>
      <c r="O29" s="3" t="str">
        <f t="shared" si="6"/>
        <v/>
      </c>
      <c r="P29" s="3" t="str">
        <f t="shared" si="7"/>
        <v/>
      </c>
      <c r="Q29" s="3" t="str">
        <f t="shared" si="0"/>
        <v/>
      </c>
      <c r="R29" s="3" t="str">
        <f t="shared" si="8"/>
        <v/>
      </c>
      <c r="S29" s="3" t="str">
        <f t="shared" si="9"/>
        <v/>
      </c>
      <c r="T29" s="3" t="str">
        <f t="shared" si="10"/>
        <v/>
      </c>
      <c r="U29" s="3" t="str">
        <f t="shared" si="11"/>
        <v/>
      </c>
      <c r="V29" s="3" t="str">
        <f t="shared" si="12"/>
        <v/>
      </c>
      <c r="W29" s="3" t="str">
        <f t="shared" si="13"/>
        <v/>
      </c>
      <c r="X29" s="3">
        <f t="shared" si="14"/>
        <v>1</v>
      </c>
      <c r="Y29" s="3" t="str">
        <f t="shared" si="15"/>
        <v/>
      </c>
      <c r="Z29" s="3" t="str">
        <f t="shared" si="16"/>
        <v/>
      </c>
      <c r="AA29" s="3" t="str">
        <f t="shared" si="1"/>
        <v/>
      </c>
      <c r="AB29" s="3" t="str">
        <f t="shared" si="17"/>
        <v/>
      </c>
    </row>
    <row r="30" spans="1:28" x14ac:dyDescent="0.25">
      <c r="A30" s="5">
        <f t="shared" si="2"/>
        <v>0</v>
      </c>
      <c r="B30" s="4" t="str">
        <f t="shared" si="3"/>
        <v/>
      </c>
      <c r="C30" s="4" t="str">
        <f t="shared" si="4"/>
        <v/>
      </c>
      <c r="D30" s="35" t="str">
        <f t="shared" si="5"/>
        <v/>
      </c>
      <c r="O30" s="3" t="str">
        <f t="shared" si="6"/>
        <v/>
      </c>
      <c r="P30" s="3" t="str">
        <f t="shared" si="7"/>
        <v/>
      </c>
      <c r="Q30" s="3" t="str">
        <f t="shared" si="0"/>
        <v/>
      </c>
      <c r="R30" s="3" t="str">
        <f t="shared" si="8"/>
        <v/>
      </c>
      <c r="S30" s="3" t="str">
        <f t="shared" si="9"/>
        <v/>
      </c>
      <c r="T30" s="3" t="str">
        <f t="shared" si="10"/>
        <v/>
      </c>
      <c r="U30" s="3" t="str">
        <f t="shared" si="11"/>
        <v/>
      </c>
      <c r="V30" s="3" t="str">
        <f t="shared" si="12"/>
        <v/>
      </c>
      <c r="W30" s="3" t="str">
        <f t="shared" si="13"/>
        <v/>
      </c>
      <c r="X30" s="3">
        <f t="shared" si="14"/>
        <v>2</v>
      </c>
      <c r="Y30" s="3" t="str">
        <f t="shared" si="15"/>
        <v>Cowboys @ Rams</v>
      </c>
      <c r="Z30" s="3" t="str">
        <f t="shared" si="16"/>
        <v>Cowboys @ Rams</v>
      </c>
      <c r="AA30" s="3" t="str">
        <f t="shared" si="1"/>
        <v>Over 50</v>
      </c>
      <c r="AB30" s="3">
        <f t="shared" si="17"/>
        <v>0.70491000000000004</v>
      </c>
    </row>
    <row r="31" spans="1:28" x14ac:dyDescent="0.25">
      <c r="A31" s="5">
        <f t="shared" si="2"/>
        <v>0</v>
      </c>
      <c r="B31" s="4" t="str">
        <f t="shared" si="3"/>
        <v/>
      </c>
      <c r="C31" s="4" t="str">
        <f t="shared" si="4"/>
        <v/>
      </c>
      <c r="D31" s="35" t="str">
        <f t="shared" si="5"/>
        <v/>
      </c>
      <c r="O31" s="3" t="str">
        <f t="shared" si="6"/>
        <v/>
      </c>
      <c r="P31" s="3" t="str">
        <f t="shared" si="7"/>
        <v/>
      </c>
      <c r="Q31" s="3" t="str">
        <f t="shared" si="0"/>
        <v/>
      </c>
      <c r="R31" s="3" t="str">
        <f t="shared" si="8"/>
        <v/>
      </c>
      <c r="S31" s="3" t="str">
        <f t="shared" si="9"/>
        <v/>
      </c>
      <c r="T31" s="3" t="str">
        <f t="shared" si="10"/>
        <v/>
      </c>
      <c r="U31" s="3" t="str">
        <f t="shared" si="11"/>
        <v/>
      </c>
      <c r="V31" s="3" t="str">
        <f t="shared" si="12"/>
        <v/>
      </c>
      <c r="W31" s="3" t="str">
        <f t="shared" si="13"/>
        <v/>
      </c>
      <c r="X31" s="3">
        <f t="shared" si="14"/>
        <v>2</v>
      </c>
      <c r="Y31" s="3" t="str">
        <f t="shared" si="15"/>
        <v>Over 50</v>
      </c>
      <c r="Z31" s="3" t="str">
        <f t="shared" si="16"/>
        <v/>
      </c>
      <c r="AA31" s="3" t="str">
        <f t="shared" si="1"/>
        <v/>
      </c>
      <c r="AB31" s="3" t="str">
        <f t="shared" si="17"/>
        <v/>
      </c>
    </row>
    <row r="32" spans="1:28" x14ac:dyDescent="0.25">
      <c r="A32" s="5">
        <f t="shared" si="2"/>
        <v>0</v>
      </c>
      <c r="B32" s="4" t="str">
        <f t="shared" si="3"/>
        <v/>
      </c>
      <c r="C32" s="4" t="str">
        <f t="shared" si="4"/>
        <v/>
      </c>
      <c r="D32" s="35" t="str">
        <f t="shared" si="5"/>
        <v/>
      </c>
      <c r="O32" s="3" t="str">
        <f t="shared" si="6"/>
        <v/>
      </c>
      <c r="P32" s="3" t="str">
        <f t="shared" si="7"/>
        <v/>
      </c>
      <c r="Q32" s="3" t="str">
        <f t="shared" si="0"/>
        <v/>
      </c>
      <c r="R32" s="3" t="str">
        <f t="shared" si="8"/>
        <v/>
      </c>
      <c r="S32" s="3" t="str">
        <f t="shared" si="9"/>
        <v/>
      </c>
      <c r="T32" s="3" t="str">
        <f t="shared" si="10"/>
        <v/>
      </c>
      <c r="U32" s="3" t="str">
        <f t="shared" si="11"/>
        <v/>
      </c>
      <c r="V32" s="3" t="str">
        <f t="shared" si="12"/>
        <v/>
      </c>
      <c r="W32" s="3" t="str">
        <f t="shared" si="13"/>
        <v/>
      </c>
      <c r="X32" s="3">
        <f t="shared" si="14"/>
        <v>2</v>
      </c>
      <c r="Y32" s="3">
        <f t="shared" si="15"/>
        <v>0.70491000000000004</v>
      </c>
      <c r="Z32" s="3" t="str">
        <f t="shared" si="16"/>
        <v/>
      </c>
      <c r="AA32" s="3" t="str">
        <f t="shared" si="1"/>
        <v/>
      </c>
      <c r="AB32" s="3" t="str">
        <f t="shared" si="17"/>
        <v/>
      </c>
    </row>
    <row r="33" spans="1:28" x14ac:dyDescent="0.25">
      <c r="A33" s="5">
        <f t="shared" si="2"/>
        <v>0</v>
      </c>
      <c r="B33" s="4" t="str">
        <f t="shared" si="3"/>
        <v/>
      </c>
      <c r="C33" s="4" t="str">
        <f t="shared" si="4"/>
        <v/>
      </c>
      <c r="D33" s="35" t="str">
        <f t="shared" si="5"/>
        <v/>
      </c>
      <c r="O33" s="3" t="str">
        <f t="shared" si="6"/>
        <v/>
      </c>
      <c r="P33" s="3" t="str">
        <f t="shared" si="7"/>
        <v/>
      </c>
      <c r="Q33" s="3" t="str">
        <f t="shared" si="0"/>
        <v/>
      </c>
      <c r="R33" s="3" t="str">
        <f t="shared" si="8"/>
        <v/>
      </c>
      <c r="S33" s="3" t="str">
        <f t="shared" si="9"/>
        <v/>
      </c>
      <c r="T33" s="3" t="str">
        <f t="shared" si="10"/>
        <v/>
      </c>
      <c r="U33" s="3" t="str">
        <f t="shared" si="11"/>
        <v/>
      </c>
      <c r="V33" s="3" t="str">
        <f t="shared" si="12"/>
        <v/>
      </c>
      <c r="W33" s="3" t="str">
        <f t="shared" si="13"/>
        <v/>
      </c>
      <c r="X33" s="3">
        <f t="shared" si="14"/>
        <v>3</v>
      </c>
      <c r="Y33" s="3" t="str">
        <f t="shared" si="15"/>
        <v>Cowboys @ Rams</v>
      </c>
      <c r="Z33" s="3" t="str">
        <f t="shared" si="16"/>
        <v>Cowboys @ Rams</v>
      </c>
      <c r="AA33" s="3" t="str">
        <f t="shared" si="1"/>
        <v>Rams -7</v>
      </c>
      <c r="AB33" s="3">
        <f t="shared" si="17"/>
        <v>0.85233000000000003</v>
      </c>
    </row>
    <row r="34" spans="1:28" x14ac:dyDescent="0.25">
      <c r="A34" s="5">
        <f t="shared" si="2"/>
        <v>0</v>
      </c>
      <c r="B34" s="4" t="str">
        <f t="shared" si="3"/>
        <v/>
      </c>
      <c r="C34" s="4" t="str">
        <f t="shared" si="4"/>
        <v/>
      </c>
      <c r="D34" s="35" t="str">
        <f t="shared" si="5"/>
        <v/>
      </c>
      <c r="O34" s="3" t="str">
        <f t="shared" si="6"/>
        <v/>
      </c>
      <c r="P34" s="3" t="str">
        <f t="shared" si="7"/>
        <v/>
      </c>
      <c r="Q34" s="3" t="str">
        <f t="shared" si="0"/>
        <v/>
      </c>
      <c r="R34" s="3" t="str">
        <f t="shared" si="8"/>
        <v/>
      </c>
      <c r="S34" s="3" t="str">
        <f t="shared" si="9"/>
        <v/>
      </c>
      <c r="T34" s="3" t="str">
        <f t="shared" si="10"/>
        <v/>
      </c>
      <c r="U34" s="3" t="str">
        <f t="shared" si="11"/>
        <v/>
      </c>
      <c r="V34" s="3" t="str">
        <f t="shared" si="12"/>
        <v/>
      </c>
      <c r="W34" s="3" t="str">
        <f t="shared" si="13"/>
        <v/>
      </c>
      <c r="X34" s="3">
        <f t="shared" si="14"/>
        <v>3</v>
      </c>
      <c r="Y34" s="3" t="str">
        <f t="shared" si="15"/>
        <v>Rams -7</v>
      </c>
      <c r="Z34" s="3" t="str">
        <f t="shared" si="16"/>
        <v/>
      </c>
      <c r="AA34" s="3" t="str">
        <f t="shared" si="1"/>
        <v/>
      </c>
      <c r="AB34" s="3" t="str">
        <f t="shared" si="17"/>
        <v/>
      </c>
    </row>
    <row r="35" spans="1:28" x14ac:dyDescent="0.25">
      <c r="A35" s="5">
        <f t="shared" si="2"/>
        <v>0</v>
      </c>
      <c r="B35" s="4" t="str">
        <f t="shared" si="3"/>
        <v/>
      </c>
      <c r="C35" s="4" t="str">
        <f t="shared" si="4"/>
        <v/>
      </c>
      <c r="D35" s="35" t="str">
        <f t="shared" si="5"/>
        <v/>
      </c>
      <c r="O35" s="3" t="str">
        <f t="shared" si="6"/>
        <v/>
      </c>
      <c r="P35" s="3" t="str">
        <f t="shared" si="7"/>
        <v/>
      </c>
      <c r="Q35" s="3" t="str">
        <f t="shared" si="0"/>
        <v/>
      </c>
      <c r="R35" s="3" t="str">
        <f t="shared" si="8"/>
        <v/>
      </c>
      <c r="S35" s="3" t="str">
        <f t="shared" si="9"/>
        <v/>
      </c>
      <c r="T35" s="3" t="str">
        <f t="shared" si="10"/>
        <v/>
      </c>
      <c r="U35" s="3" t="str">
        <f t="shared" si="11"/>
        <v/>
      </c>
      <c r="V35" s="3" t="str">
        <f t="shared" si="12"/>
        <v/>
      </c>
      <c r="W35" s="3" t="str">
        <f t="shared" si="13"/>
        <v/>
      </c>
      <c r="X35" s="3">
        <f t="shared" si="14"/>
        <v>3</v>
      </c>
      <c r="Y35" s="3">
        <f t="shared" si="15"/>
        <v>0.85233000000000003</v>
      </c>
      <c r="Z35" s="3" t="str">
        <f t="shared" si="16"/>
        <v/>
      </c>
      <c r="AA35" s="3" t="str">
        <f t="shared" si="1"/>
        <v/>
      </c>
      <c r="AB35" s="3" t="str">
        <f t="shared" si="17"/>
        <v/>
      </c>
    </row>
    <row r="36" spans="1:28" x14ac:dyDescent="0.25">
      <c r="A36" s="5">
        <f t="shared" si="2"/>
        <v>0</v>
      </c>
      <c r="B36" s="4" t="str">
        <f t="shared" si="3"/>
        <v/>
      </c>
      <c r="C36" s="4" t="str">
        <f t="shared" si="4"/>
        <v/>
      </c>
      <c r="D36" s="35" t="str">
        <f t="shared" si="5"/>
        <v/>
      </c>
      <c r="O36" s="3" t="str">
        <f t="shared" si="6"/>
        <v/>
      </c>
      <c r="P36" s="3" t="str">
        <f t="shared" si="7"/>
        <v/>
      </c>
      <c r="Q36" s="3" t="str">
        <f t="shared" si="0"/>
        <v/>
      </c>
      <c r="R36" s="3" t="str">
        <f t="shared" si="8"/>
        <v/>
      </c>
      <c r="S36" s="3" t="str">
        <f t="shared" si="9"/>
        <v/>
      </c>
      <c r="T36" s="3" t="str">
        <f t="shared" si="10"/>
        <v/>
      </c>
      <c r="U36" s="3" t="str">
        <f t="shared" si="11"/>
        <v/>
      </c>
      <c r="V36" s="3" t="str">
        <f t="shared" si="12"/>
        <v/>
      </c>
      <c r="W36" s="3" t="str">
        <f t="shared" si="13"/>
        <v/>
      </c>
      <c r="X36" s="3">
        <f t="shared" si="14"/>
        <v>3</v>
      </c>
      <c r="Y36" s="3" t="str">
        <f t="shared" si="15"/>
        <v/>
      </c>
      <c r="Z36" s="3" t="str">
        <f t="shared" si="16"/>
        <v/>
      </c>
      <c r="AA36" s="3" t="str">
        <f t="shared" si="1"/>
        <v/>
      </c>
      <c r="AB36" s="3" t="str">
        <f t="shared" si="17"/>
        <v/>
      </c>
    </row>
    <row r="37" spans="1:28" x14ac:dyDescent="0.25">
      <c r="A37" s="5">
        <f t="shared" si="2"/>
        <v>0</v>
      </c>
      <c r="B37" s="4" t="str">
        <f t="shared" si="3"/>
        <v/>
      </c>
      <c r="C37" s="4" t="str">
        <f t="shared" si="4"/>
        <v/>
      </c>
      <c r="D37" s="35" t="str">
        <f t="shared" si="5"/>
        <v/>
      </c>
      <c r="O37" s="3" t="str">
        <f t="shared" si="6"/>
        <v/>
      </c>
      <c r="P37" s="3" t="str">
        <f t="shared" si="7"/>
        <v/>
      </c>
      <c r="Q37" s="3" t="str">
        <f t="shared" si="0"/>
        <v/>
      </c>
      <c r="R37" s="3" t="str">
        <f t="shared" si="8"/>
        <v/>
      </c>
      <c r="S37" s="3" t="str">
        <f t="shared" si="9"/>
        <v/>
      </c>
      <c r="T37" s="3" t="str">
        <f t="shared" si="10"/>
        <v/>
      </c>
      <c r="U37" s="3" t="str">
        <f t="shared" si="11"/>
        <v/>
      </c>
      <c r="V37" s="3" t="str">
        <f t="shared" si="12"/>
        <v/>
      </c>
      <c r="W37" s="3" t="str">
        <f t="shared" si="13"/>
        <v/>
      </c>
      <c r="X37" s="3">
        <f t="shared" si="14"/>
        <v>3</v>
      </c>
      <c r="Y37" s="3" t="str">
        <f t="shared" si="15"/>
        <v/>
      </c>
      <c r="Z37" s="3" t="str">
        <f t="shared" si="16"/>
        <v/>
      </c>
      <c r="AA37" s="3" t="str">
        <f t="shared" si="1"/>
        <v/>
      </c>
      <c r="AB37" s="3" t="str">
        <f t="shared" si="17"/>
        <v/>
      </c>
    </row>
    <row r="38" spans="1:28" x14ac:dyDescent="0.25">
      <c r="A38" s="5">
        <f t="shared" si="2"/>
        <v>0</v>
      </c>
      <c r="B38" s="4" t="str">
        <f t="shared" si="3"/>
        <v/>
      </c>
      <c r="C38" s="4" t="str">
        <f t="shared" si="4"/>
        <v/>
      </c>
      <c r="D38" s="35" t="str">
        <f t="shared" si="5"/>
        <v/>
      </c>
      <c r="O38" s="3" t="str">
        <f t="shared" si="6"/>
        <v/>
      </c>
      <c r="P38" s="3" t="str">
        <f t="shared" si="7"/>
        <v/>
      </c>
      <c r="Q38" s="3" t="str">
        <f t="shared" si="0"/>
        <v/>
      </c>
      <c r="R38" s="3" t="str">
        <f t="shared" si="8"/>
        <v/>
      </c>
      <c r="S38" s="3" t="str">
        <f t="shared" si="9"/>
        <v/>
      </c>
      <c r="T38" s="3" t="str">
        <f t="shared" si="10"/>
        <v/>
      </c>
      <c r="U38" s="3" t="str">
        <f t="shared" si="11"/>
        <v/>
      </c>
      <c r="V38" s="3" t="str">
        <f t="shared" si="12"/>
        <v/>
      </c>
      <c r="W38" s="3" t="str">
        <f t="shared" si="13"/>
        <v/>
      </c>
      <c r="X38" s="3">
        <f t="shared" si="14"/>
        <v>3</v>
      </c>
      <c r="Y38" s="3" t="str">
        <f t="shared" si="15"/>
        <v/>
      </c>
      <c r="Z38" s="3" t="str">
        <f t="shared" si="16"/>
        <v/>
      </c>
      <c r="AA38" s="3" t="str">
        <f t="shared" si="1"/>
        <v/>
      </c>
      <c r="AB38" s="3" t="str">
        <f t="shared" si="17"/>
        <v/>
      </c>
    </row>
    <row r="39" spans="1:28" x14ac:dyDescent="0.25">
      <c r="A39" s="5">
        <f t="shared" si="2"/>
        <v>0</v>
      </c>
      <c r="B39" s="4" t="str">
        <f t="shared" si="3"/>
        <v/>
      </c>
      <c r="C39" s="4" t="str">
        <f t="shared" si="4"/>
        <v/>
      </c>
      <c r="D39" s="35" t="str">
        <f t="shared" si="5"/>
        <v/>
      </c>
      <c r="O39" s="3" t="str">
        <f t="shared" si="6"/>
        <v/>
      </c>
      <c r="P39" s="3" t="str">
        <f t="shared" si="7"/>
        <v/>
      </c>
      <c r="Q39" s="3" t="str">
        <f t="shared" si="0"/>
        <v/>
      </c>
      <c r="R39" s="3" t="str">
        <f t="shared" si="8"/>
        <v/>
      </c>
      <c r="S39" s="3" t="str">
        <f t="shared" si="9"/>
        <v/>
      </c>
      <c r="T39" s="3" t="str">
        <f t="shared" si="10"/>
        <v/>
      </c>
      <c r="U39" s="3" t="str">
        <f t="shared" si="11"/>
        <v/>
      </c>
      <c r="V39" s="3" t="str">
        <f t="shared" si="12"/>
        <v/>
      </c>
      <c r="W39" s="3" t="str">
        <f t="shared" si="13"/>
        <v/>
      </c>
      <c r="X39" s="3">
        <f t="shared" si="14"/>
        <v>3</v>
      </c>
      <c r="Y39" s="3" t="str">
        <f t="shared" si="15"/>
        <v/>
      </c>
      <c r="Z39" s="3" t="str">
        <f t="shared" si="16"/>
        <v/>
      </c>
      <c r="AA39" s="3" t="str">
        <f t="shared" si="1"/>
        <v/>
      </c>
      <c r="AB39" s="3" t="str">
        <f t="shared" si="17"/>
        <v/>
      </c>
    </row>
    <row r="40" spans="1:28" x14ac:dyDescent="0.25">
      <c r="A40" s="5">
        <f t="shared" si="2"/>
        <v>0</v>
      </c>
      <c r="B40" s="4" t="str">
        <f t="shared" si="3"/>
        <v/>
      </c>
      <c r="C40" s="4" t="str">
        <f t="shared" si="4"/>
        <v/>
      </c>
      <c r="D40" s="35" t="str">
        <f t="shared" si="5"/>
        <v/>
      </c>
      <c r="O40" s="3" t="str">
        <f t="shared" si="6"/>
        <v/>
      </c>
      <c r="P40" s="3" t="str">
        <f t="shared" si="7"/>
        <v/>
      </c>
      <c r="Q40" s="3" t="str">
        <f t="shared" si="0"/>
        <v/>
      </c>
      <c r="R40" s="3" t="str">
        <f t="shared" si="8"/>
        <v/>
      </c>
      <c r="S40" s="3" t="str">
        <f t="shared" si="9"/>
        <v/>
      </c>
      <c r="T40" s="3" t="str">
        <f t="shared" si="10"/>
        <v/>
      </c>
      <c r="U40" s="3" t="str">
        <f t="shared" si="11"/>
        <v/>
      </c>
      <c r="V40" s="3" t="str">
        <f t="shared" si="12"/>
        <v/>
      </c>
      <c r="W40" s="3" t="str">
        <f t="shared" si="13"/>
        <v/>
      </c>
      <c r="X40" s="3">
        <f t="shared" si="14"/>
        <v>3</v>
      </c>
      <c r="Y40" s="3" t="str">
        <f t="shared" si="15"/>
        <v/>
      </c>
      <c r="Z40" s="3" t="str">
        <f t="shared" si="16"/>
        <v/>
      </c>
      <c r="AA40" s="3" t="str">
        <f t="shared" si="1"/>
        <v/>
      </c>
      <c r="AB40" s="3" t="str">
        <f t="shared" si="17"/>
        <v/>
      </c>
    </row>
    <row r="41" spans="1:28" x14ac:dyDescent="0.25">
      <c r="A41" s="5">
        <f t="shared" si="2"/>
        <v>0</v>
      </c>
      <c r="B41" s="4" t="str">
        <f t="shared" si="3"/>
        <v/>
      </c>
      <c r="C41" s="4" t="str">
        <f t="shared" si="4"/>
        <v/>
      </c>
      <c r="D41" s="35" t="str">
        <f t="shared" si="5"/>
        <v/>
      </c>
      <c r="O41" s="3" t="str">
        <f t="shared" si="6"/>
        <v/>
      </c>
      <c r="P41" s="3" t="str">
        <f t="shared" si="7"/>
        <v/>
      </c>
      <c r="Q41" s="3" t="str">
        <f t="shared" si="0"/>
        <v/>
      </c>
      <c r="R41" s="3" t="str">
        <f t="shared" si="8"/>
        <v/>
      </c>
      <c r="S41" s="3" t="str">
        <f t="shared" si="9"/>
        <v/>
      </c>
      <c r="T41" s="3" t="str">
        <f t="shared" si="10"/>
        <v/>
      </c>
      <c r="U41" s="3" t="str">
        <f t="shared" si="11"/>
        <v/>
      </c>
      <c r="V41" s="3" t="str">
        <f t="shared" si="12"/>
        <v/>
      </c>
      <c r="W41" s="3" t="str">
        <f t="shared" si="13"/>
        <v/>
      </c>
      <c r="X41" s="3">
        <f t="shared" si="14"/>
        <v>3</v>
      </c>
      <c r="Y41" s="3" t="str">
        <f t="shared" si="15"/>
        <v/>
      </c>
      <c r="Z41" s="3" t="str">
        <f t="shared" si="16"/>
        <v/>
      </c>
      <c r="AA41" s="3" t="str">
        <f t="shared" si="1"/>
        <v/>
      </c>
      <c r="AB41" s="3" t="str">
        <f t="shared" si="17"/>
        <v/>
      </c>
    </row>
    <row r="42" spans="1:28" x14ac:dyDescent="0.25">
      <c r="A42" s="5">
        <f t="shared" si="2"/>
        <v>0</v>
      </c>
      <c r="B42" s="4" t="str">
        <f t="shared" si="3"/>
        <v/>
      </c>
      <c r="C42" s="4" t="str">
        <f t="shared" si="4"/>
        <v/>
      </c>
      <c r="D42" s="35" t="str">
        <f t="shared" si="5"/>
        <v/>
      </c>
      <c r="O42" s="3" t="str">
        <f t="shared" si="6"/>
        <v/>
      </c>
      <c r="P42" s="3" t="str">
        <f t="shared" si="7"/>
        <v/>
      </c>
      <c r="Q42" s="3" t="str">
        <f t="shared" si="0"/>
        <v/>
      </c>
      <c r="R42" s="3" t="str">
        <f t="shared" si="8"/>
        <v/>
      </c>
      <c r="S42" s="3" t="str">
        <f t="shared" si="9"/>
        <v/>
      </c>
      <c r="T42" s="3" t="str">
        <f t="shared" si="10"/>
        <v/>
      </c>
      <c r="U42" s="3" t="str">
        <f t="shared" si="11"/>
        <v/>
      </c>
      <c r="V42" s="3" t="str">
        <f t="shared" si="12"/>
        <v/>
      </c>
      <c r="W42" s="3" t="str">
        <f t="shared" si="13"/>
        <v/>
      </c>
      <c r="X42" s="3">
        <f t="shared" si="14"/>
        <v>3</v>
      </c>
      <c r="Y42" s="3" t="str">
        <f t="shared" si="15"/>
        <v/>
      </c>
      <c r="Z42" s="3" t="str">
        <f t="shared" si="16"/>
        <v/>
      </c>
      <c r="AA42" s="3" t="str">
        <f t="shared" si="1"/>
        <v/>
      </c>
      <c r="AB42" s="3" t="str">
        <f t="shared" si="17"/>
        <v/>
      </c>
    </row>
    <row r="43" spans="1:28" x14ac:dyDescent="0.25">
      <c r="A43" s="5">
        <f t="shared" si="2"/>
        <v>0</v>
      </c>
      <c r="B43" s="4" t="str">
        <f t="shared" si="3"/>
        <v/>
      </c>
      <c r="C43" s="4" t="str">
        <f t="shared" si="4"/>
        <v/>
      </c>
      <c r="D43" s="35" t="str">
        <f t="shared" si="5"/>
        <v/>
      </c>
      <c r="O43" s="3" t="str">
        <f t="shared" si="6"/>
        <v/>
      </c>
      <c r="P43" s="3" t="str">
        <f t="shared" si="7"/>
        <v/>
      </c>
      <c r="Q43" s="3" t="str">
        <f t="shared" si="0"/>
        <v/>
      </c>
      <c r="R43" s="3" t="str">
        <f t="shared" si="8"/>
        <v/>
      </c>
      <c r="S43" s="3" t="str">
        <f t="shared" si="9"/>
        <v/>
      </c>
      <c r="T43" s="3" t="str">
        <f t="shared" si="10"/>
        <v/>
      </c>
      <c r="U43" s="3" t="str">
        <f t="shared" si="11"/>
        <v/>
      </c>
      <c r="V43" s="3" t="str">
        <f t="shared" si="12"/>
        <v/>
      </c>
      <c r="W43" s="3" t="str">
        <f t="shared" si="13"/>
        <v/>
      </c>
      <c r="X43" s="3">
        <f t="shared" si="14"/>
        <v>3</v>
      </c>
      <c r="Y43" s="3" t="str">
        <f t="shared" si="15"/>
        <v/>
      </c>
      <c r="Z43" s="3" t="str">
        <f t="shared" si="16"/>
        <v/>
      </c>
      <c r="AA43" s="3" t="str">
        <f t="shared" si="1"/>
        <v/>
      </c>
      <c r="AB43" s="3" t="str">
        <f t="shared" si="17"/>
        <v/>
      </c>
    </row>
    <row r="44" spans="1:28" x14ac:dyDescent="0.25">
      <c r="A44" s="5">
        <f t="shared" si="2"/>
        <v>0</v>
      </c>
      <c r="B44" s="4" t="str">
        <f t="shared" si="3"/>
        <v/>
      </c>
      <c r="C44" s="4" t="str">
        <f t="shared" si="4"/>
        <v/>
      </c>
      <c r="D44" s="35" t="str">
        <f t="shared" si="5"/>
        <v/>
      </c>
      <c r="O44" s="3" t="str">
        <f t="shared" si="6"/>
        <v/>
      </c>
      <c r="P44" s="3" t="str">
        <f t="shared" si="7"/>
        <v/>
      </c>
      <c r="Q44" s="3" t="str">
        <f t="shared" si="0"/>
        <v/>
      </c>
      <c r="R44" s="3" t="str">
        <f t="shared" si="8"/>
        <v/>
      </c>
      <c r="S44" s="3" t="str">
        <f t="shared" si="9"/>
        <v/>
      </c>
      <c r="T44" s="3" t="str">
        <f t="shared" si="10"/>
        <v/>
      </c>
      <c r="U44" s="3" t="str">
        <f t="shared" si="11"/>
        <v/>
      </c>
      <c r="V44" s="3" t="str">
        <f t="shared" si="12"/>
        <v/>
      </c>
      <c r="W44" s="3" t="str">
        <f t="shared" si="13"/>
        <v/>
      </c>
      <c r="X44" s="3">
        <f t="shared" si="14"/>
        <v>3</v>
      </c>
      <c r="Y44" s="3" t="str">
        <f t="shared" si="15"/>
        <v/>
      </c>
      <c r="Z44" s="3" t="str">
        <f t="shared" si="16"/>
        <v/>
      </c>
      <c r="AA44" s="3" t="str">
        <f t="shared" si="1"/>
        <v/>
      </c>
      <c r="AB44" s="3" t="str">
        <f t="shared" si="17"/>
        <v/>
      </c>
    </row>
    <row r="45" spans="1:28" x14ac:dyDescent="0.25">
      <c r="A45" s="5">
        <f t="shared" si="2"/>
        <v>0</v>
      </c>
      <c r="B45" s="4" t="str">
        <f t="shared" si="3"/>
        <v/>
      </c>
      <c r="C45" s="4" t="str">
        <f t="shared" si="4"/>
        <v/>
      </c>
      <c r="D45" s="35" t="str">
        <f t="shared" si="5"/>
        <v/>
      </c>
      <c r="O45" s="3" t="str">
        <f t="shared" si="6"/>
        <v/>
      </c>
      <c r="P45" s="3" t="str">
        <f t="shared" si="7"/>
        <v/>
      </c>
      <c r="Q45" s="3" t="str">
        <f t="shared" si="0"/>
        <v/>
      </c>
      <c r="R45" s="3" t="str">
        <f t="shared" si="8"/>
        <v/>
      </c>
      <c r="S45" s="3" t="str">
        <f t="shared" si="9"/>
        <v/>
      </c>
      <c r="T45" s="3" t="str">
        <f t="shared" si="10"/>
        <v/>
      </c>
      <c r="U45" s="3" t="str">
        <f t="shared" si="11"/>
        <v/>
      </c>
      <c r="V45" s="3" t="str">
        <f t="shared" si="12"/>
        <v/>
      </c>
      <c r="W45" s="3" t="str">
        <f t="shared" si="13"/>
        <v/>
      </c>
      <c r="X45" s="3">
        <f t="shared" si="14"/>
        <v>3</v>
      </c>
      <c r="Y45" s="3" t="str">
        <f t="shared" si="15"/>
        <v/>
      </c>
      <c r="Z45" s="3" t="str">
        <f t="shared" si="16"/>
        <v/>
      </c>
      <c r="AA45" s="3" t="str">
        <f t="shared" si="1"/>
        <v/>
      </c>
      <c r="AB45" s="3" t="str">
        <f t="shared" si="17"/>
        <v/>
      </c>
    </row>
    <row r="46" spans="1:28" x14ac:dyDescent="0.25">
      <c r="A46" s="5">
        <f t="shared" si="2"/>
        <v>0</v>
      </c>
      <c r="B46" s="4" t="str">
        <f t="shared" si="3"/>
        <v/>
      </c>
      <c r="C46" s="4" t="str">
        <f t="shared" si="4"/>
        <v/>
      </c>
      <c r="D46" s="35" t="str">
        <f t="shared" si="5"/>
        <v/>
      </c>
      <c r="O46" s="3" t="str">
        <f t="shared" si="6"/>
        <v/>
      </c>
      <c r="P46" s="3" t="str">
        <f t="shared" si="7"/>
        <v/>
      </c>
      <c r="Q46" s="3" t="str">
        <f t="shared" si="0"/>
        <v/>
      </c>
      <c r="R46" s="3" t="str">
        <f t="shared" si="8"/>
        <v/>
      </c>
      <c r="S46" s="3" t="str">
        <f t="shared" si="9"/>
        <v/>
      </c>
      <c r="T46" s="3" t="str">
        <f t="shared" si="10"/>
        <v/>
      </c>
      <c r="U46" s="3" t="str">
        <f t="shared" si="11"/>
        <v/>
      </c>
      <c r="V46" s="3" t="str">
        <f t="shared" si="12"/>
        <v/>
      </c>
      <c r="W46" s="3" t="str">
        <f t="shared" si="13"/>
        <v/>
      </c>
      <c r="X46" s="3">
        <f t="shared" si="14"/>
        <v>3</v>
      </c>
      <c r="Y46" s="3" t="str">
        <f t="shared" si="15"/>
        <v/>
      </c>
      <c r="Z46" s="3" t="str">
        <f t="shared" si="16"/>
        <v/>
      </c>
      <c r="AA46" s="3" t="str">
        <f t="shared" si="1"/>
        <v/>
      </c>
      <c r="AB46" s="3" t="str">
        <f t="shared" si="17"/>
        <v/>
      </c>
    </row>
    <row r="47" spans="1:28" x14ac:dyDescent="0.25">
      <c r="A47" s="5">
        <f t="shared" si="2"/>
        <v>0</v>
      </c>
      <c r="B47" s="4" t="str">
        <f t="shared" si="3"/>
        <v/>
      </c>
      <c r="C47" s="4" t="str">
        <f t="shared" si="4"/>
        <v/>
      </c>
      <c r="D47" s="35" t="str">
        <f t="shared" si="5"/>
        <v/>
      </c>
      <c r="O47" s="3" t="str">
        <f t="shared" si="6"/>
        <v/>
      </c>
      <c r="P47" s="3" t="str">
        <f t="shared" si="7"/>
        <v/>
      </c>
      <c r="Q47" s="3" t="str">
        <f t="shared" si="0"/>
        <v/>
      </c>
      <c r="R47" s="3" t="str">
        <f t="shared" si="8"/>
        <v/>
      </c>
      <c r="S47" s="3" t="str">
        <f t="shared" si="9"/>
        <v/>
      </c>
      <c r="T47" s="3" t="str">
        <f t="shared" si="10"/>
        <v/>
      </c>
      <c r="U47" s="3" t="str">
        <f t="shared" si="11"/>
        <v/>
      </c>
      <c r="V47" s="3" t="str">
        <f t="shared" si="12"/>
        <v/>
      </c>
      <c r="W47" s="3" t="str">
        <f t="shared" si="13"/>
        <v/>
      </c>
      <c r="X47" s="3">
        <f t="shared" si="14"/>
        <v>3</v>
      </c>
      <c r="Y47" s="3" t="str">
        <f t="shared" si="15"/>
        <v/>
      </c>
      <c r="Z47" s="3" t="str">
        <f t="shared" si="16"/>
        <v/>
      </c>
      <c r="AA47" s="3" t="str">
        <f t="shared" si="1"/>
        <v/>
      </c>
      <c r="AB47" s="3" t="str">
        <f t="shared" si="17"/>
        <v/>
      </c>
    </row>
    <row r="48" spans="1:28" x14ac:dyDescent="0.25">
      <c r="A48" s="5">
        <f t="shared" si="2"/>
        <v>0</v>
      </c>
      <c r="B48" s="4" t="str">
        <f t="shared" si="3"/>
        <v/>
      </c>
      <c r="C48" s="4" t="str">
        <f t="shared" si="4"/>
        <v/>
      </c>
      <c r="D48" s="35" t="str">
        <f t="shared" si="5"/>
        <v/>
      </c>
      <c r="O48" s="3" t="str">
        <f t="shared" si="6"/>
        <v/>
      </c>
      <c r="P48" s="3" t="str">
        <f t="shared" si="7"/>
        <v/>
      </c>
      <c r="Q48" s="3" t="str">
        <f t="shared" si="0"/>
        <v/>
      </c>
      <c r="R48" s="3" t="str">
        <f t="shared" si="8"/>
        <v/>
      </c>
      <c r="S48" s="3" t="str">
        <f t="shared" si="9"/>
        <v/>
      </c>
      <c r="T48" s="3" t="str">
        <f t="shared" si="10"/>
        <v/>
      </c>
      <c r="U48" s="3" t="str">
        <f t="shared" si="11"/>
        <v/>
      </c>
      <c r="V48" s="3" t="str">
        <f t="shared" si="12"/>
        <v/>
      </c>
      <c r="W48" s="3" t="str">
        <f t="shared" si="13"/>
        <v/>
      </c>
      <c r="X48" s="3">
        <f t="shared" si="14"/>
        <v>3</v>
      </c>
      <c r="Y48" s="3" t="str">
        <f t="shared" si="15"/>
        <v/>
      </c>
      <c r="Z48" s="3" t="str">
        <f t="shared" si="16"/>
        <v/>
      </c>
      <c r="AA48" s="3" t="str">
        <f t="shared" si="1"/>
        <v/>
      </c>
      <c r="AB48" s="3" t="str">
        <f t="shared" si="17"/>
        <v/>
      </c>
    </row>
    <row r="49" spans="1:28" x14ac:dyDescent="0.25">
      <c r="A49" s="5">
        <f t="shared" si="2"/>
        <v>0</v>
      </c>
      <c r="B49" s="4" t="str">
        <f t="shared" si="3"/>
        <v/>
      </c>
      <c r="C49" s="4" t="str">
        <f t="shared" si="4"/>
        <v/>
      </c>
      <c r="D49" s="35" t="str">
        <f t="shared" si="5"/>
        <v/>
      </c>
      <c r="O49" s="3" t="str">
        <f t="shared" si="6"/>
        <v/>
      </c>
      <c r="P49" s="3" t="str">
        <f t="shared" si="7"/>
        <v/>
      </c>
      <c r="Q49" s="3" t="str">
        <f t="shared" si="0"/>
        <v/>
      </c>
      <c r="R49" s="3" t="str">
        <f t="shared" si="8"/>
        <v/>
      </c>
      <c r="S49" s="3" t="str">
        <f t="shared" si="9"/>
        <v/>
      </c>
      <c r="T49" s="3" t="str">
        <f t="shared" si="10"/>
        <v/>
      </c>
      <c r="U49" s="3" t="str">
        <f t="shared" si="11"/>
        <v/>
      </c>
      <c r="V49" s="3" t="str">
        <f t="shared" si="12"/>
        <v/>
      </c>
      <c r="W49" s="3" t="str">
        <f t="shared" si="13"/>
        <v/>
      </c>
      <c r="X49" s="3">
        <f t="shared" si="14"/>
        <v>3</v>
      </c>
      <c r="Y49" s="3" t="str">
        <f t="shared" si="15"/>
        <v/>
      </c>
      <c r="Z49" s="3" t="str">
        <f t="shared" si="16"/>
        <v/>
      </c>
      <c r="AA49" s="3" t="str">
        <f t="shared" si="1"/>
        <v/>
      </c>
      <c r="AB49" s="3" t="str">
        <f t="shared" si="17"/>
        <v/>
      </c>
    </row>
    <row r="50" spans="1:28" x14ac:dyDescent="0.25">
      <c r="A50" s="5">
        <f t="shared" si="2"/>
        <v>0</v>
      </c>
      <c r="B50" s="4" t="str">
        <f t="shared" si="3"/>
        <v/>
      </c>
      <c r="C50" s="4" t="str">
        <f t="shared" si="4"/>
        <v/>
      </c>
      <c r="D50" s="35" t="str">
        <f t="shared" si="5"/>
        <v/>
      </c>
      <c r="O50" s="3" t="str">
        <f t="shared" si="6"/>
        <v/>
      </c>
      <c r="P50" s="3" t="str">
        <f t="shared" si="7"/>
        <v/>
      </c>
      <c r="Q50" s="3" t="str">
        <f t="shared" si="0"/>
        <v/>
      </c>
      <c r="R50" s="3" t="str">
        <f t="shared" si="8"/>
        <v/>
      </c>
      <c r="S50" s="3" t="str">
        <f t="shared" si="9"/>
        <v/>
      </c>
      <c r="T50" s="3" t="str">
        <f t="shared" si="10"/>
        <v/>
      </c>
      <c r="U50" s="3" t="str">
        <f t="shared" si="11"/>
        <v/>
      </c>
      <c r="V50" s="3" t="str">
        <f t="shared" si="12"/>
        <v/>
      </c>
      <c r="W50" s="3" t="str">
        <f t="shared" si="13"/>
        <v/>
      </c>
      <c r="X50" s="3">
        <f t="shared" si="14"/>
        <v>3</v>
      </c>
      <c r="Y50" s="3" t="str">
        <f t="shared" si="15"/>
        <v/>
      </c>
      <c r="Z50" s="3" t="str">
        <f t="shared" si="16"/>
        <v/>
      </c>
      <c r="AA50" s="3" t="str">
        <f t="shared" si="1"/>
        <v/>
      </c>
      <c r="AB50" s="3" t="str">
        <f t="shared" si="17"/>
        <v/>
      </c>
    </row>
    <row r="51" spans="1:28" x14ac:dyDescent="0.25">
      <c r="A51" s="5">
        <f t="shared" si="2"/>
        <v>0</v>
      </c>
      <c r="B51" s="4" t="str">
        <f t="shared" si="3"/>
        <v/>
      </c>
      <c r="C51" s="4" t="str">
        <f t="shared" si="4"/>
        <v/>
      </c>
      <c r="D51" s="35" t="str">
        <f t="shared" si="5"/>
        <v/>
      </c>
      <c r="P51" s="3" t="str">
        <f t="shared" si="7"/>
        <v/>
      </c>
      <c r="Q51" s="3" t="str">
        <f t="shared" si="0"/>
        <v/>
      </c>
      <c r="R51" s="3" t="str">
        <f t="shared" si="8"/>
        <v/>
      </c>
      <c r="T51" s="3" t="str">
        <f t="shared" si="10"/>
        <v/>
      </c>
      <c r="U51" s="3" t="str">
        <f t="shared" si="11"/>
        <v/>
      </c>
      <c r="V51" s="3" t="str">
        <f t="shared" si="12"/>
        <v/>
      </c>
      <c r="W51" s="3" t="str">
        <f t="shared" si="13"/>
        <v/>
      </c>
      <c r="X51" s="3">
        <f t="shared" si="14"/>
        <v>3</v>
      </c>
      <c r="Y51" s="3" t="str">
        <f t="shared" si="15"/>
        <v/>
      </c>
      <c r="Z51" s="3" t="str">
        <f t="shared" si="16"/>
        <v/>
      </c>
      <c r="AA51" s="3" t="str">
        <f t="shared" si="1"/>
        <v/>
      </c>
      <c r="AB51" s="3" t="str">
        <f t="shared" si="17"/>
        <v/>
      </c>
    </row>
    <row r="52" spans="1:28" x14ac:dyDescent="0.25">
      <c r="A52" s="5">
        <f t="shared" si="2"/>
        <v>0</v>
      </c>
      <c r="B52" s="4" t="str">
        <f t="shared" si="3"/>
        <v/>
      </c>
      <c r="C52" s="4" t="str">
        <f t="shared" si="4"/>
        <v/>
      </c>
      <c r="D52" s="35" t="str">
        <f t="shared" si="5"/>
        <v/>
      </c>
      <c r="P52" s="3" t="str">
        <f t="shared" si="7"/>
        <v/>
      </c>
      <c r="Q52" s="3" t="str">
        <f t="shared" si="0"/>
        <v/>
      </c>
      <c r="R52" s="3" t="str">
        <f t="shared" si="8"/>
        <v/>
      </c>
      <c r="T52" s="3" t="str">
        <f t="shared" si="10"/>
        <v/>
      </c>
      <c r="U52" s="3" t="str">
        <f t="shared" si="11"/>
        <v/>
      </c>
      <c r="V52" s="3" t="str">
        <f t="shared" si="12"/>
        <v/>
      </c>
      <c r="W52" s="3" t="str">
        <f t="shared" si="13"/>
        <v/>
      </c>
      <c r="X52" s="3">
        <f t="shared" si="14"/>
        <v>3</v>
      </c>
      <c r="Y52" s="3" t="str">
        <f t="shared" si="15"/>
        <v/>
      </c>
      <c r="Z52" s="3" t="str">
        <f t="shared" si="16"/>
        <v/>
      </c>
      <c r="AA52" s="3" t="str">
        <f t="shared" si="1"/>
        <v/>
      </c>
      <c r="AB52" s="3" t="str">
        <f t="shared" si="17"/>
        <v/>
      </c>
    </row>
    <row r="53" spans="1:28" x14ac:dyDescent="0.25">
      <c r="A53" s="5">
        <f t="shared" si="2"/>
        <v>0</v>
      </c>
      <c r="B53" s="4" t="str">
        <f t="shared" si="3"/>
        <v/>
      </c>
      <c r="C53" s="4" t="str">
        <f t="shared" si="4"/>
        <v/>
      </c>
      <c r="D53" s="35" t="str">
        <f t="shared" si="5"/>
        <v/>
      </c>
      <c r="P53" s="3" t="str">
        <f t="shared" si="7"/>
        <v/>
      </c>
      <c r="Q53" s="3" t="str">
        <f t="shared" si="0"/>
        <v/>
      </c>
      <c r="R53" s="3" t="str">
        <f t="shared" si="8"/>
        <v/>
      </c>
      <c r="T53" s="3" t="str">
        <f t="shared" si="10"/>
        <v/>
      </c>
      <c r="U53" s="3" t="str">
        <f t="shared" si="11"/>
        <v/>
      </c>
      <c r="V53" s="3" t="str">
        <f t="shared" si="12"/>
        <v/>
      </c>
      <c r="W53" s="3" t="str">
        <f t="shared" si="13"/>
        <v/>
      </c>
      <c r="X53" s="3">
        <f t="shared" si="14"/>
        <v>3</v>
      </c>
      <c r="Y53" s="3" t="str">
        <f t="shared" si="15"/>
        <v/>
      </c>
      <c r="Z53" s="3" t="str">
        <f t="shared" si="16"/>
        <v/>
      </c>
      <c r="AA53" s="3" t="str">
        <f t="shared" si="1"/>
        <v/>
      </c>
      <c r="AB53" s="3" t="str">
        <f t="shared" si="17"/>
        <v/>
      </c>
    </row>
    <row r="54" spans="1:28" x14ac:dyDescent="0.25">
      <c r="A54" s="5">
        <f t="shared" si="2"/>
        <v>0</v>
      </c>
      <c r="B54" s="4" t="str">
        <f t="shared" si="3"/>
        <v/>
      </c>
      <c r="C54" s="4" t="str">
        <f t="shared" si="4"/>
        <v/>
      </c>
      <c r="D54" s="35" t="str">
        <f t="shared" si="5"/>
        <v/>
      </c>
      <c r="P54" s="3" t="str">
        <f t="shared" si="7"/>
        <v/>
      </c>
      <c r="Q54" s="3" t="str">
        <f t="shared" si="0"/>
        <v/>
      </c>
      <c r="R54" s="3" t="str">
        <f t="shared" si="8"/>
        <v/>
      </c>
      <c r="T54" s="3" t="str">
        <f t="shared" si="10"/>
        <v/>
      </c>
      <c r="U54" s="3" t="str">
        <f t="shared" si="11"/>
        <v/>
      </c>
      <c r="V54" s="3" t="str">
        <f t="shared" si="12"/>
        <v/>
      </c>
      <c r="W54" s="3" t="str">
        <f t="shared" si="13"/>
        <v/>
      </c>
      <c r="X54" s="3">
        <f t="shared" si="14"/>
        <v>3</v>
      </c>
      <c r="Y54" s="3" t="str">
        <f t="shared" si="15"/>
        <v/>
      </c>
      <c r="Z54" s="3" t="str">
        <f t="shared" si="16"/>
        <v/>
      </c>
      <c r="AA54" s="3" t="str">
        <f t="shared" si="1"/>
        <v/>
      </c>
      <c r="AB54" s="3" t="str">
        <f t="shared" si="17"/>
        <v/>
      </c>
    </row>
    <row r="55" spans="1:28" x14ac:dyDescent="0.25">
      <c r="A55" s="5">
        <f t="shared" si="2"/>
        <v>0</v>
      </c>
      <c r="B55" s="4" t="str">
        <f t="shared" si="3"/>
        <v/>
      </c>
      <c r="C55" s="4" t="str">
        <f t="shared" si="4"/>
        <v/>
      </c>
      <c r="D55" s="35" t="str">
        <f t="shared" si="5"/>
        <v/>
      </c>
      <c r="P55" s="3" t="str">
        <f t="shared" si="7"/>
        <v/>
      </c>
      <c r="Q55" s="3" t="str">
        <f t="shared" si="0"/>
        <v/>
      </c>
      <c r="R55" s="3" t="str">
        <f t="shared" si="8"/>
        <v/>
      </c>
      <c r="T55" s="3" t="str">
        <f t="shared" si="10"/>
        <v/>
      </c>
      <c r="U55" s="3" t="str">
        <f t="shared" si="11"/>
        <v/>
      </c>
      <c r="V55" s="3" t="str">
        <f t="shared" si="12"/>
        <v/>
      </c>
      <c r="W55" s="3" t="str">
        <f t="shared" si="13"/>
        <v/>
      </c>
      <c r="X55" s="3">
        <f t="shared" si="14"/>
        <v>3</v>
      </c>
      <c r="Y55" s="3" t="str">
        <f t="shared" si="15"/>
        <v/>
      </c>
      <c r="Z55" s="3" t="str">
        <f t="shared" si="16"/>
        <v/>
      </c>
      <c r="AA55" s="3" t="str">
        <f t="shared" si="1"/>
        <v/>
      </c>
      <c r="AB55" s="3" t="str">
        <f t="shared" si="17"/>
        <v/>
      </c>
    </row>
    <row r="56" spans="1:28" x14ac:dyDescent="0.25">
      <c r="A56" s="5">
        <f t="shared" si="2"/>
        <v>0</v>
      </c>
      <c r="B56" s="4" t="str">
        <f t="shared" si="3"/>
        <v/>
      </c>
      <c r="C56" s="4" t="str">
        <f t="shared" si="4"/>
        <v/>
      </c>
      <c r="D56" s="35" t="str">
        <f t="shared" si="5"/>
        <v/>
      </c>
      <c r="P56" s="3" t="str">
        <f t="shared" si="7"/>
        <v/>
      </c>
      <c r="Q56" s="3" t="str">
        <f t="shared" si="0"/>
        <v/>
      </c>
      <c r="R56" s="3" t="str">
        <f t="shared" si="8"/>
        <v/>
      </c>
      <c r="T56" s="3" t="str">
        <f t="shared" si="10"/>
        <v/>
      </c>
      <c r="U56" s="3" t="str">
        <f t="shared" si="11"/>
        <v/>
      </c>
      <c r="V56" s="3" t="str">
        <f t="shared" si="12"/>
        <v/>
      </c>
      <c r="W56" s="3" t="str">
        <f t="shared" si="13"/>
        <v/>
      </c>
      <c r="X56" s="3">
        <f t="shared" si="14"/>
        <v>3</v>
      </c>
      <c r="Y56" s="3" t="str">
        <f t="shared" si="15"/>
        <v/>
      </c>
      <c r="Z56" s="3" t="str">
        <f t="shared" si="16"/>
        <v/>
      </c>
      <c r="AA56" s="3" t="str">
        <f t="shared" si="1"/>
        <v/>
      </c>
      <c r="AB56" s="3" t="str">
        <f t="shared" si="17"/>
        <v/>
      </c>
    </row>
    <row r="57" spans="1:28" x14ac:dyDescent="0.25">
      <c r="A57" s="5">
        <f t="shared" si="2"/>
        <v>0</v>
      </c>
      <c r="B57" s="4" t="str">
        <f t="shared" si="3"/>
        <v/>
      </c>
      <c r="C57" s="4" t="str">
        <f t="shared" si="4"/>
        <v/>
      </c>
      <c r="D57" s="35" t="str">
        <f t="shared" si="5"/>
        <v/>
      </c>
      <c r="P57" s="3" t="str">
        <f t="shared" si="7"/>
        <v/>
      </c>
      <c r="Q57" s="3" t="str">
        <f t="shared" si="0"/>
        <v/>
      </c>
      <c r="R57" s="3" t="str">
        <f t="shared" si="8"/>
        <v/>
      </c>
      <c r="T57" s="3" t="str">
        <f t="shared" si="10"/>
        <v/>
      </c>
      <c r="U57" s="3" t="str">
        <f t="shared" si="11"/>
        <v/>
      </c>
      <c r="V57" s="3" t="str">
        <f t="shared" si="12"/>
        <v/>
      </c>
      <c r="W57" s="3" t="str">
        <f t="shared" si="13"/>
        <v/>
      </c>
      <c r="X57" s="3">
        <f t="shared" si="14"/>
        <v>4</v>
      </c>
      <c r="Y57" s="3" t="str">
        <f t="shared" si="15"/>
        <v>Chargers @ Patriots</v>
      </c>
      <c r="Z57" s="3" t="str">
        <f t="shared" si="16"/>
        <v>Chargers @ Patriots</v>
      </c>
      <c r="AA57" s="3" t="str">
        <f t="shared" si="1"/>
        <v>Over 47.5</v>
      </c>
      <c r="AB57" s="3">
        <f t="shared" si="17"/>
        <v>0.92264000000000002</v>
      </c>
    </row>
    <row r="58" spans="1:28" x14ac:dyDescent="0.25">
      <c r="A58" s="5">
        <f t="shared" si="2"/>
        <v>0</v>
      </c>
      <c r="B58" s="4" t="str">
        <f t="shared" si="3"/>
        <v/>
      </c>
      <c r="C58" s="4" t="str">
        <f t="shared" si="4"/>
        <v/>
      </c>
      <c r="D58" s="35" t="str">
        <f t="shared" si="5"/>
        <v/>
      </c>
      <c r="P58" s="3" t="str">
        <f t="shared" si="7"/>
        <v/>
      </c>
      <c r="Q58" s="3" t="str">
        <f t="shared" si="0"/>
        <v/>
      </c>
      <c r="R58" s="3" t="str">
        <f t="shared" si="8"/>
        <v/>
      </c>
      <c r="T58" s="3" t="str">
        <f t="shared" si="10"/>
        <v/>
      </c>
      <c r="U58" s="3" t="str">
        <f t="shared" si="11"/>
        <v/>
      </c>
      <c r="V58" s="3" t="str">
        <f t="shared" si="12"/>
        <v/>
      </c>
      <c r="W58" s="3" t="str">
        <f t="shared" si="13"/>
        <v/>
      </c>
      <c r="X58" s="3">
        <f t="shared" si="14"/>
        <v>4</v>
      </c>
      <c r="Y58" s="3" t="str">
        <f t="shared" si="15"/>
        <v>Over 47.5</v>
      </c>
      <c r="Z58" s="3" t="str">
        <f t="shared" si="16"/>
        <v/>
      </c>
      <c r="AA58" s="3" t="str">
        <f t="shared" si="1"/>
        <v/>
      </c>
      <c r="AB58" s="3" t="str">
        <f t="shared" si="17"/>
        <v/>
      </c>
    </row>
    <row r="59" spans="1:28" x14ac:dyDescent="0.25">
      <c r="A59" s="5">
        <f t="shared" si="2"/>
        <v>0</v>
      </c>
      <c r="B59" s="4" t="str">
        <f t="shared" si="3"/>
        <v/>
      </c>
      <c r="C59" s="4" t="str">
        <f t="shared" si="4"/>
        <v/>
      </c>
      <c r="D59" s="35" t="str">
        <f t="shared" si="5"/>
        <v/>
      </c>
      <c r="P59" s="3" t="str">
        <f t="shared" si="7"/>
        <v/>
      </c>
      <c r="Q59" s="3" t="str">
        <f t="shared" si="0"/>
        <v/>
      </c>
      <c r="R59" s="3" t="str">
        <f t="shared" si="8"/>
        <v/>
      </c>
      <c r="T59" s="3" t="str">
        <f t="shared" si="10"/>
        <v/>
      </c>
      <c r="U59" s="3" t="str">
        <f t="shared" si="11"/>
        <v/>
      </c>
      <c r="V59" s="3" t="str">
        <f t="shared" si="12"/>
        <v/>
      </c>
      <c r="W59" s="3" t="str">
        <f t="shared" si="13"/>
        <v/>
      </c>
      <c r="X59" s="3">
        <f t="shared" si="14"/>
        <v>4</v>
      </c>
      <c r="Y59" s="3">
        <f t="shared" si="15"/>
        <v>0.92264000000000002</v>
      </c>
      <c r="Z59" s="3" t="str">
        <f t="shared" si="16"/>
        <v/>
      </c>
      <c r="AA59" s="3" t="str">
        <f t="shared" si="1"/>
        <v/>
      </c>
      <c r="AB59" s="3" t="str">
        <f t="shared" si="17"/>
        <v/>
      </c>
    </row>
    <row r="60" spans="1:28" x14ac:dyDescent="0.25">
      <c r="A60" s="5">
        <f t="shared" si="2"/>
        <v>0</v>
      </c>
      <c r="B60" s="4" t="str">
        <f t="shared" si="3"/>
        <v/>
      </c>
      <c r="C60" s="4" t="str">
        <f t="shared" si="4"/>
        <v/>
      </c>
      <c r="D60" s="35" t="str">
        <f t="shared" si="5"/>
        <v/>
      </c>
      <c r="P60" s="3" t="str">
        <f t="shared" si="7"/>
        <v/>
      </c>
      <c r="Q60" s="3" t="str">
        <f t="shared" si="0"/>
        <v/>
      </c>
      <c r="R60" s="3" t="str">
        <f t="shared" si="8"/>
        <v/>
      </c>
      <c r="T60" s="3" t="str">
        <f t="shared" si="10"/>
        <v/>
      </c>
      <c r="U60" s="3" t="str">
        <f t="shared" si="11"/>
        <v/>
      </c>
      <c r="V60" s="3" t="str">
        <f t="shared" si="12"/>
        <v/>
      </c>
      <c r="W60" s="3" t="str">
        <f t="shared" si="13"/>
        <v/>
      </c>
      <c r="X60" s="3">
        <f t="shared" si="14"/>
        <v>4</v>
      </c>
      <c r="Y60" s="3" t="str">
        <f t="shared" si="15"/>
        <v/>
      </c>
      <c r="Z60" s="3" t="str">
        <f t="shared" si="16"/>
        <v/>
      </c>
      <c r="AA60" s="3" t="str">
        <f t="shared" si="1"/>
        <v/>
      </c>
      <c r="AB60" s="3" t="str">
        <f t="shared" si="17"/>
        <v/>
      </c>
    </row>
    <row r="61" spans="1:28" x14ac:dyDescent="0.25">
      <c r="A61" s="5">
        <f t="shared" si="2"/>
        <v>0</v>
      </c>
      <c r="B61" s="4" t="str">
        <f t="shared" si="3"/>
        <v/>
      </c>
      <c r="C61" s="4" t="str">
        <f t="shared" si="4"/>
        <v/>
      </c>
      <c r="D61" s="35" t="str">
        <f t="shared" si="5"/>
        <v/>
      </c>
      <c r="P61" s="3" t="str">
        <f t="shared" si="7"/>
        <v/>
      </c>
      <c r="Q61" s="3" t="str">
        <f t="shared" si="0"/>
        <v/>
      </c>
      <c r="R61" s="3" t="str">
        <f t="shared" si="8"/>
        <v/>
      </c>
      <c r="T61" s="3" t="str">
        <f t="shared" si="10"/>
        <v/>
      </c>
      <c r="U61" s="3" t="str">
        <f t="shared" si="11"/>
        <v/>
      </c>
      <c r="V61" s="3" t="str">
        <f t="shared" si="12"/>
        <v/>
      </c>
      <c r="W61" s="3" t="str">
        <f t="shared" si="13"/>
        <v/>
      </c>
      <c r="X61" s="3">
        <f t="shared" si="14"/>
        <v>4</v>
      </c>
      <c r="Y61" s="3" t="str">
        <f t="shared" si="15"/>
        <v/>
      </c>
      <c r="Z61" s="3" t="str">
        <f t="shared" si="16"/>
        <v/>
      </c>
      <c r="AA61" s="3" t="str">
        <f t="shared" si="1"/>
        <v/>
      </c>
      <c r="AB61" s="3" t="str">
        <f t="shared" si="17"/>
        <v/>
      </c>
    </row>
    <row r="62" spans="1:28" x14ac:dyDescent="0.25">
      <c r="A62" s="5">
        <f t="shared" si="2"/>
        <v>0</v>
      </c>
      <c r="B62" s="4" t="str">
        <f t="shared" si="3"/>
        <v/>
      </c>
      <c r="C62" s="4" t="str">
        <f t="shared" si="4"/>
        <v/>
      </c>
      <c r="D62" s="35" t="str">
        <f t="shared" si="5"/>
        <v/>
      </c>
      <c r="P62" s="3" t="str">
        <f t="shared" si="7"/>
        <v/>
      </c>
      <c r="Q62" s="3" t="str">
        <f t="shared" si="0"/>
        <v/>
      </c>
      <c r="R62" s="3" t="str">
        <f t="shared" si="8"/>
        <v/>
      </c>
      <c r="T62" s="3" t="str">
        <f t="shared" si="10"/>
        <v/>
      </c>
      <c r="U62" s="3" t="str">
        <f t="shared" si="11"/>
        <v/>
      </c>
      <c r="V62" s="3" t="str">
        <f t="shared" si="12"/>
        <v/>
      </c>
      <c r="W62" s="3" t="str">
        <f t="shared" si="13"/>
        <v/>
      </c>
      <c r="X62" s="3">
        <f t="shared" si="14"/>
        <v>4</v>
      </c>
      <c r="Y62" s="3" t="str">
        <f t="shared" si="15"/>
        <v/>
      </c>
      <c r="Z62" s="3" t="str">
        <f t="shared" si="16"/>
        <v/>
      </c>
      <c r="AA62" s="3" t="str">
        <f t="shared" si="1"/>
        <v/>
      </c>
      <c r="AB62" s="3" t="str">
        <f t="shared" si="17"/>
        <v/>
      </c>
    </row>
    <row r="63" spans="1:28" x14ac:dyDescent="0.25">
      <c r="A63" s="5">
        <f t="shared" si="2"/>
        <v>0</v>
      </c>
      <c r="B63" s="4" t="str">
        <f t="shared" si="3"/>
        <v/>
      </c>
      <c r="C63" s="4" t="str">
        <f t="shared" si="4"/>
        <v/>
      </c>
      <c r="D63" s="35" t="str">
        <f t="shared" si="5"/>
        <v/>
      </c>
      <c r="P63" s="3" t="str">
        <f t="shared" si="7"/>
        <v/>
      </c>
      <c r="Q63" s="3" t="str">
        <f t="shared" si="0"/>
        <v/>
      </c>
      <c r="R63" s="3" t="str">
        <f t="shared" si="8"/>
        <v/>
      </c>
      <c r="T63" s="3" t="str">
        <f t="shared" si="10"/>
        <v/>
      </c>
      <c r="U63" s="3" t="str">
        <f t="shared" si="11"/>
        <v/>
      </c>
      <c r="V63" s="3" t="str">
        <f t="shared" si="12"/>
        <v/>
      </c>
      <c r="W63" s="3" t="str">
        <f t="shared" si="13"/>
        <v/>
      </c>
      <c r="X63" s="3">
        <f t="shared" si="14"/>
        <v>4</v>
      </c>
      <c r="Y63" s="3" t="str">
        <f t="shared" si="15"/>
        <v/>
      </c>
      <c r="Z63" s="3" t="str">
        <f t="shared" si="16"/>
        <v/>
      </c>
      <c r="AA63" s="3" t="str">
        <f t="shared" si="1"/>
        <v/>
      </c>
      <c r="AB63" s="3" t="str">
        <f t="shared" si="17"/>
        <v/>
      </c>
    </row>
    <row r="64" spans="1:28" x14ac:dyDescent="0.25">
      <c r="A64" s="5">
        <f t="shared" si="2"/>
        <v>0</v>
      </c>
      <c r="B64" s="4" t="str">
        <f t="shared" si="3"/>
        <v/>
      </c>
      <c r="C64" s="4" t="str">
        <f t="shared" si="4"/>
        <v/>
      </c>
      <c r="D64" s="35" t="str">
        <f t="shared" si="5"/>
        <v/>
      </c>
      <c r="P64" s="3" t="str">
        <f t="shared" si="7"/>
        <v/>
      </c>
      <c r="Q64" s="3" t="str">
        <f t="shared" si="0"/>
        <v/>
      </c>
      <c r="R64" s="3" t="str">
        <f t="shared" si="8"/>
        <v/>
      </c>
      <c r="T64" s="3" t="str">
        <f t="shared" si="10"/>
        <v/>
      </c>
      <c r="U64" s="3" t="str">
        <f t="shared" si="11"/>
        <v/>
      </c>
      <c r="V64" s="3" t="str">
        <f t="shared" si="12"/>
        <v/>
      </c>
      <c r="W64" s="3" t="str">
        <f t="shared" si="13"/>
        <v/>
      </c>
      <c r="X64" s="3">
        <f t="shared" si="14"/>
        <v>4</v>
      </c>
      <c r="Y64" s="3" t="str">
        <f t="shared" si="15"/>
        <v/>
      </c>
      <c r="Z64" s="3" t="str">
        <f t="shared" si="16"/>
        <v/>
      </c>
      <c r="AA64" s="3" t="str">
        <f t="shared" si="1"/>
        <v/>
      </c>
      <c r="AB64" s="3" t="str">
        <f t="shared" si="17"/>
        <v/>
      </c>
    </row>
    <row r="65" spans="1:28" x14ac:dyDescent="0.25">
      <c r="A65" s="5">
        <f t="shared" si="2"/>
        <v>0</v>
      </c>
      <c r="B65" s="4" t="str">
        <f t="shared" si="3"/>
        <v/>
      </c>
      <c r="C65" s="4" t="str">
        <f t="shared" si="4"/>
        <v/>
      </c>
      <c r="D65" s="35" t="str">
        <f t="shared" si="5"/>
        <v/>
      </c>
      <c r="P65" s="3" t="str">
        <f t="shared" si="7"/>
        <v/>
      </c>
      <c r="Q65" s="3" t="str">
        <f t="shared" si="0"/>
        <v/>
      </c>
      <c r="R65" s="3" t="str">
        <f t="shared" si="8"/>
        <v/>
      </c>
      <c r="T65" s="3" t="str">
        <f t="shared" si="10"/>
        <v/>
      </c>
      <c r="U65" s="3" t="str">
        <f t="shared" si="11"/>
        <v/>
      </c>
      <c r="V65" s="3" t="str">
        <f t="shared" si="12"/>
        <v/>
      </c>
      <c r="W65" s="3" t="str">
        <f t="shared" si="13"/>
        <v/>
      </c>
      <c r="X65" s="3">
        <f t="shared" si="14"/>
        <v>4</v>
      </c>
      <c r="Y65" s="3" t="str">
        <f t="shared" si="15"/>
        <v/>
      </c>
      <c r="Z65" s="3" t="str">
        <f t="shared" si="16"/>
        <v/>
      </c>
      <c r="AA65" s="3" t="str">
        <f t="shared" si="1"/>
        <v/>
      </c>
      <c r="AB65" s="3" t="str">
        <f t="shared" si="17"/>
        <v/>
      </c>
    </row>
    <row r="66" spans="1:28" x14ac:dyDescent="0.25">
      <c r="A66" s="5">
        <f t="shared" si="2"/>
        <v>0</v>
      </c>
      <c r="B66" s="4" t="str">
        <f t="shared" si="3"/>
        <v/>
      </c>
      <c r="C66" s="4" t="str">
        <f t="shared" si="4"/>
        <v/>
      </c>
      <c r="D66" s="35" t="str">
        <f t="shared" si="5"/>
        <v/>
      </c>
      <c r="P66" s="3" t="str">
        <f t="shared" si="7"/>
        <v/>
      </c>
      <c r="Q66" s="3" t="str">
        <f t="shared" si="0"/>
        <v/>
      </c>
      <c r="R66" s="3" t="str">
        <f t="shared" si="8"/>
        <v/>
      </c>
      <c r="T66" s="3" t="str">
        <f t="shared" si="10"/>
        <v/>
      </c>
      <c r="U66" s="3" t="str">
        <f t="shared" si="11"/>
        <v/>
      </c>
      <c r="V66" s="3" t="str">
        <f t="shared" si="12"/>
        <v/>
      </c>
      <c r="W66" s="3" t="str">
        <f t="shared" si="13"/>
        <v/>
      </c>
      <c r="X66" s="3">
        <f t="shared" si="14"/>
        <v>4</v>
      </c>
      <c r="Y66" s="3" t="str">
        <f t="shared" si="15"/>
        <v/>
      </c>
      <c r="Z66" s="3" t="str">
        <f t="shared" si="16"/>
        <v/>
      </c>
      <c r="AA66" s="3" t="str">
        <f t="shared" si="1"/>
        <v/>
      </c>
      <c r="AB66" s="3" t="str">
        <f t="shared" si="17"/>
        <v/>
      </c>
    </row>
    <row r="67" spans="1:28" x14ac:dyDescent="0.25">
      <c r="A67" s="5">
        <f t="shared" si="2"/>
        <v>0</v>
      </c>
      <c r="B67" s="4" t="str">
        <f t="shared" si="3"/>
        <v/>
      </c>
      <c r="C67" s="4" t="str">
        <f t="shared" si="4"/>
        <v/>
      </c>
      <c r="D67" s="35" t="str">
        <f t="shared" si="5"/>
        <v/>
      </c>
      <c r="P67" s="3" t="str">
        <f t="shared" si="7"/>
        <v/>
      </c>
      <c r="Q67" s="3" t="str">
        <f t="shared" si="0"/>
        <v/>
      </c>
      <c r="R67" s="3" t="str">
        <f t="shared" si="8"/>
        <v/>
      </c>
      <c r="T67" s="3" t="str">
        <f t="shared" si="10"/>
        <v/>
      </c>
      <c r="U67" s="3" t="str">
        <f t="shared" si="11"/>
        <v/>
      </c>
      <c r="V67" s="3" t="str">
        <f t="shared" si="12"/>
        <v/>
      </c>
      <c r="W67" s="3" t="str">
        <f t="shared" si="13"/>
        <v/>
      </c>
      <c r="X67" s="3">
        <f t="shared" si="14"/>
        <v>4</v>
      </c>
      <c r="Y67" s="3" t="str">
        <f t="shared" si="15"/>
        <v/>
      </c>
      <c r="Z67" s="3" t="str">
        <f t="shared" si="16"/>
        <v/>
      </c>
      <c r="AA67" s="3" t="str">
        <f t="shared" ref="AA67:AA130" si="18">IF(ISNUMBER(SEARCH("@",Y67)),Y68,"")</f>
        <v/>
      </c>
      <c r="AB67" s="3" t="str">
        <f t="shared" si="17"/>
        <v/>
      </c>
    </row>
    <row r="68" spans="1:28" x14ac:dyDescent="0.25">
      <c r="A68" s="5">
        <f t="shared" ref="A68:A101" si="19">IF(ISNUMBER(CODE(B68)),1,0)</f>
        <v>0</v>
      </c>
      <c r="B68" s="4" t="str">
        <f t="shared" ref="B68:B101" si="20">IFERROR(VLOOKUP(ROW()-2,$X$3:$AA$290,3,0),"")</f>
        <v/>
      </c>
      <c r="C68" s="4" t="str">
        <f t="shared" ref="C68:C101" si="21">IFERROR(VLOOKUP(ROW()-2,$X$3:$AA$290,4,0),"")</f>
        <v/>
      </c>
      <c r="D68" s="35" t="str">
        <f t="shared" ref="D68:D101" si="22">IFERROR(VLOOKUP(ROW()-2,$X$3:$AB$290,5,0),"")</f>
        <v/>
      </c>
      <c r="P68" s="3" t="str">
        <f t="shared" ref="P68:P98" si="23">IF(J68="under",IF(HLOOKUP("Under",J68:K70,3,0)&gt;=$K$1,"Under "&amp;J69,IF(HLOOKUP("Over",J68:K70,3,0)&gt;=$K$1,"Over "&amp;J69,"")),"")</f>
        <v/>
      </c>
      <c r="Q68" s="3" t="str">
        <f t="shared" ref="Q68:Q98" si="24">IF(J68="under",IF(HLOOKUP("Under",J68:K70,3,0)&gt;=$K$1,J70,IF(HLOOKUP("Over",J68:K70,3,0)&gt;=$K$1,K70,"")),"")</f>
        <v/>
      </c>
      <c r="R68" s="3" t="str">
        <f t="shared" ref="R68:R98" si="25">IF(MOD(ROW(),3)=0,IF(L70&gt;=$K$1,I68&amp;" @ "&amp;H68,IF(M70&gt;=$K$1,I68&amp;" @ "&amp;H68,"")),"")</f>
        <v/>
      </c>
      <c r="T68" s="3" t="str">
        <f t="shared" ref="T68:T131" si="26">IF(MOD(ROW(),3)=0,IF(L70&gt;=$K$1,L70,IF(M70&gt;=$K$1,M70,"")),"")</f>
        <v/>
      </c>
      <c r="U68" s="3" t="str">
        <f t="shared" ref="U68:U131" si="27">IF(MOD(ROW(),3)=0,IF(H69="Dog",IF(H70&gt;=0.75,I68&amp;" @ "&amp;H68,""),IF(I70&gt;=0.75,I68&amp;" @ "&amp;H68,"")),"")</f>
        <v/>
      </c>
      <c r="V68" s="3" t="str">
        <f t="shared" ref="V68:V131" si="28">IF(MOD(ROW(),3)=0,IF(H69="Dog",IF(H70&gt;=0.75,H68&amp;" Moneyline",""),IF(I70&gt;=0.75,I68&amp;" Moneyline","")),"")</f>
        <v/>
      </c>
      <c r="W68" s="3" t="str">
        <f t="shared" ref="W68:W131" si="29">IF(MOD(ROW(),3)=0,IF(H69="Dog",IF(H70&gt;=0.75,H70,""),IF(I70&gt;=0.75,I70,"")),"")</f>
        <v/>
      </c>
      <c r="X68" s="3">
        <f t="shared" ref="X68:X131" si="30">IF(ISNUMBER(CODE(Z68)),X67+1,X67)</f>
        <v>4</v>
      </c>
      <c r="Y68" s="3" t="str">
        <f t="shared" ref="Y68:Y131" si="31">INDEX($O$3:$W$50,1+INT((ROW(A66)-1)/COLUMNS($O$3:$W$50)),MOD(ROW(A66)-1+COLUMNS($O$3:$W$50),COLUMNS($O$3:$W$50))+1)</f>
        <v/>
      </c>
      <c r="Z68" s="3" t="str">
        <f t="shared" ref="Z68:Z131" si="32">IF(ISNUMBER(SEARCH("@",Y68)),Y68,"")</f>
        <v/>
      </c>
      <c r="AA68" s="3" t="str">
        <f t="shared" si="18"/>
        <v/>
      </c>
      <c r="AB68" s="3" t="str">
        <f t="shared" ref="AB68:AB131" si="33">IF(ISNUMBER(SEARCH("@",Y68)),Y70,"")</f>
        <v/>
      </c>
    </row>
    <row r="69" spans="1:28" x14ac:dyDescent="0.25">
      <c r="A69" s="5">
        <f t="shared" si="19"/>
        <v>0</v>
      </c>
      <c r="B69" s="4" t="str">
        <f t="shared" si="20"/>
        <v/>
      </c>
      <c r="C69" s="4" t="str">
        <f t="shared" si="21"/>
        <v/>
      </c>
      <c r="D69" s="35" t="str">
        <f t="shared" si="22"/>
        <v/>
      </c>
      <c r="P69" s="3" t="str">
        <f t="shared" si="23"/>
        <v/>
      </c>
      <c r="Q69" s="3" t="str">
        <f t="shared" si="24"/>
        <v/>
      </c>
      <c r="R69" s="3" t="str">
        <f t="shared" si="25"/>
        <v/>
      </c>
      <c r="T69" s="3" t="str">
        <f t="shared" si="26"/>
        <v/>
      </c>
      <c r="U69" s="3" t="str">
        <f t="shared" si="27"/>
        <v/>
      </c>
      <c r="V69" s="3" t="str">
        <f t="shared" si="28"/>
        <v/>
      </c>
      <c r="W69" s="3" t="str">
        <f t="shared" si="29"/>
        <v/>
      </c>
      <c r="X69" s="3">
        <f t="shared" si="30"/>
        <v>4</v>
      </c>
      <c r="Y69" s="3" t="str">
        <f t="shared" si="31"/>
        <v/>
      </c>
      <c r="Z69" s="3" t="str">
        <f t="shared" si="32"/>
        <v/>
      </c>
      <c r="AA69" s="3" t="str">
        <f t="shared" si="18"/>
        <v/>
      </c>
      <c r="AB69" s="3" t="str">
        <f t="shared" si="33"/>
        <v/>
      </c>
    </row>
    <row r="70" spans="1:28" x14ac:dyDescent="0.25">
      <c r="A70" s="5">
        <f t="shared" si="19"/>
        <v>0</v>
      </c>
      <c r="B70" s="4" t="str">
        <f t="shared" si="20"/>
        <v/>
      </c>
      <c r="C70" s="4" t="str">
        <f t="shared" si="21"/>
        <v/>
      </c>
      <c r="D70" s="35" t="str">
        <f t="shared" si="22"/>
        <v/>
      </c>
      <c r="P70" s="3" t="str">
        <f t="shared" si="23"/>
        <v/>
      </c>
      <c r="Q70" s="3" t="str">
        <f t="shared" si="24"/>
        <v/>
      </c>
      <c r="R70" s="3" t="str">
        <f t="shared" si="25"/>
        <v/>
      </c>
      <c r="T70" s="3" t="str">
        <f t="shared" si="26"/>
        <v/>
      </c>
      <c r="U70" s="3" t="str">
        <f t="shared" si="27"/>
        <v/>
      </c>
      <c r="V70" s="3" t="str">
        <f t="shared" si="28"/>
        <v/>
      </c>
      <c r="W70" s="3" t="str">
        <f t="shared" si="29"/>
        <v/>
      </c>
      <c r="X70" s="3">
        <f t="shared" si="30"/>
        <v>4</v>
      </c>
      <c r="Y70" s="3" t="str">
        <f t="shared" si="31"/>
        <v/>
      </c>
      <c r="Z70" s="3" t="str">
        <f t="shared" si="32"/>
        <v/>
      </c>
      <c r="AA70" s="3" t="str">
        <f t="shared" si="18"/>
        <v/>
      </c>
      <c r="AB70" s="3" t="str">
        <f t="shared" si="33"/>
        <v/>
      </c>
    </row>
    <row r="71" spans="1:28" x14ac:dyDescent="0.25">
      <c r="A71" s="5">
        <f t="shared" si="19"/>
        <v>0</v>
      </c>
      <c r="B71" s="4" t="str">
        <f t="shared" si="20"/>
        <v/>
      </c>
      <c r="C71" s="4" t="str">
        <f t="shared" si="21"/>
        <v/>
      </c>
      <c r="D71" s="35" t="str">
        <f t="shared" si="22"/>
        <v/>
      </c>
      <c r="P71" s="3" t="str">
        <f t="shared" si="23"/>
        <v/>
      </c>
      <c r="Q71" s="3" t="str">
        <f t="shared" si="24"/>
        <v/>
      </c>
      <c r="R71" s="3" t="str">
        <f t="shared" si="25"/>
        <v/>
      </c>
      <c r="T71" s="3" t="str">
        <f t="shared" si="26"/>
        <v/>
      </c>
      <c r="U71" s="3" t="str">
        <f t="shared" si="27"/>
        <v/>
      </c>
      <c r="V71" s="3" t="str">
        <f t="shared" si="28"/>
        <v/>
      </c>
      <c r="W71" s="3" t="str">
        <f t="shared" si="29"/>
        <v/>
      </c>
      <c r="X71" s="3">
        <f t="shared" si="30"/>
        <v>4</v>
      </c>
      <c r="Y71" s="3" t="str">
        <f t="shared" si="31"/>
        <v/>
      </c>
      <c r="Z71" s="3" t="str">
        <f t="shared" si="32"/>
        <v/>
      </c>
      <c r="AA71" s="3" t="str">
        <f t="shared" si="18"/>
        <v/>
      </c>
      <c r="AB71" s="3" t="str">
        <f t="shared" si="33"/>
        <v/>
      </c>
    </row>
    <row r="72" spans="1:28" x14ac:dyDescent="0.25">
      <c r="A72" s="5">
        <f t="shared" si="19"/>
        <v>0</v>
      </c>
      <c r="B72" s="4" t="str">
        <f t="shared" si="20"/>
        <v/>
      </c>
      <c r="C72" s="4" t="str">
        <f t="shared" si="21"/>
        <v/>
      </c>
      <c r="D72" s="35" t="str">
        <f t="shared" si="22"/>
        <v/>
      </c>
      <c r="P72" s="3" t="str">
        <f t="shared" si="23"/>
        <v/>
      </c>
      <c r="Q72" s="3" t="str">
        <f t="shared" si="24"/>
        <v/>
      </c>
      <c r="R72" s="3" t="str">
        <f t="shared" si="25"/>
        <v/>
      </c>
      <c r="T72" s="3" t="str">
        <f t="shared" si="26"/>
        <v/>
      </c>
      <c r="U72" s="3" t="str">
        <f t="shared" si="27"/>
        <v/>
      </c>
      <c r="V72" s="3" t="str">
        <f t="shared" si="28"/>
        <v/>
      </c>
      <c r="W72" s="3" t="str">
        <f t="shared" si="29"/>
        <v/>
      </c>
      <c r="X72" s="3">
        <f t="shared" si="30"/>
        <v>4</v>
      </c>
      <c r="Y72" s="3" t="str">
        <f t="shared" si="31"/>
        <v/>
      </c>
      <c r="Z72" s="3" t="str">
        <f t="shared" si="32"/>
        <v/>
      </c>
      <c r="AA72" s="3" t="str">
        <f t="shared" si="18"/>
        <v/>
      </c>
      <c r="AB72" s="3" t="str">
        <f t="shared" si="33"/>
        <v/>
      </c>
    </row>
    <row r="73" spans="1:28" x14ac:dyDescent="0.25">
      <c r="A73" s="5">
        <f t="shared" si="19"/>
        <v>0</v>
      </c>
      <c r="B73" s="4" t="str">
        <f t="shared" si="20"/>
        <v/>
      </c>
      <c r="C73" s="4" t="str">
        <f t="shared" si="21"/>
        <v/>
      </c>
      <c r="D73" s="35" t="str">
        <f t="shared" si="22"/>
        <v/>
      </c>
      <c r="P73" s="3" t="str">
        <f t="shared" si="23"/>
        <v/>
      </c>
      <c r="Q73" s="3" t="str">
        <f t="shared" si="24"/>
        <v/>
      </c>
      <c r="R73" s="3" t="str">
        <f t="shared" si="25"/>
        <v/>
      </c>
      <c r="T73" s="3" t="str">
        <f t="shared" si="26"/>
        <v/>
      </c>
      <c r="U73" s="3" t="str">
        <f t="shared" si="27"/>
        <v/>
      </c>
      <c r="V73" s="3" t="str">
        <f t="shared" si="28"/>
        <v/>
      </c>
      <c r="W73" s="3" t="str">
        <f t="shared" si="29"/>
        <v/>
      </c>
      <c r="X73" s="3">
        <f t="shared" si="30"/>
        <v>4</v>
      </c>
      <c r="Y73" s="3" t="str">
        <f t="shared" si="31"/>
        <v/>
      </c>
      <c r="Z73" s="3" t="str">
        <f t="shared" si="32"/>
        <v/>
      </c>
      <c r="AA73" s="3" t="str">
        <f t="shared" si="18"/>
        <v/>
      </c>
      <c r="AB73" s="3" t="str">
        <f t="shared" si="33"/>
        <v/>
      </c>
    </row>
    <row r="74" spans="1:28" x14ac:dyDescent="0.25">
      <c r="A74" s="5">
        <f t="shared" si="19"/>
        <v>0</v>
      </c>
      <c r="B74" s="4" t="str">
        <f t="shared" si="20"/>
        <v/>
      </c>
      <c r="C74" s="4" t="str">
        <f t="shared" si="21"/>
        <v/>
      </c>
      <c r="D74" s="35" t="str">
        <f t="shared" si="22"/>
        <v/>
      </c>
      <c r="P74" s="3" t="str">
        <f t="shared" si="23"/>
        <v/>
      </c>
      <c r="Q74" s="3" t="str">
        <f t="shared" si="24"/>
        <v/>
      </c>
      <c r="R74" s="3" t="str">
        <f t="shared" si="25"/>
        <v/>
      </c>
      <c r="T74" s="3" t="str">
        <f t="shared" si="26"/>
        <v/>
      </c>
      <c r="U74" s="3" t="str">
        <f t="shared" si="27"/>
        <v/>
      </c>
      <c r="V74" s="3" t="str">
        <f t="shared" si="28"/>
        <v/>
      </c>
      <c r="W74" s="3" t="str">
        <f t="shared" si="29"/>
        <v/>
      </c>
      <c r="X74" s="3">
        <f t="shared" si="30"/>
        <v>4</v>
      </c>
      <c r="Y74" s="3" t="str">
        <f t="shared" si="31"/>
        <v/>
      </c>
      <c r="Z74" s="3" t="str">
        <f t="shared" si="32"/>
        <v/>
      </c>
      <c r="AA74" s="3" t="str">
        <f t="shared" si="18"/>
        <v/>
      </c>
      <c r="AB74" s="3" t="str">
        <f t="shared" si="33"/>
        <v/>
      </c>
    </row>
    <row r="75" spans="1:28" x14ac:dyDescent="0.25">
      <c r="A75" s="5">
        <f t="shared" si="19"/>
        <v>0</v>
      </c>
      <c r="B75" s="4" t="str">
        <f t="shared" si="20"/>
        <v/>
      </c>
      <c r="C75" s="4" t="str">
        <f t="shared" si="21"/>
        <v/>
      </c>
      <c r="D75" s="35" t="str">
        <f t="shared" si="22"/>
        <v/>
      </c>
      <c r="P75" s="3" t="str">
        <f t="shared" si="23"/>
        <v/>
      </c>
      <c r="Q75" s="3" t="str">
        <f t="shared" si="24"/>
        <v/>
      </c>
      <c r="R75" s="3" t="str">
        <f t="shared" si="25"/>
        <v/>
      </c>
      <c r="T75" s="3" t="str">
        <f t="shared" si="26"/>
        <v/>
      </c>
      <c r="U75" s="3" t="str">
        <f t="shared" si="27"/>
        <v/>
      </c>
      <c r="V75" s="3" t="str">
        <f t="shared" si="28"/>
        <v/>
      </c>
      <c r="W75" s="3" t="str">
        <f t="shared" si="29"/>
        <v/>
      </c>
      <c r="X75" s="3">
        <f t="shared" si="30"/>
        <v>4</v>
      </c>
      <c r="Y75" s="3" t="str">
        <f t="shared" si="31"/>
        <v/>
      </c>
      <c r="Z75" s="3" t="str">
        <f t="shared" si="32"/>
        <v/>
      </c>
      <c r="AA75" s="3" t="str">
        <f t="shared" si="18"/>
        <v/>
      </c>
      <c r="AB75" s="3" t="str">
        <f t="shared" si="33"/>
        <v/>
      </c>
    </row>
    <row r="76" spans="1:28" x14ac:dyDescent="0.25">
      <c r="A76" s="5">
        <f t="shared" si="19"/>
        <v>0</v>
      </c>
      <c r="B76" s="4" t="str">
        <f t="shared" si="20"/>
        <v/>
      </c>
      <c r="C76" s="4" t="str">
        <f t="shared" si="21"/>
        <v/>
      </c>
      <c r="D76" s="35" t="str">
        <f t="shared" si="22"/>
        <v/>
      </c>
      <c r="P76" s="3" t="str">
        <f t="shared" si="23"/>
        <v/>
      </c>
      <c r="Q76" s="3" t="str">
        <f t="shared" si="24"/>
        <v/>
      </c>
      <c r="R76" s="3" t="str">
        <f t="shared" si="25"/>
        <v/>
      </c>
      <c r="T76" s="3" t="str">
        <f t="shared" si="26"/>
        <v/>
      </c>
      <c r="U76" s="3" t="str">
        <f t="shared" si="27"/>
        <v/>
      </c>
      <c r="V76" s="3" t="str">
        <f t="shared" si="28"/>
        <v/>
      </c>
      <c r="W76" s="3" t="str">
        <f t="shared" si="29"/>
        <v/>
      </c>
      <c r="X76" s="3">
        <f t="shared" si="30"/>
        <v>4</v>
      </c>
      <c r="Y76" s="3" t="str">
        <f t="shared" si="31"/>
        <v/>
      </c>
      <c r="Z76" s="3" t="str">
        <f t="shared" si="32"/>
        <v/>
      </c>
      <c r="AA76" s="3" t="str">
        <f t="shared" si="18"/>
        <v/>
      </c>
      <c r="AB76" s="3" t="str">
        <f t="shared" si="33"/>
        <v/>
      </c>
    </row>
    <row r="77" spans="1:28" x14ac:dyDescent="0.25">
      <c r="A77" s="5">
        <f t="shared" si="19"/>
        <v>0</v>
      </c>
      <c r="B77" s="4" t="str">
        <f t="shared" si="20"/>
        <v/>
      </c>
      <c r="C77" s="4" t="str">
        <f t="shared" si="21"/>
        <v/>
      </c>
      <c r="D77" s="35" t="str">
        <f t="shared" si="22"/>
        <v/>
      </c>
      <c r="P77" s="3" t="str">
        <f t="shared" si="23"/>
        <v/>
      </c>
      <c r="Q77" s="3" t="str">
        <f t="shared" si="24"/>
        <v/>
      </c>
      <c r="R77" s="3" t="str">
        <f t="shared" si="25"/>
        <v/>
      </c>
      <c r="T77" s="3" t="str">
        <f t="shared" si="26"/>
        <v/>
      </c>
      <c r="U77" s="3" t="str">
        <f t="shared" si="27"/>
        <v/>
      </c>
      <c r="V77" s="3" t="str">
        <f t="shared" si="28"/>
        <v/>
      </c>
      <c r="W77" s="3" t="str">
        <f t="shared" si="29"/>
        <v/>
      </c>
      <c r="X77" s="3">
        <f t="shared" si="30"/>
        <v>4</v>
      </c>
      <c r="Y77" s="3" t="str">
        <f t="shared" si="31"/>
        <v/>
      </c>
      <c r="Z77" s="3" t="str">
        <f t="shared" si="32"/>
        <v/>
      </c>
      <c r="AA77" s="3" t="str">
        <f t="shared" si="18"/>
        <v/>
      </c>
      <c r="AB77" s="3" t="str">
        <f t="shared" si="33"/>
        <v/>
      </c>
    </row>
    <row r="78" spans="1:28" x14ac:dyDescent="0.25">
      <c r="A78" s="5">
        <f t="shared" si="19"/>
        <v>0</v>
      </c>
      <c r="B78" s="4" t="str">
        <f t="shared" si="20"/>
        <v/>
      </c>
      <c r="C78" s="4" t="str">
        <f t="shared" si="21"/>
        <v/>
      </c>
      <c r="D78" s="35" t="str">
        <f t="shared" si="22"/>
        <v/>
      </c>
      <c r="P78" s="3" t="str">
        <f t="shared" si="23"/>
        <v/>
      </c>
      <c r="Q78" s="3" t="str">
        <f t="shared" si="24"/>
        <v/>
      </c>
      <c r="R78" s="3" t="str">
        <f t="shared" si="25"/>
        <v/>
      </c>
      <c r="T78" s="3" t="str">
        <f t="shared" si="26"/>
        <v/>
      </c>
      <c r="U78" s="3" t="str">
        <f t="shared" si="27"/>
        <v/>
      </c>
      <c r="V78" s="3" t="str">
        <f t="shared" si="28"/>
        <v/>
      </c>
      <c r="W78" s="3" t="str">
        <f t="shared" si="29"/>
        <v/>
      </c>
      <c r="X78" s="3">
        <f t="shared" si="30"/>
        <v>4</v>
      </c>
      <c r="Y78" s="3" t="str">
        <f t="shared" si="31"/>
        <v/>
      </c>
      <c r="Z78" s="3" t="str">
        <f t="shared" si="32"/>
        <v/>
      </c>
      <c r="AA78" s="3" t="str">
        <f t="shared" si="18"/>
        <v/>
      </c>
      <c r="AB78" s="3" t="str">
        <f t="shared" si="33"/>
        <v/>
      </c>
    </row>
    <row r="79" spans="1:28" x14ac:dyDescent="0.25">
      <c r="A79" s="5">
        <f t="shared" si="19"/>
        <v>0</v>
      </c>
      <c r="B79" s="4" t="str">
        <f t="shared" si="20"/>
        <v/>
      </c>
      <c r="C79" s="4" t="str">
        <f t="shared" si="21"/>
        <v/>
      </c>
      <c r="D79" s="35" t="str">
        <f t="shared" si="22"/>
        <v/>
      </c>
      <c r="P79" s="3" t="str">
        <f t="shared" si="23"/>
        <v/>
      </c>
      <c r="Q79" s="3" t="str">
        <f t="shared" si="24"/>
        <v/>
      </c>
      <c r="R79" s="3" t="str">
        <f t="shared" si="25"/>
        <v/>
      </c>
      <c r="T79" s="3" t="str">
        <f t="shared" si="26"/>
        <v/>
      </c>
      <c r="U79" s="3" t="str">
        <f t="shared" si="27"/>
        <v/>
      </c>
      <c r="V79" s="3" t="str">
        <f t="shared" si="28"/>
        <v/>
      </c>
      <c r="W79" s="3" t="str">
        <f t="shared" si="29"/>
        <v/>
      </c>
      <c r="X79" s="3">
        <f t="shared" si="30"/>
        <v>4</v>
      </c>
      <c r="Y79" s="3" t="str">
        <f t="shared" si="31"/>
        <v/>
      </c>
      <c r="Z79" s="3" t="str">
        <f t="shared" si="32"/>
        <v/>
      </c>
      <c r="AA79" s="3" t="str">
        <f t="shared" si="18"/>
        <v/>
      </c>
      <c r="AB79" s="3" t="str">
        <f t="shared" si="33"/>
        <v/>
      </c>
    </row>
    <row r="80" spans="1:28" x14ac:dyDescent="0.25">
      <c r="A80" s="5">
        <f t="shared" si="19"/>
        <v>0</v>
      </c>
      <c r="B80" s="4" t="str">
        <f t="shared" si="20"/>
        <v/>
      </c>
      <c r="C80" s="4" t="str">
        <f t="shared" si="21"/>
        <v/>
      </c>
      <c r="D80" s="35" t="str">
        <f t="shared" si="22"/>
        <v/>
      </c>
      <c r="P80" s="3" t="str">
        <f t="shared" si="23"/>
        <v/>
      </c>
      <c r="Q80" s="3" t="str">
        <f t="shared" si="24"/>
        <v/>
      </c>
      <c r="R80" s="3" t="str">
        <f t="shared" si="25"/>
        <v/>
      </c>
      <c r="T80" s="3" t="str">
        <f t="shared" si="26"/>
        <v/>
      </c>
      <c r="U80" s="3" t="str">
        <f t="shared" si="27"/>
        <v/>
      </c>
      <c r="V80" s="3" t="str">
        <f t="shared" si="28"/>
        <v/>
      </c>
      <c r="W80" s="3" t="str">
        <f t="shared" si="29"/>
        <v/>
      </c>
      <c r="X80" s="3">
        <f t="shared" si="30"/>
        <v>4</v>
      </c>
      <c r="Y80" s="3" t="str">
        <f t="shared" si="31"/>
        <v/>
      </c>
      <c r="Z80" s="3" t="str">
        <f t="shared" si="32"/>
        <v/>
      </c>
      <c r="AA80" s="3" t="str">
        <f t="shared" si="18"/>
        <v/>
      </c>
      <c r="AB80" s="3" t="str">
        <f t="shared" si="33"/>
        <v/>
      </c>
    </row>
    <row r="81" spans="1:28" x14ac:dyDescent="0.25">
      <c r="A81" s="5">
        <f t="shared" si="19"/>
        <v>0</v>
      </c>
      <c r="B81" s="4" t="str">
        <f t="shared" si="20"/>
        <v/>
      </c>
      <c r="C81" s="4" t="str">
        <f t="shared" si="21"/>
        <v/>
      </c>
      <c r="D81" s="35" t="str">
        <f t="shared" si="22"/>
        <v/>
      </c>
      <c r="P81" s="3" t="str">
        <f t="shared" si="23"/>
        <v/>
      </c>
      <c r="Q81" s="3" t="str">
        <f t="shared" si="24"/>
        <v/>
      </c>
      <c r="R81" s="3" t="str">
        <f t="shared" si="25"/>
        <v/>
      </c>
      <c r="T81" s="3" t="str">
        <f t="shared" si="26"/>
        <v/>
      </c>
      <c r="U81" s="3" t="str">
        <f t="shared" si="27"/>
        <v/>
      </c>
      <c r="V81" s="3" t="str">
        <f t="shared" si="28"/>
        <v/>
      </c>
      <c r="W81" s="3" t="str">
        <f t="shared" si="29"/>
        <v/>
      </c>
      <c r="X81" s="3">
        <f t="shared" si="30"/>
        <v>4</v>
      </c>
      <c r="Y81" s="3" t="str">
        <f t="shared" si="31"/>
        <v/>
      </c>
      <c r="Z81" s="3" t="str">
        <f t="shared" si="32"/>
        <v/>
      </c>
      <c r="AA81" s="3" t="str">
        <f t="shared" si="18"/>
        <v/>
      </c>
      <c r="AB81" s="3" t="str">
        <f t="shared" si="33"/>
        <v/>
      </c>
    </row>
    <row r="82" spans="1:28" x14ac:dyDescent="0.25">
      <c r="A82" s="5">
        <f t="shared" si="19"/>
        <v>0</v>
      </c>
      <c r="B82" s="4" t="str">
        <f t="shared" si="20"/>
        <v/>
      </c>
      <c r="C82" s="4" t="str">
        <f t="shared" si="21"/>
        <v/>
      </c>
      <c r="D82" s="35" t="str">
        <f t="shared" si="22"/>
        <v/>
      </c>
      <c r="P82" s="3" t="str">
        <f t="shared" si="23"/>
        <v/>
      </c>
      <c r="Q82" s="3" t="str">
        <f t="shared" si="24"/>
        <v/>
      </c>
      <c r="R82" s="3" t="str">
        <f t="shared" si="25"/>
        <v/>
      </c>
      <c r="T82" s="3" t="str">
        <f t="shared" si="26"/>
        <v/>
      </c>
      <c r="U82" s="3" t="str">
        <f t="shared" si="27"/>
        <v/>
      </c>
      <c r="V82" s="3" t="str">
        <f t="shared" si="28"/>
        <v/>
      </c>
      <c r="W82" s="3" t="str">
        <f t="shared" si="29"/>
        <v/>
      </c>
      <c r="X82" s="3">
        <f t="shared" si="30"/>
        <v>4</v>
      </c>
      <c r="Y82" s="3" t="str">
        <f t="shared" si="31"/>
        <v/>
      </c>
      <c r="Z82" s="3" t="str">
        <f t="shared" si="32"/>
        <v/>
      </c>
      <c r="AA82" s="3" t="str">
        <f t="shared" si="18"/>
        <v/>
      </c>
      <c r="AB82" s="3" t="str">
        <f t="shared" si="33"/>
        <v/>
      </c>
    </row>
    <row r="83" spans="1:28" x14ac:dyDescent="0.25">
      <c r="A83" s="5">
        <f t="shared" si="19"/>
        <v>0</v>
      </c>
      <c r="B83" s="4" t="str">
        <f t="shared" si="20"/>
        <v/>
      </c>
      <c r="C83" s="4" t="str">
        <f t="shared" si="21"/>
        <v/>
      </c>
      <c r="D83" s="35" t="str">
        <f t="shared" si="22"/>
        <v/>
      </c>
      <c r="P83" s="3" t="str">
        <f t="shared" si="23"/>
        <v/>
      </c>
      <c r="Q83" s="3" t="str">
        <f t="shared" si="24"/>
        <v/>
      </c>
      <c r="R83" s="3" t="str">
        <f t="shared" si="25"/>
        <v/>
      </c>
      <c r="T83" s="3" t="str">
        <f t="shared" si="26"/>
        <v/>
      </c>
      <c r="U83" s="3" t="str">
        <f t="shared" si="27"/>
        <v/>
      </c>
      <c r="V83" s="3" t="str">
        <f t="shared" si="28"/>
        <v/>
      </c>
      <c r="W83" s="3" t="str">
        <f t="shared" si="29"/>
        <v/>
      </c>
      <c r="X83" s="3">
        <f t="shared" si="30"/>
        <v>4</v>
      </c>
      <c r="Y83" s="3" t="str">
        <f t="shared" si="31"/>
        <v/>
      </c>
      <c r="Z83" s="3" t="str">
        <f t="shared" si="32"/>
        <v/>
      </c>
      <c r="AA83" s="3" t="str">
        <f t="shared" si="18"/>
        <v/>
      </c>
      <c r="AB83" s="3" t="str">
        <f t="shared" si="33"/>
        <v/>
      </c>
    </row>
    <row r="84" spans="1:28" x14ac:dyDescent="0.25">
      <c r="A84" s="5">
        <f t="shared" si="19"/>
        <v>0</v>
      </c>
      <c r="B84" s="4" t="str">
        <f t="shared" si="20"/>
        <v/>
      </c>
      <c r="C84" s="4" t="str">
        <f t="shared" si="21"/>
        <v/>
      </c>
      <c r="D84" s="35" t="str">
        <f t="shared" si="22"/>
        <v/>
      </c>
      <c r="P84" s="3" t="str">
        <f t="shared" si="23"/>
        <v/>
      </c>
      <c r="Q84" s="3" t="str">
        <f t="shared" si="24"/>
        <v/>
      </c>
      <c r="R84" s="3" t="str">
        <f t="shared" si="25"/>
        <v/>
      </c>
      <c r="T84" s="3" t="str">
        <f t="shared" si="26"/>
        <v/>
      </c>
      <c r="U84" s="3" t="str">
        <f t="shared" si="27"/>
        <v/>
      </c>
      <c r="V84" s="3" t="str">
        <f t="shared" si="28"/>
        <v/>
      </c>
      <c r="W84" s="3" t="str">
        <f t="shared" si="29"/>
        <v/>
      </c>
      <c r="X84" s="3">
        <f t="shared" si="30"/>
        <v>5</v>
      </c>
      <c r="Y84" s="3" t="str">
        <f t="shared" si="31"/>
        <v>Eagles @ Saints</v>
      </c>
      <c r="Z84" s="3" t="str">
        <f t="shared" si="32"/>
        <v>Eagles @ Saints</v>
      </c>
      <c r="AA84" s="3" t="str">
        <f t="shared" si="18"/>
        <v>Over 51</v>
      </c>
      <c r="AB84" s="3">
        <f t="shared" si="33"/>
        <v>0.74058999999999997</v>
      </c>
    </row>
    <row r="85" spans="1:28" x14ac:dyDescent="0.25">
      <c r="A85" s="5">
        <f t="shared" si="19"/>
        <v>0</v>
      </c>
      <c r="B85" s="4" t="str">
        <f t="shared" si="20"/>
        <v/>
      </c>
      <c r="C85" s="4" t="str">
        <f t="shared" si="21"/>
        <v/>
      </c>
      <c r="D85" s="35" t="str">
        <f t="shared" si="22"/>
        <v/>
      </c>
      <c r="P85" s="3" t="str">
        <f t="shared" si="23"/>
        <v/>
      </c>
      <c r="Q85" s="3" t="str">
        <f t="shared" si="24"/>
        <v/>
      </c>
      <c r="R85" s="3" t="str">
        <f t="shared" si="25"/>
        <v/>
      </c>
      <c r="T85" s="3" t="str">
        <f t="shared" si="26"/>
        <v/>
      </c>
      <c r="U85" s="3" t="str">
        <f t="shared" si="27"/>
        <v/>
      </c>
      <c r="V85" s="3" t="str">
        <f t="shared" si="28"/>
        <v/>
      </c>
      <c r="W85" s="3" t="str">
        <f t="shared" si="29"/>
        <v/>
      </c>
      <c r="X85" s="3">
        <f t="shared" si="30"/>
        <v>5</v>
      </c>
      <c r="Y85" s="3" t="str">
        <f t="shared" si="31"/>
        <v>Over 51</v>
      </c>
      <c r="Z85" s="3" t="str">
        <f t="shared" si="32"/>
        <v/>
      </c>
      <c r="AA85" s="3" t="str">
        <f t="shared" si="18"/>
        <v/>
      </c>
      <c r="AB85" s="3" t="str">
        <f t="shared" si="33"/>
        <v/>
      </c>
    </row>
    <row r="86" spans="1:28" x14ac:dyDescent="0.25">
      <c r="A86" s="5">
        <f t="shared" si="19"/>
        <v>0</v>
      </c>
      <c r="B86" s="4" t="str">
        <f t="shared" si="20"/>
        <v/>
      </c>
      <c r="C86" s="4" t="str">
        <f t="shared" si="21"/>
        <v/>
      </c>
      <c r="D86" s="35" t="str">
        <f t="shared" si="22"/>
        <v/>
      </c>
      <c r="P86" s="3" t="str">
        <f t="shared" si="23"/>
        <v/>
      </c>
      <c r="Q86" s="3" t="str">
        <f t="shared" si="24"/>
        <v/>
      </c>
      <c r="R86" s="3" t="str">
        <f t="shared" si="25"/>
        <v/>
      </c>
      <c r="T86" s="3" t="str">
        <f t="shared" si="26"/>
        <v/>
      </c>
      <c r="U86" s="3" t="str">
        <f t="shared" si="27"/>
        <v/>
      </c>
      <c r="V86" s="3" t="str">
        <f t="shared" si="28"/>
        <v/>
      </c>
      <c r="W86" s="3" t="str">
        <f t="shared" si="29"/>
        <v/>
      </c>
      <c r="X86" s="3">
        <f t="shared" si="30"/>
        <v>5</v>
      </c>
      <c r="Y86" s="3">
        <f t="shared" si="31"/>
        <v>0.74058999999999997</v>
      </c>
      <c r="Z86" s="3" t="str">
        <f t="shared" si="32"/>
        <v/>
      </c>
      <c r="AA86" s="3" t="str">
        <f t="shared" si="18"/>
        <v/>
      </c>
      <c r="AB86" s="3" t="str">
        <f t="shared" si="33"/>
        <v/>
      </c>
    </row>
    <row r="87" spans="1:28" x14ac:dyDescent="0.25">
      <c r="A87" s="5">
        <f t="shared" si="19"/>
        <v>0</v>
      </c>
      <c r="B87" s="4" t="str">
        <f t="shared" si="20"/>
        <v/>
      </c>
      <c r="C87" s="4" t="str">
        <f t="shared" si="21"/>
        <v/>
      </c>
      <c r="D87" s="35" t="str">
        <f t="shared" si="22"/>
        <v/>
      </c>
      <c r="P87" s="3" t="str">
        <f t="shared" si="23"/>
        <v/>
      </c>
      <c r="Q87" s="3" t="str">
        <f t="shared" si="24"/>
        <v/>
      </c>
      <c r="R87" s="3" t="str">
        <f t="shared" si="25"/>
        <v/>
      </c>
      <c r="T87" s="3" t="str">
        <f t="shared" si="26"/>
        <v/>
      </c>
      <c r="U87" s="3" t="str">
        <f t="shared" si="27"/>
        <v/>
      </c>
      <c r="V87" s="3" t="str">
        <f t="shared" si="28"/>
        <v/>
      </c>
      <c r="W87" s="3" t="str">
        <f t="shared" si="29"/>
        <v/>
      </c>
      <c r="X87" s="3">
        <f t="shared" si="30"/>
        <v>6</v>
      </c>
      <c r="Y87" s="3" t="str">
        <f t="shared" si="31"/>
        <v>Eagles @ Saints</v>
      </c>
      <c r="Z87" s="3" t="str">
        <f t="shared" si="32"/>
        <v>Eagles @ Saints</v>
      </c>
      <c r="AA87" s="3" t="str">
        <f t="shared" si="18"/>
        <v>Saints -8</v>
      </c>
      <c r="AB87" s="3">
        <f t="shared" si="33"/>
        <v>0.65608</v>
      </c>
    </row>
    <row r="88" spans="1:28" x14ac:dyDescent="0.25">
      <c r="A88" s="5">
        <f t="shared" si="19"/>
        <v>0</v>
      </c>
      <c r="B88" s="4" t="str">
        <f t="shared" si="20"/>
        <v/>
      </c>
      <c r="C88" s="4" t="str">
        <f t="shared" si="21"/>
        <v/>
      </c>
      <c r="D88" s="35" t="str">
        <f t="shared" si="22"/>
        <v/>
      </c>
      <c r="P88" s="3" t="str">
        <f t="shared" si="23"/>
        <v/>
      </c>
      <c r="Q88" s="3" t="str">
        <f t="shared" si="24"/>
        <v/>
      </c>
      <c r="R88" s="3" t="str">
        <f t="shared" si="25"/>
        <v/>
      </c>
      <c r="T88" s="3" t="str">
        <f t="shared" si="26"/>
        <v/>
      </c>
      <c r="U88" s="3" t="str">
        <f t="shared" si="27"/>
        <v/>
      </c>
      <c r="V88" s="3" t="str">
        <f t="shared" si="28"/>
        <v/>
      </c>
      <c r="W88" s="3" t="str">
        <f t="shared" si="29"/>
        <v/>
      </c>
      <c r="X88" s="3">
        <f t="shared" si="30"/>
        <v>6</v>
      </c>
      <c r="Y88" s="3" t="str">
        <f t="shared" si="31"/>
        <v>Saints -8</v>
      </c>
      <c r="Z88" s="3" t="str">
        <f t="shared" si="32"/>
        <v/>
      </c>
      <c r="AA88" s="3" t="str">
        <f t="shared" si="18"/>
        <v/>
      </c>
      <c r="AB88" s="3" t="str">
        <f t="shared" si="33"/>
        <v/>
      </c>
    </row>
    <row r="89" spans="1:28" x14ac:dyDescent="0.25">
      <c r="A89" s="5">
        <f t="shared" si="19"/>
        <v>0</v>
      </c>
      <c r="B89" s="4" t="str">
        <f t="shared" si="20"/>
        <v/>
      </c>
      <c r="C89" s="4" t="str">
        <f t="shared" si="21"/>
        <v/>
      </c>
      <c r="D89" s="35" t="str">
        <f t="shared" si="22"/>
        <v/>
      </c>
      <c r="P89" s="3" t="str">
        <f t="shared" si="23"/>
        <v/>
      </c>
      <c r="Q89" s="3" t="str">
        <f t="shared" si="24"/>
        <v/>
      </c>
      <c r="R89" s="3" t="str">
        <f t="shared" si="25"/>
        <v/>
      </c>
      <c r="T89" s="3" t="str">
        <f t="shared" si="26"/>
        <v/>
      </c>
      <c r="U89" s="3" t="str">
        <f t="shared" si="27"/>
        <v/>
      </c>
      <c r="V89" s="3" t="str">
        <f t="shared" si="28"/>
        <v/>
      </c>
      <c r="W89" s="3" t="str">
        <f t="shared" si="29"/>
        <v/>
      </c>
      <c r="X89" s="3">
        <f t="shared" si="30"/>
        <v>6</v>
      </c>
      <c r="Y89" s="3">
        <f t="shared" si="31"/>
        <v>0.65608</v>
      </c>
      <c r="Z89" s="3" t="str">
        <f t="shared" si="32"/>
        <v/>
      </c>
      <c r="AA89" s="3" t="str">
        <f t="shared" si="18"/>
        <v/>
      </c>
      <c r="AB89" s="3" t="str">
        <f t="shared" si="33"/>
        <v/>
      </c>
    </row>
    <row r="90" spans="1:28" x14ac:dyDescent="0.25">
      <c r="A90" s="5">
        <f t="shared" si="19"/>
        <v>0</v>
      </c>
      <c r="B90" s="4" t="str">
        <f t="shared" si="20"/>
        <v/>
      </c>
      <c r="C90" s="4" t="str">
        <f t="shared" si="21"/>
        <v/>
      </c>
      <c r="D90" s="35" t="str">
        <f t="shared" si="22"/>
        <v/>
      </c>
      <c r="P90" s="3" t="str">
        <f t="shared" si="23"/>
        <v/>
      </c>
      <c r="Q90" s="3" t="str">
        <f t="shared" si="24"/>
        <v/>
      </c>
      <c r="R90" s="3" t="str">
        <f t="shared" si="25"/>
        <v/>
      </c>
      <c r="T90" s="3" t="str">
        <f t="shared" si="26"/>
        <v/>
      </c>
      <c r="U90" s="3" t="str">
        <f t="shared" si="27"/>
        <v/>
      </c>
      <c r="V90" s="3" t="str">
        <f t="shared" si="28"/>
        <v/>
      </c>
      <c r="W90" s="3" t="str">
        <f t="shared" si="29"/>
        <v/>
      </c>
      <c r="X90" s="3">
        <f t="shared" si="30"/>
        <v>6</v>
      </c>
      <c r="Y90" s="3" t="str">
        <f t="shared" si="31"/>
        <v/>
      </c>
      <c r="Z90" s="3" t="str">
        <f t="shared" si="32"/>
        <v/>
      </c>
      <c r="AA90" s="3" t="str">
        <f t="shared" si="18"/>
        <v/>
      </c>
      <c r="AB90" s="3" t="str">
        <f t="shared" si="33"/>
        <v/>
      </c>
    </row>
    <row r="91" spans="1:28" x14ac:dyDescent="0.25">
      <c r="A91" s="5">
        <f t="shared" si="19"/>
        <v>0</v>
      </c>
      <c r="B91" s="4" t="str">
        <f t="shared" si="20"/>
        <v/>
      </c>
      <c r="C91" s="4" t="str">
        <f t="shared" si="21"/>
        <v/>
      </c>
      <c r="D91" s="35" t="str">
        <f t="shared" si="22"/>
        <v/>
      </c>
      <c r="P91" s="3" t="str">
        <f t="shared" si="23"/>
        <v/>
      </c>
      <c r="Q91" s="3" t="str">
        <f t="shared" si="24"/>
        <v/>
      </c>
      <c r="R91" s="3" t="str">
        <f t="shared" si="25"/>
        <v/>
      </c>
      <c r="T91" s="3" t="str">
        <f t="shared" si="26"/>
        <v/>
      </c>
      <c r="U91" s="3" t="str">
        <f t="shared" si="27"/>
        <v/>
      </c>
      <c r="V91" s="3" t="str">
        <f t="shared" si="28"/>
        <v/>
      </c>
      <c r="W91" s="3" t="str">
        <f t="shared" si="29"/>
        <v/>
      </c>
      <c r="X91" s="3">
        <f t="shared" si="30"/>
        <v>6</v>
      </c>
      <c r="Y91" s="3" t="str">
        <f t="shared" si="31"/>
        <v/>
      </c>
      <c r="Z91" s="3" t="str">
        <f t="shared" si="32"/>
        <v/>
      </c>
      <c r="AA91" s="3" t="str">
        <f t="shared" si="18"/>
        <v/>
      </c>
      <c r="AB91" s="3" t="str">
        <f t="shared" si="33"/>
        <v/>
      </c>
    </row>
    <row r="92" spans="1:28" x14ac:dyDescent="0.25">
      <c r="A92" s="5">
        <f t="shared" si="19"/>
        <v>0</v>
      </c>
      <c r="B92" s="4" t="str">
        <f t="shared" si="20"/>
        <v/>
      </c>
      <c r="C92" s="4" t="str">
        <f t="shared" si="21"/>
        <v/>
      </c>
      <c r="D92" s="35" t="str">
        <f t="shared" si="22"/>
        <v/>
      </c>
      <c r="P92" s="3" t="str">
        <f t="shared" si="23"/>
        <v/>
      </c>
      <c r="Q92" s="3" t="str">
        <f t="shared" si="24"/>
        <v/>
      </c>
      <c r="R92" s="3" t="str">
        <f t="shared" si="25"/>
        <v/>
      </c>
      <c r="T92" s="3" t="str">
        <f t="shared" si="26"/>
        <v/>
      </c>
      <c r="U92" s="3" t="str">
        <f t="shared" si="27"/>
        <v/>
      </c>
      <c r="V92" s="3" t="str">
        <f t="shared" si="28"/>
        <v/>
      </c>
      <c r="W92" s="3" t="str">
        <f t="shared" si="29"/>
        <v/>
      </c>
      <c r="X92" s="3">
        <f t="shared" si="30"/>
        <v>6</v>
      </c>
      <c r="Y92" s="3" t="str">
        <f t="shared" si="31"/>
        <v/>
      </c>
      <c r="Z92" s="3" t="str">
        <f t="shared" si="32"/>
        <v/>
      </c>
      <c r="AA92" s="3" t="str">
        <f t="shared" si="18"/>
        <v/>
      </c>
      <c r="AB92" s="3" t="str">
        <f t="shared" si="33"/>
        <v/>
      </c>
    </row>
    <row r="93" spans="1:28" x14ac:dyDescent="0.25">
      <c r="A93" s="5">
        <f t="shared" si="19"/>
        <v>0</v>
      </c>
      <c r="B93" s="4" t="str">
        <f t="shared" si="20"/>
        <v/>
      </c>
      <c r="C93" s="4" t="str">
        <f t="shared" si="21"/>
        <v/>
      </c>
      <c r="D93" s="35" t="str">
        <f t="shared" si="22"/>
        <v/>
      </c>
      <c r="P93" s="3" t="str">
        <f t="shared" si="23"/>
        <v/>
      </c>
      <c r="Q93" s="3" t="str">
        <f t="shared" si="24"/>
        <v/>
      </c>
      <c r="R93" s="3" t="str">
        <f t="shared" si="25"/>
        <v/>
      </c>
      <c r="T93" s="3" t="str">
        <f t="shared" si="26"/>
        <v/>
      </c>
      <c r="U93" s="3" t="str">
        <f t="shared" si="27"/>
        <v/>
      </c>
      <c r="V93" s="3" t="str">
        <f t="shared" si="28"/>
        <v/>
      </c>
      <c r="W93" s="3" t="str">
        <f t="shared" si="29"/>
        <v/>
      </c>
      <c r="X93" s="3">
        <f t="shared" si="30"/>
        <v>6</v>
      </c>
      <c r="Y93" s="3" t="str">
        <f t="shared" si="31"/>
        <v/>
      </c>
      <c r="Z93" s="3" t="str">
        <f t="shared" si="32"/>
        <v/>
      </c>
      <c r="AA93" s="3" t="str">
        <f t="shared" si="18"/>
        <v/>
      </c>
      <c r="AB93" s="3" t="str">
        <f t="shared" si="33"/>
        <v/>
      </c>
    </row>
    <row r="94" spans="1:28" x14ac:dyDescent="0.25">
      <c r="A94" s="5">
        <f t="shared" si="19"/>
        <v>0</v>
      </c>
      <c r="B94" s="4" t="str">
        <f t="shared" si="20"/>
        <v/>
      </c>
      <c r="C94" s="4" t="str">
        <f t="shared" si="21"/>
        <v/>
      </c>
      <c r="D94" s="35" t="str">
        <f t="shared" si="22"/>
        <v/>
      </c>
      <c r="P94" s="3" t="str">
        <f t="shared" si="23"/>
        <v/>
      </c>
      <c r="Q94" s="3" t="str">
        <f t="shared" si="24"/>
        <v/>
      </c>
      <c r="R94" s="3" t="str">
        <f t="shared" si="25"/>
        <v/>
      </c>
      <c r="T94" s="3" t="str">
        <f t="shared" si="26"/>
        <v/>
      </c>
      <c r="U94" s="3" t="str">
        <f t="shared" si="27"/>
        <v/>
      </c>
      <c r="V94" s="3" t="str">
        <f t="shared" si="28"/>
        <v/>
      </c>
      <c r="W94" s="3" t="str">
        <f t="shared" si="29"/>
        <v/>
      </c>
      <c r="X94" s="3">
        <f t="shared" si="30"/>
        <v>6</v>
      </c>
      <c r="Y94" s="3" t="str">
        <f t="shared" si="31"/>
        <v/>
      </c>
      <c r="Z94" s="3" t="str">
        <f t="shared" si="32"/>
        <v/>
      </c>
      <c r="AA94" s="3" t="str">
        <f t="shared" si="18"/>
        <v/>
      </c>
      <c r="AB94" s="3" t="str">
        <f t="shared" si="33"/>
        <v/>
      </c>
    </row>
    <row r="95" spans="1:28" x14ac:dyDescent="0.25">
      <c r="A95" s="5">
        <f t="shared" si="19"/>
        <v>0</v>
      </c>
      <c r="B95" s="4" t="str">
        <f t="shared" si="20"/>
        <v/>
      </c>
      <c r="C95" s="4" t="str">
        <f t="shared" si="21"/>
        <v/>
      </c>
      <c r="D95" s="35" t="str">
        <f t="shared" si="22"/>
        <v/>
      </c>
      <c r="P95" s="3" t="str">
        <f t="shared" si="23"/>
        <v/>
      </c>
      <c r="Q95" s="3" t="str">
        <f t="shared" si="24"/>
        <v/>
      </c>
      <c r="R95" s="3" t="str">
        <f t="shared" si="25"/>
        <v/>
      </c>
      <c r="T95" s="3" t="str">
        <f t="shared" si="26"/>
        <v/>
      </c>
      <c r="U95" s="3" t="str">
        <f t="shared" si="27"/>
        <v/>
      </c>
      <c r="V95" s="3" t="str">
        <f t="shared" si="28"/>
        <v/>
      </c>
      <c r="W95" s="3" t="str">
        <f t="shared" si="29"/>
        <v/>
      </c>
      <c r="X95" s="3">
        <f t="shared" si="30"/>
        <v>6</v>
      </c>
      <c r="Y95" s="3" t="str">
        <f t="shared" si="31"/>
        <v/>
      </c>
      <c r="Z95" s="3" t="str">
        <f t="shared" si="32"/>
        <v/>
      </c>
      <c r="AA95" s="3" t="str">
        <f t="shared" si="18"/>
        <v/>
      </c>
      <c r="AB95" s="3" t="str">
        <f t="shared" si="33"/>
        <v/>
      </c>
    </row>
    <row r="96" spans="1:28" x14ac:dyDescent="0.25">
      <c r="A96" s="5">
        <f t="shared" si="19"/>
        <v>0</v>
      </c>
      <c r="B96" s="4" t="str">
        <f t="shared" si="20"/>
        <v/>
      </c>
      <c r="C96" s="4" t="str">
        <f t="shared" si="21"/>
        <v/>
      </c>
      <c r="D96" s="35" t="str">
        <f t="shared" si="22"/>
        <v/>
      </c>
      <c r="P96" s="3" t="str">
        <f t="shared" si="23"/>
        <v/>
      </c>
      <c r="Q96" s="3" t="str">
        <f t="shared" si="24"/>
        <v/>
      </c>
      <c r="R96" s="3" t="str">
        <f t="shared" si="25"/>
        <v/>
      </c>
      <c r="T96" s="3" t="str">
        <f t="shared" si="26"/>
        <v/>
      </c>
      <c r="U96" s="3" t="str">
        <f t="shared" si="27"/>
        <v/>
      </c>
      <c r="V96" s="3" t="str">
        <f t="shared" si="28"/>
        <v/>
      </c>
      <c r="W96" s="3" t="str">
        <f t="shared" si="29"/>
        <v/>
      </c>
      <c r="X96" s="3">
        <f t="shared" si="30"/>
        <v>6</v>
      </c>
      <c r="Y96" s="3" t="str">
        <f t="shared" si="31"/>
        <v/>
      </c>
      <c r="Z96" s="3" t="str">
        <f t="shared" si="32"/>
        <v/>
      </c>
      <c r="AA96" s="3" t="str">
        <f t="shared" si="18"/>
        <v/>
      </c>
      <c r="AB96" s="3" t="str">
        <f t="shared" si="33"/>
        <v/>
      </c>
    </row>
    <row r="97" spans="1:28" x14ac:dyDescent="0.25">
      <c r="A97" s="5">
        <f t="shared" si="19"/>
        <v>0</v>
      </c>
      <c r="B97" s="4" t="str">
        <f t="shared" si="20"/>
        <v/>
      </c>
      <c r="C97" s="4" t="str">
        <f t="shared" si="21"/>
        <v/>
      </c>
      <c r="D97" s="35" t="str">
        <f t="shared" si="22"/>
        <v/>
      </c>
      <c r="P97" s="3" t="str">
        <f t="shared" si="23"/>
        <v/>
      </c>
      <c r="Q97" s="3" t="str">
        <f t="shared" si="24"/>
        <v/>
      </c>
      <c r="R97" s="3" t="str">
        <f t="shared" si="25"/>
        <v/>
      </c>
      <c r="T97" s="3" t="str">
        <f t="shared" si="26"/>
        <v/>
      </c>
      <c r="U97" s="3" t="str">
        <f t="shared" si="27"/>
        <v/>
      </c>
      <c r="V97" s="3" t="str">
        <f t="shared" si="28"/>
        <v/>
      </c>
      <c r="W97" s="3" t="str">
        <f t="shared" si="29"/>
        <v/>
      </c>
      <c r="X97" s="3">
        <f t="shared" si="30"/>
        <v>6</v>
      </c>
      <c r="Y97" s="3" t="str">
        <f t="shared" si="31"/>
        <v/>
      </c>
      <c r="Z97" s="3" t="str">
        <f t="shared" si="32"/>
        <v/>
      </c>
      <c r="AA97" s="3" t="str">
        <f t="shared" si="18"/>
        <v/>
      </c>
      <c r="AB97" s="3" t="str">
        <f t="shared" si="33"/>
        <v/>
      </c>
    </row>
    <row r="98" spans="1:28" x14ac:dyDescent="0.25">
      <c r="A98" s="5">
        <f t="shared" si="19"/>
        <v>0</v>
      </c>
      <c r="B98" s="4" t="str">
        <f t="shared" si="20"/>
        <v/>
      </c>
      <c r="C98" s="4" t="str">
        <f t="shared" si="21"/>
        <v/>
      </c>
      <c r="D98" s="35" t="str">
        <f t="shared" si="22"/>
        <v/>
      </c>
      <c r="P98" s="3" t="str">
        <f t="shared" si="23"/>
        <v/>
      </c>
      <c r="Q98" s="3" t="str">
        <f t="shared" si="24"/>
        <v/>
      </c>
      <c r="R98" s="3" t="str">
        <f t="shared" si="25"/>
        <v/>
      </c>
      <c r="T98" s="3" t="str">
        <f t="shared" si="26"/>
        <v/>
      </c>
      <c r="U98" s="3" t="str">
        <f t="shared" si="27"/>
        <v/>
      </c>
      <c r="V98" s="3" t="str">
        <f t="shared" si="28"/>
        <v/>
      </c>
      <c r="W98" s="3" t="str">
        <f t="shared" si="29"/>
        <v/>
      </c>
      <c r="X98" s="3">
        <f t="shared" si="30"/>
        <v>6</v>
      </c>
      <c r="Y98" s="3" t="str">
        <f t="shared" si="31"/>
        <v/>
      </c>
      <c r="Z98" s="3" t="str">
        <f t="shared" si="32"/>
        <v/>
      </c>
      <c r="AA98" s="3" t="str">
        <f t="shared" si="18"/>
        <v/>
      </c>
      <c r="AB98" s="3" t="str">
        <f t="shared" si="33"/>
        <v/>
      </c>
    </row>
    <row r="99" spans="1:28" x14ac:dyDescent="0.25">
      <c r="A99" s="5">
        <f t="shared" si="19"/>
        <v>0</v>
      </c>
      <c r="B99" s="4" t="str">
        <f t="shared" si="20"/>
        <v/>
      </c>
      <c r="C99" s="4" t="str">
        <f t="shared" si="21"/>
        <v/>
      </c>
      <c r="D99" s="35" t="str">
        <f t="shared" si="22"/>
        <v/>
      </c>
      <c r="T99" s="3" t="str">
        <f t="shared" si="26"/>
        <v/>
      </c>
      <c r="U99" s="3" t="str">
        <f t="shared" si="27"/>
        <v/>
      </c>
      <c r="V99" s="3" t="str">
        <f t="shared" si="28"/>
        <v/>
      </c>
      <c r="W99" s="3" t="str">
        <f t="shared" si="29"/>
        <v/>
      </c>
      <c r="X99" s="3">
        <f t="shared" si="30"/>
        <v>6</v>
      </c>
      <c r="Y99" s="3" t="str">
        <f t="shared" si="31"/>
        <v/>
      </c>
      <c r="Z99" s="3" t="str">
        <f t="shared" si="32"/>
        <v/>
      </c>
      <c r="AA99" s="3" t="str">
        <f t="shared" si="18"/>
        <v/>
      </c>
      <c r="AB99" s="3" t="str">
        <f t="shared" si="33"/>
        <v/>
      </c>
    </row>
    <row r="100" spans="1:28" x14ac:dyDescent="0.25">
      <c r="A100" s="5">
        <f t="shared" si="19"/>
        <v>0</v>
      </c>
      <c r="B100" s="4" t="str">
        <f t="shared" si="20"/>
        <v/>
      </c>
      <c r="C100" s="4" t="str">
        <f t="shared" si="21"/>
        <v/>
      </c>
      <c r="D100" s="35" t="str">
        <f t="shared" si="22"/>
        <v/>
      </c>
      <c r="T100" s="3" t="str">
        <f t="shared" si="26"/>
        <v/>
      </c>
      <c r="U100" s="3" t="str">
        <f t="shared" si="27"/>
        <v/>
      </c>
      <c r="V100" s="3" t="str">
        <f t="shared" si="28"/>
        <v/>
      </c>
      <c r="W100" s="3" t="str">
        <f t="shared" si="29"/>
        <v/>
      </c>
      <c r="X100" s="3">
        <f t="shared" si="30"/>
        <v>6</v>
      </c>
      <c r="Y100" s="3" t="str">
        <f t="shared" si="31"/>
        <v/>
      </c>
      <c r="Z100" s="3" t="str">
        <f t="shared" si="32"/>
        <v/>
      </c>
      <c r="AA100" s="3" t="str">
        <f t="shared" si="18"/>
        <v/>
      </c>
      <c r="AB100" s="3" t="str">
        <f t="shared" si="33"/>
        <v/>
      </c>
    </row>
    <row r="101" spans="1:28" x14ac:dyDescent="0.25">
      <c r="A101" s="5">
        <f t="shared" si="19"/>
        <v>0</v>
      </c>
      <c r="B101" s="4" t="str">
        <f t="shared" si="20"/>
        <v/>
      </c>
      <c r="C101" s="4" t="str">
        <f t="shared" si="21"/>
        <v/>
      </c>
      <c r="D101" s="35" t="str">
        <f t="shared" si="22"/>
        <v/>
      </c>
      <c r="T101" s="3" t="str">
        <f t="shared" si="26"/>
        <v/>
      </c>
      <c r="U101" s="3" t="str">
        <f t="shared" si="27"/>
        <v/>
      </c>
      <c r="V101" s="3" t="str">
        <f t="shared" si="28"/>
        <v/>
      </c>
      <c r="W101" s="3" t="str">
        <f t="shared" si="29"/>
        <v/>
      </c>
      <c r="X101" s="3">
        <f t="shared" si="30"/>
        <v>6</v>
      </c>
      <c r="Y101" s="3" t="str">
        <f t="shared" si="31"/>
        <v/>
      </c>
      <c r="Z101" s="3" t="str">
        <f t="shared" si="32"/>
        <v/>
      </c>
      <c r="AA101" s="3" t="str">
        <f t="shared" si="18"/>
        <v/>
      </c>
      <c r="AB101" s="3" t="str">
        <f t="shared" si="33"/>
        <v/>
      </c>
    </row>
    <row r="102" spans="1:28" x14ac:dyDescent="0.25">
      <c r="T102" s="3" t="str">
        <f t="shared" si="26"/>
        <v/>
      </c>
      <c r="U102" s="3" t="str">
        <f t="shared" si="27"/>
        <v/>
      </c>
      <c r="V102" s="3" t="str">
        <f t="shared" si="28"/>
        <v/>
      </c>
      <c r="W102" s="3" t="str">
        <f t="shared" si="29"/>
        <v/>
      </c>
      <c r="X102" s="3">
        <f t="shared" si="30"/>
        <v>6</v>
      </c>
      <c r="Y102" s="3" t="str">
        <f t="shared" si="31"/>
        <v/>
      </c>
      <c r="Z102" s="3" t="str">
        <f t="shared" si="32"/>
        <v/>
      </c>
      <c r="AA102" s="3" t="str">
        <f t="shared" si="18"/>
        <v/>
      </c>
      <c r="AB102" s="3" t="str">
        <f t="shared" si="33"/>
        <v/>
      </c>
    </row>
    <row r="103" spans="1:28" x14ac:dyDescent="0.25">
      <c r="T103" s="3" t="str">
        <f t="shared" si="26"/>
        <v/>
      </c>
      <c r="U103" s="3" t="str">
        <f t="shared" si="27"/>
        <v/>
      </c>
      <c r="V103" s="3" t="str">
        <f t="shared" si="28"/>
        <v/>
      </c>
      <c r="W103" s="3" t="str">
        <f t="shared" si="29"/>
        <v/>
      </c>
      <c r="X103" s="3">
        <f t="shared" si="30"/>
        <v>6</v>
      </c>
      <c r="Y103" s="3" t="str">
        <f t="shared" si="31"/>
        <v/>
      </c>
      <c r="Z103" s="3" t="str">
        <f t="shared" si="32"/>
        <v/>
      </c>
      <c r="AA103" s="3" t="str">
        <f t="shared" si="18"/>
        <v/>
      </c>
      <c r="AB103" s="3" t="str">
        <f t="shared" si="33"/>
        <v/>
      </c>
    </row>
    <row r="104" spans="1:28" x14ac:dyDescent="0.25">
      <c r="T104" s="3" t="str">
        <f t="shared" si="26"/>
        <v/>
      </c>
      <c r="U104" s="3" t="str">
        <f t="shared" si="27"/>
        <v/>
      </c>
      <c r="V104" s="3" t="str">
        <f t="shared" si="28"/>
        <v/>
      </c>
      <c r="W104" s="3" t="str">
        <f t="shared" si="29"/>
        <v/>
      </c>
      <c r="X104" s="3">
        <f t="shared" si="30"/>
        <v>6</v>
      </c>
      <c r="Y104" s="3" t="str">
        <f t="shared" si="31"/>
        <v/>
      </c>
      <c r="Z104" s="3" t="str">
        <f t="shared" si="32"/>
        <v/>
      </c>
      <c r="AA104" s="3" t="str">
        <f t="shared" si="18"/>
        <v/>
      </c>
      <c r="AB104" s="3" t="str">
        <f t="shared" si="33"/>
        <v/>
      </c>
    </row>
    <row r="105" spans="1:28" x14ac:dyDescent="0.25">
      <c r="T105" s="3" t="str">
        <f t="shared" si="26"/>
        <v/>
      </c>
      <c r="U105" s="3" t="str">
        <f t="shared" si="27"/>
        <v/>
      </c>
      <c r="V105" s="3" t="str">
        <f t="shared" si="28"/>
        <v/>
      </c>
      <c r="W105" s="3" t="str">
        <f t="shared" si="29"/>
        <v/>
      </c>
      <c r="X105" s="3">
        <f t="shared" si="30"/>
        <v>6</v>
      </c>
      <c r="Y105" s="3" t="str">
        <f t="shared" si="31"/>
        <v/>
      </c>
      <c r="Z105" s="3" t="str">
        <f t="shared" si="32"/>
        <v/>
      </c>
      <c r="AA105" s="3" t="str">
        <f t="shared" si="18"/>
        <v/>
      </c>
      <c r="AB105" s="3" t="str">
        <f t="shared" si="33"/>
        <v/>
      </c>
    </row>
    <row r="106" spans="1:28" x14ac:dyDescent="0.25">
      <c r="T106" s="3" t="str">
        <f t="shared" si="26"/>
        <v/>
      </c>
      <c r="U106" s="3" t="str">
        <f t="shared" si="27"/>
        <v/>
      </c>
      <c r="V106" s="3" t="str">
        <f t="shared" si="28"/>
        <v/>
      </c>
      <c r="W106" s="3" t="str">
        <f t="shared" si="29"/>
        <v/>
      </c>
      <c r="X106" s="3">
        <f t="shared" si="30"/>
        <v>6</v>
      </c>
      <c r="Y106" s="3" t="str">
        <f t="shared" si="31"/>
        <v/>
      </c>
      <c r="Z106" s="3" t="str">
        <f t="shared" si="32"/>
        <v/>
      </c>
      <c r="AA106" s="3" t="str">
        <f t="shared" si="18"/>
        <v/>
      </c>
      <c r="AB106" s="3" t="str">
        <f t="shared" si="33"/>
        <v/>
      </c>
    </row>
    <row r="107" spans="1:28" x14ac:dyDescent="0.25">
      <c r="T107" s="3" t="str">
        <f t="shared" si="26"/>
        <v/>
      </c>
      <c r="U107" s="3" t="str">
        <f t="shared" si="27"/>
        <v/>
      </c>
      <c r="V107" s="3" t="str">
        <f t="shared" si="28"/>
        <v/>
      </c>
      <c r="W107" s="3" t="str">
        <f t="shared" si="29"/>
        <v/>
      </c>
      <c r="X107" s="3">
        <f t="shared" si="30"/>
        <v>6</v>
      </c>
      <c r="Y107" s="3" t="str">
        <f t="shared" si="31"/>
        <v/>
      </c>
      <c r="Z107" s="3" t="str">
        <f t="shared" si="32"/>
        <v/>
      </c>
      <c r="AA107" s="3" t="str">
        <f t="shared" si="18"/>
        <v/>
      </c>
      <c r="AB107" s="3" t="str">
        <f t="shared" si="33"/>
        <v/>
      </c>
    </row>
    <row r="108" spans="1:28" x14ac:dyDescent="0.25">
      <c r="T108" s="3" t="str">
        <f t="shared" si="26"/>
        <v/>
      </c>
      <c r="U108" s="3" t="str">
        <f t="shared" si="27"/>
        <v/>
      </c>
      <c r="V108" s="3" t="str">
        <f t="shared" si="28"/>
        <v/>
      </c>
      <c r="W108" s="3" t="str">
        <f t="shared" si="29"/>
        <v/>
      </c>
      <c r="X108" s="3">
        <f t="shared" si="30"/>
        <v>6</v>
      </c>
      <c r="Y108" s="3" t="str">
        <f t="shared" si="31"/>
        <v/>
      </c>
      <c r="Z108" s="3" t="str">
        <f t="shared" si="32"/>
        <v/>
      </c>
      <c r="AA108" s="3" t="str">
        <f t="shared" si="18"/>
        <v/>
      </c>
      <c r="AB108" s="3" t="str">
        <f t="shared" si="33"/>
        <v/>
      </c>
    </row>
    <row r="109" spans="1:28" x14ac:dyDescent="0.25">
      <c r="T109" s="3" t="str">
        <f t="shared" si="26"/>
        <v/>
      </c>
      <c r="U109" s="3" t="str">
        <f t="shared" si="27"/>
        <v/>
      </c>
      <c r="V109" s="3" t="str">
        <f t="shared" si="28"/>
        <v/>
      </c>
      <c r="W109" s="3" t="str">
        <f t="shared" si="29"/>
        <v/>
      </c>
      <c r="X109" s="3">
        <f t="shared" si="30"/>
        <v>6</v>
      </c>
      <c r="Y109" s="3" t="str">
        <f t="shared" si="31"/>
        <v/>
      </c>
      <c r="Z109" s="3" t="str">
        <f t="shared" si="32"/>
        <v/>
      </c>
      <c r="AA109" s="3" t="str">
        <f t="shared" si="18"/>
        <v/>
      </c>
      <c r="AB109" s="3" t="str">
        <f t="shared" si="33"/>
        <v/>
      </c>
    </row>
    <row r="110" spans="1:28" x14ac:dyDescent="0.25">
      <c r="T110" s="3" t="str">
        <f t="shared" si="26"/>
        <v/>
      </c>
      <c r="U110" s="3" t="str">
        <f t="shared" si="27"/>
        <v/>
      </c>
      <c r="V110" s="3" t="str">
        <f t="shared" si="28"/>
        <v/>
      </c>
      <c r="W110" s="3" t="str">
        <f t="shared" si="29"/>
        <v/>
      </c>
      <c r="X110" s="3">
        <f t="shared" si="30"/>
        <v>6</v>
      </c>
      <c r="Y110" s="3" t="str">
        <f t="shared" si="31"/>
        <v/>
      </c>
      <c r="Z110" s="3" t="str">
        <f t="shared" si="32"/>
        <v/>
      </c>
      <c r="AA110" s="3" t="str">
        <f t="shared" si="18"/>
        <v/>
      </c>
      <c r="AB110" s="3" t="str">
        <f t="shared" si="33"/>
        <v/>
      </c>
    </row>
    <row r="111" spans="1:28" x14ac:dyDescent="0.25">
      <c r="T111" s="3" t="str">
        <f t="shared" si="26"/>
        <v/>
      </c>
      <c r="U111" s="3" t="str">
        <f t="shared" si="27"/>
        <v/>
      </c>
      <c r="V111" s="3" t="str">
        <f t="shared" si="28"/>
        <v/>
      </c>
      <c r="W111" s="3" t="str">
        <f t="shared" si="29"/>
        <v/>
      </c>
      <c r="X111" s="3">
        <f t="shared" si="30"/>
        <v>6</v>
      </c>
      <c r="Y111" s="3" t="str">
        <f t="shared" si="31"/>
        <v/>
      </c>
      <c r="Z111" s="3" t="str">
        <f t="shared" si="32"/>
        <v/>
      </c>
      <c r="AA111" s="3" t="str">
        <f t="shared" si="18"/>
        <v/>
      </c>
      <c r="AB111" s="3" t="str">
        <f t="shared" si="33"/>
        <v/>
      </c>
    </row>
    <row r="112" spans="1:28" x14ac:dyDescent="0.25">
      <c r="T112" s="3" t="str">
        <f t="shared" si="26"/>
        <v/>
      </c>
      <c r="U112" s="3" t="str">
        <f t="shared" si="27"/>
        <v/>
      </c>
      <c r="V112" s="3" t="str">
        <f t="shared" si="28"/>
        <v/>
      </c>
      <c r="W112" s="3" t="str">
        <f t="shared" si="29"/>
        <v/>
      </c>
      <c r="X112" s="3">
        <f t="shared" si="30"/>
        <v>6</v>
      </c>
      <c r="Y112" s="3" t="str">
        <f t="shared" si="31"/>
        <v/>
      </c>
      <c r="Z112" s="3" t="str">
        <f t="shared" si="32"/>
        <v/>
      </c>
      <c r="AA112" s="3" t="str">
        <f t="shared" si="18"/>
        <v/>
      </c>
      <c r="AB112" s="3" t="str">
        <f t="shared" si="33"/>
        <v/>
      </c>
    </row>
    <row r="113" spans="20:28" x14ac:dyDescent="0.25">
      <c r="T113" s="3" t="str">
        <f t="shared" si="26"/>
        <v/>
      </c>
      <c r="U113" s="3" t="str">
        <f t="shared" si="27"/>
        <v/>
      </c>
      <c r="V113" s="3" t="str">
        <f t="shared" si="28"/>
        <v/>
      </c>
      <c r="W113" s="3" t="str">
        <f t="shared" si="29"/>
        <v/>
      </c>
      <c r="X113" s="3">
        <f t="shared" si="30"/>
        <v>6</v>
      </c>
      <c r="Y113" s="3" t="str">
        <f t="shared" si="31"/>
        <v/>
      </c>
      <c r="Z113" s="3" t="str">
        <f t="shared" si="32"/>
        <v/>
      </c>
      <c r="AA113" s="3" t="str">
        <f t="shared" si="18"/>
        <v/>
      </c>
      <c r="AB113" s="3" t="str">
        <f t="shared" si="33"/>
        <v/>
      </c>
    </row>
    <row r="114" spans="20:28" x14ac:dyDescent="0.25">
      <c r="T114" s="3" t="str">
        <f t="shared" si="26"/>
        <v/>
      </c>
      <c r="U114" s="3" t="str">
        <f t="shared" si="27"/>
        <v/>
      </c>
      <c r="V114" s="3" t="str">
        <f t="shared" si="28"/>
        <v/>
      </c>
      <c r="W114" s="3" t="str">
        <f t="shared" si="29"/>
        <v/>
      </c>
      <c r="X114" s="3">
        <f t="shared" si="30"/>
        <v>6</v>
      </c>
      <c r="Y114" s="3" t="str">
        <f t="shared" si="31"/>
        <v/>
      </c>
      <c r="Z114" s="3" t="str">
        <f t="shared" si="32"/>
        <v/>
      </c>
      <c r="AA114" s="3" t="str">
        <f t="shared" si="18"/>
        <v/>
      </c>
      <c r="AB114" s="3" t="str">
        <f t="shared" si="33"/>
        <v/>
      </c>
    </row>
    <row r="115" spans="20:28" x14ac:dyDescent="0.25">
      <c r="T115" s="3" t="str">
        <f t="shared" si="26"/>
        <v/>
      </c>
      <c r="U115" s="3" t="str">
        <f t="shared" si="27"/>
        <v/>
      </c>
      <c r="V115" s="3" t="str">
        <f t="shared" si="28"/>
        <v/>
      </c>
      <c r="W115" s="3" t="str">
        <f t="shared" si="29"/>
        <v/>
      </c>
      <c r="X115" s="3">
        <f t="shared" si="30"/>
        <v>6</v>
      </c>
      <c r="Y115" s="3" t="str">
        <f t="shared" si="31"/>
        <v/>
      </c>
      <c r="Z115" s="3" t="str">
        <f t="shared" si="32"/>
        <v/>
      </c>
      <c r="AA115" s="3" t="str">
        <f t="shared" si="18"/>
        <v/>
      </c>
      <c r="AB115" s="3" t="str">
        <f t="shared" si="33"/>
        <v/>
      </c>
    </row>
    <row r="116" spans="20:28" x14ac:dyDescent="0.25">
      <c r="T116" s="3" t="str">
        <f t="shared" si="26"/>
        <v/>
      </c>
      <c r="U116" s="3" t="str">
        <f t="shared" si="27"/>
        <v/>
      </c>
      <c r="V116" s="3" t="str">
        <f t="shared" si="28"/>
        <v/>
      </c>
      <c r="W116" s="3" t="str">
        <f t="shared" si="29"/>
        <v/>
      </c>
      <c r="X116" s="3">
        <f t="shared" si="30"/>
        <v>6</v>
      </c>
      <c r="Y116" s="3" t="str">
        <f t="shared" si="31"/>
        <v/>
      </c>
      <c r="Z116" s="3" t="str">
        <f t="shared" si="32"/>
        <v/>
      </c>
      <c r="AA116" s="3" t="str">
        <f t="shared" si="18"/>
        <v/>
      </c>
      <c r="AB116" s="3" t="str">
        <f t="shared" si="33"/>
        <v/>
      </c>
    </row>
    <row r="117" spans="20:28" x14ac:dyDescent="0.25">
      <c r="T117" s="3" t="str">
        <f t="shared" si="26"/>
        <v/>
      </c>
      <c r="U117" s="3" t="str">
        <f t="shared" si="27"/>
        <v/>
      </c>
      <c r="V117" s="3" t="str">
        <f t="shared" si="28"/>
        <v/>
      </c>
      <c r="W117" s="3" t="str">
        <f t="shared" si="29"/>
        <v/>
      </c>
      <c r="X117" s="3">
        <f t="shared" si="30"/>
        <v>6</v>
      </c>
      <c r="Y117" s="3" t="str">
        <f t="shared" si="31"/>
        <v/>
      </c>
      <c r="Z117" s="3" t="str">
        <f t="shared" si="32"/>
        <v/>
      </c>
      <c r="AA117" s="3" t="str">
        <f t="shared" si="18"/>
        <v/>
      </c>
      <c r="AB117" s="3" t="str">
        <f t="shared" si="33"/>
        <v/>
      </c>
    </row>
    <row r="118" spans="20:28" x14ac:dyDescent="0.25">
      <c r="T118" s="3" t="str">
        <f t="shared" si="26"/>
        <v/>
      </c>
      <c r="U118" s="3" t="str">
        <f t="shared" si="27"/>
        <v/>
      </c>
      <c r="V118" s="3" t="str">
        <f t="shared" si="28"/>
        <v/>
      </c>
      <c r="W118" s="3" t="str">
        <f t="shared" si="29"/>
        <v/>
      </c>
      <c r="X118" s="3">
        <f t="shared" si="30"/>
        <v>6</v>
      </c>
      <c r="Y118" s="3" t="str">
        <f t="shared" si="31"/>
        <v/>
      </c>
      <c r="Z118" s="3" t="str">
        <f t="shared" si="32"/>
        <v/>
      </c>
      <c r="AA118" s="3" t="str">
        <f t="shared" si="18"/>
        <v/>
      </c>
      <c r="AB118" s="3" t="str">
        <f t="shared" si="33"/>
        <v/>
      </c>
    </row>
    <row r="119" spans="20:28" x14ac:dyDescent="0.25">
      <c r="T119" s="3" t="str">
        <f t="shared" si="26"/>
        <v/>
      </c>
      <c r="U119" s="3" t="str">
        <f t="shared" si="27"/>
        <v/>
      </c>
      <c r="V119" s="3" t="str">
        <f t="shared" si="28"/>
        <v/>
      </c>
      <c r="W119" s="3" t="str">
        <f t="shared" si="29"/>
        <v/>
      </c>
      <c r="X119" s="3">
        <f t="shared" si="30"/>
        <v>6</v>
      </c>
      <c r="Y119" s="3" t="str">
        <f t="shared" si="31"/>
        <v/>
      </c>
      <c r="Z119" s="3" t="str">
        <f t="shared" si="32"/>
        <v/>
      </c>
      <c r="AA119" s="3" t="str">
        <f t="shared" si="18"/>
        <v/>
      </c>
      <c r="AB119" s="3" t="str">
        <f t="shared" si="33"/>
        <v/>
      </c>
    </row>
    <row r="120" spans="20:28" x14ac:dyDescent="0.25">
      <c r="T120" s="3" t="str">
        <f t="shared" si="26"/>
        <v/>
      </c>
      <c r="U120" s="3" t="str">
        <f t="shared" si="27"/>
        <v/>
      </c>
      <c r="V120" s="3" t="str">
        <f t="shared" si="28"/>
        <v/>
      </c>
      <c r="W120" s="3" t="str">
        <f t="shared" si="29"/>
        <v/>
      </c>
      <c r="X120" s="3">
        <f t="shared" si="30"/>
        <v>6</v>
      </c>
      <c r="Y120" s="3" t="str">
        <f t="shared" si="31"/>
        <v/>
      </c>
      <c r="Z120" s="3" t="str">
        <f t="shared" si="32"/>
        <v/>
      </c>
      <c r="AA120" s="3" t="str">
        <f t="shared" si="18"/>
        <v/>
      </c>
      <c r="AB120" s="3" t="str">
        <f t="shared" si="33"/>
        <v/>
      </c>
    </row>
    <row r="121" spans="20:28" x14ac:dyDescent="0.25">
      <c r="T121" s="3" t="str">
        <f t="shared" si="26"/>
        <v/>
      </c>
      <c r="U121" s="3" t="str">
        <f t="shared" si="27"/>
        <v/>
      </c>
      <c r="V121" s="3" t="str">
        <f t="shared" si="28"/>
        <v/>
      </c>
      <c r="W121" s="3" t="str">
        <f t="shared" si="29"/>
        <v/>
      </c>
      <c r="X121" s="3">
        <f t="shared" si="30"/>
        <v>6</v>
      </c>
      <c r="Y121" s="3" t="str">
        <f t="shared" si="31"/>
        <v/>
      </c>
      <c r="Z121" s="3" t="str">
        <f t="shared" si="32"/>
        <v/>
      </c>
      <c r="AA121" s="3" t="str">
        <f t="shared" si="18"/>
        <v/>
      </c>
      <c r="AB121" s="3" t="str">
        <f t="shared" si="33"/>
        <v/>
      </c>
    </row>
    <row r="122" spans="20:28" x14ac:dyDescent="0.25">
      <c r="T122" s="3" t="str">
        <f t="shared" si="26"/>
        <v/>
      </c>
      <c r="U122" s="3" t="str">
        <f t="shared" si="27"/>
        <v/>
      </c>
      <c r="V122" s="3" t="str">
        <f t="shared" si="28"/>
        <v/>
      </c>
      <c r="W122" s="3" t="str">
        <f t="shared" si="29"/>
        <v/>
      </c>
      <c r="X122" s="3">
        <f t="shared" si="30"/>
        <v>6</v>
      </c>
      <c r="Y122" s="3" t="str">
        <f t="shared" si="31"/>
        <v/>
      </c>
      <c r="Z122" s="3" t="str">
        <f t="shared" si="32"/>
        <v/>
      </c>
      <c r="AA122" s="3" t="str">
        <f t="shared" si="18"/>
        <v/>
      </c>
      <c r="AB122" s="3" t="str">
        <f t="shared" si="33"/>
        <v/>
      </c>
    </row>
    <row r="123" spans="20:28" x14ac:dyDescent="0.25">
      <c r="T123" s="3" t="str">
        <f t="shared" si="26"/>
        <v/>
      </c>
      <c r="U123" s="3" t="str">
        <f t="shared" si="27"/>
        <v/>
      </c>
      <c r="V123" s="3" t="str">
        <f t="shared" si="28"/>
        <v/>
      </c>
      <c r="W123" s="3" t="str">
        <f t="shared" si="29"/>
        <v/>
      </c>
      <c r="X123" s="3">
        <f t="shared" si="30"/>
        <v>6</v>
      </c>
      <c r="Y123" s="3" t="str">
        <f t="shared" si="31"/>
        <v/>
      </c>
      <c r="Z123" s="3" t="str">
        <f t="shared" si="32"/>
        <v/>
      </c>
      <c r="AA123" s="3" t="str">
        <f t="shared" si="18"/>
        <v/>
      </c>
      <c r="AB123" s="3" t="str">
        <f t="shared" si="33"/>
        <v/>
      </c>
    </row>
    <row r="124" spans="20:28" x14ac:dyDescent="0.25">
      <c r="T124" s="3" t="str">
        <f t="shared" si="26"/>
        <v/>
      </c>
      <c r="U124" s="3" t="str">
        <f t="shared" si="27"/>
        <v/>
      </c>
      <c r="V124" s="3" t="str">
        <f t="shared" si="28"/>
        <v/>
      </c>
      <c r="W124" s="3" t="str">
        <f t="shared" si="29"/>
        <v/>
      </c>
      <c r="X124" s="3">
        <f t="shared" si="30"/>
        <v>6</v>
      </c>
      <c r="Y124" s="3" t="str">
        <f t="shared" si="31"/>
        <v/>
      </c>
      <c r="Z124" s="3" t="str">
        <f t="shared" si="32"/>
        <v/>
      </c>
      <c r="AA124" s="3" t="str">
        <f t="shared" si="18"/>
        <v/>
      </c>
      <c r="AB124" s="3" t="str">
        <f t="shared" si="33"/>
        <v/>
      </c>
    </row>
    <row r="125" spans="20:28" x14ac:dyDescent="0.25">
      <c r="T125" s="3" t="str">
        <f t="shared" si="26"/>
        <v/>
      </c>
      <c r="U125" s="3" t="str">
        <f t="shared" si="27"/>
        <v/>
      </c>
      <c r="V125" s="3" t="str">
        <f t="shared" si="28"/>
        <v/>
      </c>
      <c r="W125" s="3" t="str">
        <f t="shared" si="29"/>
        <v/>
      </c>
      <c r="X125" s="3">
        <f t="shared" si="30"/>
        <v>6</v>
      </c>
      <c r="Y125" s="3" t="str">
        <f t="shared" si="31"/>
        <v/>
      </c>
      <c r="Z125" s="3" t="str">
        <f t="shared" si="32"/>
        <v/>
      </c>
      <c r="AA125" s="3" t="str">
        <f t="shared" si="18"/>
        <v/>
      </c>
      <c r="AB125" s="3" t="str">
        <f t="shared" si="33"/>
        <v/>
      </c>
    </row>
    <row r="126" spans="20:28" x14ac:dyDescent="0.25">
      <c r="T126" s="3" t="str">
        <f t="shared" si="26"/>
        <v/>
      </c>
      <c r="U126" s="3" t="str">
        <f t="shared" si="27"/>
        <v/>
      </c>
      <c r="V126" s="3" t="str">
        <f t="shared" si="28"/>
        <v/>
      </c>
      <c r="W126" s="3" t="str">
        <f t="shared" si="29"/>
        <v/>
      </c>
      <c r="X126" s="3">
        <f t="shared" si="30"/>
        <v>6</v>
      </c>
      <c r="Y126" s="3" t="str">
        <f t="shared" si="31"/>
        <v/>
      </c>
      <c r="Z126" s="3" t="str">
        <f t="shared" si="32"/>
        <v/>
      </c>
      <c r="AA126" s="3" t="str">
        <f t="shared" si="18"/>
        <v/>
      </c>
      <c r="AB126" s="3" t="str">
        <f t="shared" si="33"/>
        <v/>
      </c>
    </row>
    <row r="127" spans="20:28" x14ac:dyDescent="0.25">
      <c r="T127" s="3" t="str">
        <f t="shared" si="26"/>
        <v/>
      </c>
      <c r="U127" s="3" t="str">
        <f t="shared" si="27"/>
        <v/>
      </c>
      <c r="V127" s="3" t="str">
        <f t="shared" si="28"/>
        <v/>
      </c>
      <c r="W127" s="3" t="str">
        <f t="shared" si="29"/>
        <v/>
      </c>
      <c r="X127" s="3">
        <f t="shared" si="30"/>
        <v>6</v>
      </c>
      <c r="Y127" s="3" t="str">
        <f t="shared" si="31"/>
        <v/>
      </c>
      <c r="Z127" s="3" t="str">
        <f t="shared" si="32"/>
        <v/>
      </c>
      <c r="AA127" s="3" t="str">
        <f t="shared" si="18"/>
        <v/>
      </c>
      <c r="AB127" s="3" t="str">
        <f t="shared" si="33"/>
        <v/>
      </c>
    </row>
    <row r="128" spans="20:28" x14ac:dyDescent="0.25">
      <c r="T128" s="3" t="str">
        <f t="shared" si="26"/>
        <v/>
      </c>
      <c r="U128" s="3" t="str">
        <f t="shared" si="27"/>
        <v/>
      </c>
      <c r="V128" s="3" t="str">
        <f t="shared" si="28"/>
        <v/>
      </c>
      <c r="W128" s="3" t="str">
        <f t="shared" si="29"/>
        <v/>
      </c>
      <c r="X128" s="3">
        <f t="shared" si="30"/>
        <v>6</v>
      </c>
      <c r="Y128" s="3" t="str">
        <f t="shared" si="31"/>
        <v/>
      </c>
      <c r="Z128" s="3" t="str">
        <f t="shared" si="32"/>
        <v/>
      </c>
      <c r="AA128" s="3" t="str">
        <f t="shared" si="18"/>
        <v/>
      </c>
      <c r="AB128" s="3" t="str">
        <f t="shared" si="33"/>
        <v/>
      </c>
    </row>
    <row r="129" spans="20:28" x14ac:dyDescent="0.25">
      <c r="T129" s="3" t="str">
        <f t="shared" si="26"/>
        <v/>
      </c>
      <c r="U129" s="3" t="str">
        <f t="shared" si="27"/>
        <v/>
      </c>
      <c r="V129" s="3" t="str">
        <f t="shared" si="28"/>
        <v/>
      </c>
      <c r="W129" s="3" t="str">
        <f t="shared" si="29"/>
        <v/>
      </c>
      <c r="X129" s="3">
        <f t="shared" si="30"/>
        <v>6</v>
      </c>
      <c r="Y129" s="3" t="str">
        <f t="shared" si="31"/>
        <v/>
      </c>
      <c r="Z129" s="3" t="str">
        <f t="shared" si="32"/>
        <v/>
      </c>
      <c r="AA129" s="3" t="str">
        <f t="shared" si="18"/>
        <v/>
      </c>
      <c r="AB129" s="3" t="str">
        <f t="shared" si="33"/>
        <v/>
      </c>
    </row>
    <row r="130" spans="20:28" x14ac:dyDescent="0.25">
      <c r="T130" s="3" t="str">
        <f t="shared" si="26"/>
        <v/>
      </c>
      <c r="U130" s="3" t="str">
        <f t="shared" si="27"/>
        <v/>
      </c>
      <c r="V130" s="3" t="str">
        <f t="shared" si="28"/>
        <v/>
      </c>
      <c r="W130" s="3" t="str">
        <f t="shared" si="29"/>
        <v/>
      </c>
      <c r="X130" s="3">
        <f t="shared" si="30"/>
        <v>6</v>
      </c>
      <c r="Y130" s="3" t="str">
        <f t="shared" si="31"/>
        <v/>
      </c>
      <c r="Z130" s="3" t="str">
        <f t="shared" si="32"/>
        <v/>
      </c>
      <c r="AA130" s="3" t="str">
        <f t="shared" si="18"/>
        <v/>
      </c>
      <c r="AB130" s="3" t="str">
        <f t="shared" si="33"/>
        <v/>
      </c>
    </row>
    <row r="131" spans="20:28" x14ac:dyDescent="0.25">
      <c r="T131" s="3" t="str">
        <f t="shared" si="26"/>
        <v/>
      </c>
      <c r="U131" s="3" t="str">
        <f t="shared" si="27"/>
        <v/>
      </c>
      <c r="V131" s="3" t="str">
        <f t="shared" si="28"/>
        <v/>
      </c>
      <c r="W131" s="3" t="str">
        <f t="shared" si="29"/>
        <v/>
      </c>
      <c r="X131" s="3">
        <f t="shared" si="30"/>
        <v>6</v>
      </c>
      <c r="Y131" s="3" t="str">
        <f t="shared" si="31"/>
        <v/>
      </c>
      <c r="Z131" s="3" t="str">
        <f t="shared" si="32"/>
        <v/>
      </c>
      <c r="AA131" s="3" t="str">
        <f t="shared" ref="AA131:AA194" si="34">IF(ISNUMBER(SEARCH("@",Y131)),Y132,"")</f>
        <v/>
      </c>
      <c r="AB131" s="3" t="str">
        <f t="shared" si="33"/>
        <v/>
      </c>
    </row>
    <row r="132" spans="20:28" x14ac:dyDescent="0.25">
      <c r="T132" s="3" t="str">
        <f t="shared" ref="T132:T194" si="35">IF(MOD(ROW(),3)=0,IF(L134&gt;=$K$1,L134,IF(M134&gt;=$K$1,M134,"")),"")</f>
        <v/>
      </c>
      <c r="U132" s="3" t="str">
        <f t="shared" ref="U132:U194" si="36">IF(MOD(ROW(),3)=0,IF(H133="Dog",IF(H134&gt;=0.75,I132&amp;" @ "&amp;H132,""),IF(I134&gt;=0.75,I132&amp;" @ "&amp;H132,"")),"")</f>
        <v/>
      </c>
      <c r="V132" s="3" t="str">
        <f t="shared" ref="V132:V194" si="37">IF(MOD(ROW(),3)=0,IF(H133="Dog",IF(H134&gt;=0.75,H132&amp;" Moneyline",""),IF(I134&gt;=0.75,I132&amp;" Moneyline","")),"")</f>
        <v/>
      </c>
      <c r="W132" s="3" t="str">
        <f t="shared" ref="W132:W195" si="38">IF(MOD(ROW(),3)=0,IF(H133="Dog",IF(H134&gt;=0.75,H134,""),IF(I134&gt;=0.75,I134,"")),"")</f>
        <v/>
      </c>
      <c r="X132" s="3">
        <f t="shared" ref="X132:X195" si="39">IF(ISNUMBER(CODE(Z132)),X131+1,X131)</f>
        <v>6</v>
      </c>
      <c r="Y132" s="3" t="str">
        <f t="shared" ref="Y132:Y195" si="40">INDEX($O$3:$W$50,1+INT((ROW(A130)-1)/COLUMNS($O$3:$W$50)),MOD(ROW(A130)-1+COLUMNS($O$3:$W$50),COLUMNS($O$3:$W$50))+1)</f>
        <v/>
      </c>
      <c r="Z132" s="3" t="str">
        <f t="shared" ref="Z132:Z195" si="41">IF(ISNUMBER(SEARCH("@",Y132)),Y132,"")</f>
        <v/>
      </c>
      <c r="AA132" s="3" t="str">
        <f t="shared" si="34"/>
        <v/>
      </c>
      <c r="AB132" s="3" t="str">
        <f t="shared" ref="AB132:AB195" si="42">IF(ISNUMBER(SEARCH("@",Y132)),Y134,"")</f>
        <v/>
      </c>
    </row>
    <row r="133" spans="20:28" x14ac:dyDescent="0.25">
      <c r="T133" s="3" t="str">
        <f t="shared" si="35"/>
        <v/>
      </c>
      <c r="U133" s="3" t="str">
        <f t="shared" si="36"/>
        <v/>
      </c>
      <c r="V133" s="3" t="str">
        <f t="shared" si="37"/>
        <v/>
      </c>
      <c r="W133" s="3" t="str">
        <f t="shared" si="38"/>
        <v/>
      </c>
      <c r="X133" s="3">
        <f t="shared" si="39"/>
        <v>6</v>
      </c>
      <c r="Y133" s="3" t="str">
        <f t="shared" si="40"/>
        <v/>
      </c>
      <c r="Z133" s="3" t="str">
        <f t="shared" si="41"/>
        <v/>
      </c>
      <c r="AA133" s="3" t="str">
        <f t="shared" si="34"/>
        <v/>
      </c>
      <c r="AB133" s="3" t="str">
        <f t="shared" si="42"/>
        <v/>
      </c>
    </row>
    <row r="134" spans="20:28" x14ac:dyDescent="0.25">
      <c r="T134" s="3" t="str">
        <f t="shared" si="35"/>
        <v/>
      </c>
      <c r="U134" s="3" t="str">
        <f t="shared" si="36"/>
        <v/>
      </c>
      <c r="V134" s="3" t="str">
        <f t="shared" si="37"/>
        <v/>
      </c>
      <c r="W134" s="3" t="str">
        <f t="shared" si="38"/>
        <v/>
      </c>
      <c r="X134" s="3">
        <f t="shared" si="39"/>
        <v>6</v>
      </c>
      <c r="Y134" s="3" t="str">
        <f t="shared" si="40"/>
        <v/>
      </c>
      <c r="Z134" s="3" t="str">
        <f t="shared" si="41"/>
        <v/>
      </c>
      <c r="AA134" s="3" t="str">
        <f t="shared" si="34"/>
        <v/>
      </c>
      <c r="AB134" s="3" t="str">
        <f t="shared" si="42"/>
        <v/>
      </c>
    </row>
    <row r="135" spans="20:28" x14ac:dyDescent="0.25">
      <c r="T135" s="3" t="str">
        <f t="shared" si="35"/>
        <v/>
      </c>
      <c r="U135" s="3" t="str">
        <f t="shared" si="36"/>
        <v/>
      </c>
      <c r="V135" s="3" t="str">
        <f t="shared" si="37"/>
        <v/>
      </c>
      <c r="W135" s="3" t="str">
        <f t="shared" si="38"/>
        <v/>
      </c>
      <c r="X135" s="3">
        <f t="shared" si="39"/>
        <v>6</v>
      </c>
      <c r="Y135" s="3" t="str">
        <f t="shared" si="40"/>
        <v/>
      </c>
      <c r="Z135" s="3" t="str">
        <f t="shared" si="41"/>
        <v/>
      </c>
      <c r="AA135" s="3" t="str">
        <f t="shared" si="34"/>
        <v/>
      </c>
      <c r="AB135" s="3" t="str">
        <f t="shared" si="42"/>
        <v/>
      </c>
    </row>
    <row r="136" spans="20:28" x14ac:dyDescent="0.25">
      <c r="T136" s="3" t="str">
        <f t="shared" si="35"/>
        <v/>
      </c>
      <c r="U136" s="3" t="str">
        <f t="shared" si="36"/>
        <v/>
      </c>
      <c r="V136" s="3" t="str">
        <f t="shared" si="37"/>
        <v/>
      </c>
      <c r="W136" s="3" t="str">
        <f t="shared" si="38"/>
        <v/>
      </c>
      <c r="X136" s="3">
        <f t="shared" si="39"/>
        <v>6</v>
      </c>
      <c r="Y136" s="3" t="str">
        <f t="shared" si="40"/>
        <v/>
      </c>
      <c r="Z136" s="3" t="str">
        <f t="shared" si="41"/>
        <v/>
      </c>
      <c r="AA136" s="3" t="str">
        <f t="shared" si="34"/>
        <v/>
      </c>
      <c r="AB136" s="3" t="str">
        <f t="shared" si="42"/>
        <v/>
      </c>
    </row>
    <row r="137" spans="20:28" x14ac:dyDescent="0.25">
      <c r="T137" s="3" t="str">
        <f t="shared" si="35"/>
        <v/>
      </c>
      <c r="U137" s="3" t="str">
        <f t="shared" si="36"/>
        <v/>
      </c>
      <c r="V137" s="3" t="str">
        <f t="shared" si="37"/>
        <v/>
      </c>
      <c r="W137" s="3" t="str">
        <f t="shared" si="38"/>
        <v/>
      </c>
      <c r="X137" s="3">
        <f t="shared" si="39"/>
        <v>6</v>
      </c>
      <c r="Y137" s="3" t="str">
        <f t="shared" si="40"/>
        <v/>
      </c>
      <c r="Z137" s="3" t="str">
        <f t="shared" si="41"/>
        <v/>
      </c>
      <c r="AA137" s="3" t="str">
        <f t="shared" si="34"/>
        <v/>
      </c>
      <c r="AB137" s="3" t="str">
        <f t="shared" si="42"/>
        <v/>
      </c>
    </row>
    <row r="138" spans="20:28" x14ac:dyDescent="0.25">
      <c r="T138" s="3" t="str">
        <f t="shared" si="35"/>
        <v/>
      </c>
      <c r="U138" s="3" t="str">
        <f t="shared" si="36"/>
        <v/>
      </c>
      <c r="V138" s="3" t="str">
        <f t="shared" si="37"/>
        <v/>
      </c>
      <c r="W138" s="3" t="str">
        <f t="shared" si="38"/>
        <v/>
      </c>
      <c r="X138" s="3">
        <f t="shared" si="39"/>
        <v>6</v>
      </c>
      <c r="Y138" s="3" t="str">
        <f t="shared" si="40"/>
        <v/>
      </c>
      <c r="Z138" s="3" t="str">
        <f t="shared" si="41"/>
        <v/>
      </c>
      <c r="AA138" s="3" t="str">
        <f t="shared" si="34"/>
        <v/>
      </c>
      <c r="AB138" s="3" t="str">
        <f t="shared" si="42"/>
        <v/>
      </c>
    </row>
    <row r="139" spans="20:28" x14ac:dyDescent="0.25">
      <c r="T139" s="3" t="str">
        <f t="shared" si="35"/>
        <v/>
      </c>
      <c r="U139" s="3" t="str">
        <f t="shared" si="36"/>
        <v/>
      </c>
      <c r="V139" s="3" t="str">
        <f t="shared" si="37"/>
        <v/>
      </c>
      <c r="W139" s="3" t="str">
        <f t="shared" si="38"/>
        <v/>
      </c>
      <c r="X139" s="3">
        <f t="shared" si="39"/>
        <v>6</v>
      </c>
      <c r="Y139" s="3" t="str">
        <f t="shared" si="40"/>
        <v/>
      </c>
      <c r="Z139" s="3" t="str">
        <f t="shared" si="41"/>
        <v/>
      </c>
      <c r="AA139" s="3" t="str">
        <f t="shared" si="34"/>
        <v/>
      </c>
      <c r="AB139" s="3" t="str">
        <f t="shared" si="42"/>
        <v/>
      </c>
    </row>
    <row r="140" spans="20:28" x14ac:dyDescent="0.25">
      <c r="T140" s="3" t="str">
        <f t="shared" si="35"/>
        <v/>
      </c>
      <c r="U140" s="3" t="str">
        <f t="shared" si="36"/>
        <v/>
      </c>
      <c r="V140" s="3" t="str">
        <f t="shared" si="37"/>
        <v/>
      </c>
      <c r="W140" s="3" t="str">
        <f t="shared" si="38"/>
        <v/>
      </c>
      <c r="X140" s="3">
        <f t="shared" si="39"/>
        <v>6</v>
      </c>
      <c r="Y140" s="3" t="str">
        <f t="shared" si="40"/>
        <v/>
      </c>
      <c r="Z140" s="3" t="str">
        <f t="shared" si="41"/>
        <v/>
      </c>
      <c r="AA140" s="3" t="str">
        <f t="shared" si="34"/>
        <v/>
      </c>
      <c r="AB140" s="3" t="str">
        <f t="shared" si="42"/>
        <v/>
      </c>
    </row>
    <row r="141" spans="20:28" x14ac:dyDescent="0.25">
      <c r="T141" s="3" t="str">
        <f t="shared" si="35"/>
        <v/>
      </c>
      <c r="U141" s="3" t="str">
        <f t="shared" si="36"/>
        <v/>
      </c>
      <c r="V141" s="3" t="str">
        <f t="shared" si="37"/>
        <v/>
      </c>
      <c r="W141" s="3" t="str">
        <f t="shared" si="38"/>
        <v/>
      </c>
      <c r="X141" s="3">
        <f t="shared" si="39"/>
        <v>6</v>
      </c>
      <c r="Y141" s="3" t="str">
        <f t="shared" si="40"/>
        <v/>
      </c>
      <c r="Z141" s="3" t="str">
        <f t="shared" si="41"/>
        <v/>
      </c>
      <c r="AA141" s="3" t="str">
        <f t="shared" si="34"/>
        <v/>
      </c>
      <c r="AB141" s="3" t="str">
        <f t="shared" si="42"/>
        <v/>
      </c>
    </row>
    <row r="142" spans="20:28" x14ac:dyDescent="0.25">
      <c r="T142" s="3" t="str">
        <f t="shared" si="35"/>
        <v/>
      </c>
      <c r="U142" s="3" t="str">
        <f t="shared" si="36"/>
        <v/>
      </c>
      <c r="V142" s="3" t="str">
        <f t="shared" si="37"/>
        <v/>
      </c>
      <c r="W142" s="3" t="str">
        <f t="shared" si="38"/>
        <v/>
      </c>
      <c r="X142" s="3">
        <f t="shared" si="39"/>
        <v>6</v>
      </c>
      <c r="Y142" s="3" t="str">
        <f t="shared" si="40"/>
        <v/>
      </c>
      <c r="Z142" s="3" t="str">
        <f t="shared" si="41"/>
        <v/>
      </c>
      <c r="AA142" s="3" t="str">
        <f t="shared" si="34"/>
        <v/>
      </c>
      <c r="AB142" s="3" t="str">
        <f t="shared" si="42"/>
        <v/>
      </c>
    </row>
    <row r="143" spans="20:28" x14ac:dyDescent="0.25">
      <c r="T143" s="3" t="str">
        <f t="shared" si="35"/>
        <v/>
      </c>
      <c r="U143" s="3" t="str">
        <f t="shared" si="36"/>
        <v/>
      </c>
      <c r="V143" s="3" t="str">
        <f t="shared" si="37"/>
        <v/>
      </c>
      <c r="W143" s="3" t="str">
        <f t="shared" si="38"/>
        <v/>
      </c>
      <c r="X143" s="3">
        <f t="shared" si="39"/>
        <v>6</v>
      </c>
      <c r="Y143" s="3" t="str">
        <f t="shared" si="40"/>
        <v/>
      </c>
      <c r="Z143" s="3" t="str">
        <f t="shared" si="41"/>
        <v/>
      </c>
      <c r="AA143" s="3" t="str">
        <f t="shared" si="34"/>
        <v/>
      </c>
      <c r="AB143" s="3" t="str">
        <f t="shared" si="42"/>
        <v/>
      </c>
    </row>
    <row r="144" spans="20:28" x14ac:dyDescent="0.25">
      <c r="T144" s="3" t="str">
        <f t="shared" si="35"/>
        <v/>
      </c>
      <c r="U144" s="3" t="str">
        <f t="shared" si="36"/>
        <v/>
      </c>
      <c r="V144" s="3" t="str">
        <f t="shared" si="37"/>
        <v/>
      </c>
      <c r="W144" s="3" t="str">
        <f t="shared" si="38"/>
        <v/>
      </c>
      <c r="X144" s="3">
        <f t="shared" si="39"/>
        <v>6</v>
      </c>
      <c r="Y144" s="3" t="str">
        <f t="shared" si="40"/>
        <v/>
      </c>
      <c r="Z144" s="3" t="str">
        <f t="shared" si="41"/>
        <v/>
      </c>
      <c r="AA144" s="3" t="str">
        <f t="shared" si="34"/>
        <v/>
      </c>
      <c r="AB144" s="3" t="str">
        <f t="shared" si="42"/>
        <v/>
      </c>
    </row>
    <row r="145" spans="20:28" x14ac:dyDescent="0.25">
      <c r="T145" s="3" t="str">
        <f t="shared" si="35"/>
        <v/>
      </c>
      <c r="U145" s="3" t="str">
        <f t="shared" si="36"/>
        <v/>
      </c>
      <c r="V145" s="3" t="str">
        <f t="shared" si="37"/>
        <v/>
      </c>
      <c r="W145" s="3" t="str">
        <f t="shared" si="38"/>
        <v/>
      </c>
      <c r="X145" s="3">
        <f t="shared" si="39"/>
        <v>6</v>
      </c>
      <c r="Y145" s="3" t="str">
        <f t="shared" si="40"/>
        <v/>
      </c>
      <c r="Z145" s="3" t="str">
        <f t="shared" si="41"/>
        <v/>
      </c>
      <c r="AA145" s="3" t="str">
        <f t="shared" si="34"/>
        <v/>
      </c>
      <c r="AB145" s="3" t="str">
        <f t="shared" si="42"/>
        <v/>
      </c>
    </row>
    <row r="146" spans="20:28" x14ac:dyDescent="0.25">
      <c r="T146" s="3" t="str">
        <f t="shared" si="35"/>
        <v/>
      </c>
      <c r="U146" s="3" t="str">
        <f t="shared" si="36"/>
        <v/>
      </c>
      <c r="V146" s="3" t="str">
        <f t="shared" si="37"/>
        <v/>
      </c>
      <c r="W146" s="3" t="str">
        <f t="shared" si="38"/>
        <v/>
      </c>
      <c r="X146" s="3">
        <f t="shared" si="39"/>
        <v>6</v>
      </c>
      <c r="Y146" s="3" t="str">
        <f t="shared" si="40"/>
        <v/>
      </c>
      <c r="Z146" s="3" t="str">
        <f t="shared" si="41"/>
        <v/>
      </c>
      <c r="AA146" s="3" t="str">
        <f t="shared" si="34"/>
        <v/>
      </c>
      <c r="AB146" s="3" t="str">
        <f t="shared" si="42"/>
        <v/>
      </c>
    </row>
    <row r="147" spans="20:28" x14ac:dyDescent="0.25">
      <c r="T147" s="3" t="str">
        <f t="shared" si="35"/>
        <v/>
      </c>
      <c r="U147" s="3" t="str">
        <f t="shared" si="36"/>
        <v/>
      </c>
      <c r="V147" s="3" t="str">
        <f t="shared" si="37"/>
        <v/>
      </c>
      <c r="W147" s="3" t="str">
        <f t="shared" si="38"/>
        <v/>
      </c>
      <c r="X147" s="3">
        <f t="shared" si="39"/>
        <v>6</v>
      </c>
      <c r="Y147" s="3" t="str">
        <f t="shared" si="40"/>
        <v/>
      </c>
      <c r="Z147" s="3" t="str">
        <f t="shared" si="41"/>
        <v/>
      </c>
      <c r="AA147" s="3" t="str">
        <f t="shared" si="34"/>
        <v/>
      </c>
      <c r="AB147" s="3" t="str">
        <f t="shared" si="42"/>
        <v/>
      </c>
    </row>
    <row r="148" spans="20:28" x14ac:dyDescent="0.25">
      <c r="T148" s="3" t="str">
        <f t="shared" si="35"/>
        <v/>
      </c>
      <c r="U148" s="3" t="str">
        <f t="shared" si="36"/>
        <v/>
      </c>
      <c r="V148" s="3" t="str">
        <f t="shared" si="37"/>
        <v/>
      </c>
      <c r="W148" s="3" t="str">
        <f t="shared" si="38"/>
        <v/>
      </c>
      <c r="X148" s="3">
        <f t="shared" si="39"/>
        <v>6</v>
      </c>
      <c r="Y148" s="3" t="str">
        <f t="shared" si="40"/>
        <v/>
      </c>
      <c r="Z148" s="3" t="str">
        <f t="shared" si="41"/>
        <v/>
      </c>
      <c r="AA148" s="3" t="str">
        <f t="shared" si="34"/>
        <v/>
      </c>
      <c r="AB148" s="3" t="str">
        <f t="shared" si="42"/>
        <v/>
      </c>
    </row>
    <row r="149" spans="20:28" x14ac:dyDescent="0.25">
      <c r="T149" s="3" t="str">
        <f t="shared" si="35"/>
        <v/>
      </c>
      <c r="U149" s="3" t="str">
        <f t="shared" si="36"/>
        <v/>
      </c>
      <c r="V149" s="3" t="str">
        <f t="shared" si="37"/>
        <v/>
      </c>
      <c r="W149" s="3" t="str">
        <f t="shared" si="38"/>
        <v/>
      </c>
      <c r="X149" s="3">
        <f t="shared" si="39"/>
        <v>6</v>
      </c>
      <c r="Y149" s="3" t="str">
        <f t="shared" si="40"/>
        <v/>
      </c>
      <c r="Z149" s="3" t="str">
        <f t="shared" si="41"/>
        <v/>
      </c>
      <c r="AA149" s="3" t="str">
        <f t="shared" si="34"/>
        <v/>
      </c>
      <c r="AB149" s="3" t="str">
        <f t="shared" si="42"/>
        <v/>
      </c>
    </row>
    <row r="150" spans="20:28" x14ac:dyDescent="0.25">
      <c r="T150" s="3" t="str">
        <f t="shared" si="35"/>
        <v/>
      </c>
      <c r="U150" s="3" t="str">
        <f t="shared" si="36"/>
        <v/>
      </c>
      <c r="V150" s="3" t="str">
        <f t="shared" si="37"/>
        <v/>
      </c>
      <c r="W150" s="3" t="str">
        <f t="shared" si="38"/>
        <v/>
      </c>
      <c r="X150" s="3">
        <f t="shared" si="39"/>
        <v>6</v>
      </c>
      <c r="Y150" s="3" t="str">
        <f t="shared" si="40"/>
        <v/>
      </c>
      <c r="Z150" s="3" t="str">
        <f t="shared" si="41"/>
        <v/>
      </c>
      <c r="AA150" s="3" t="str">
        <f t="shared" si="34"/>
        <v/>
      </c>
      <c r="AB150" s="3" t="str">
        <f t="shared" si="42"/>
        <v/>
      </c>
    </row>
    <row r="151" spans="20:28" x14ac:dyDescent="0.25">
      <c r="T151" s="3" t="str">
        <f t="shared" si="35"/>
        <v/>
      </c>
      <c r="U151" s="3" t="str">
        <f t="shared" si="36"/>
        <v/>
      </c>
      <c r="V151" s="3" t="str">
        <f t="shared" si="37"/>
        <v/>
      </c>
      <c r="W151" s="3" t="str">
        <f t="shared" si="38"/>
        <v/>
      </c>
      <c r="X151" s="3">
        <f t="shared" si="39"/>
        <v>6</v>
      </c>
      <c r="Y151" s="3" t="str">
        <f t="shared" si="40"/>
        <v/>
      </c>
      <c r="Z151" s="3" t="str">
        <f t="shared" si="41"/>
        <v/>
      </c>
      <c r="AA151" s="3" t="str">
        <f t="shared" si="34"/>
        <v/>
      </c>
      <c r="AB151" s="3" t="str">
        <f t="shared" si="42"/>
        <v/>
      </c>
    </row>
    <row r="152" spans="20:28" x14ac:dyDescent="0.25">
      <c r="T152" s="3" t="str">
        <f t="shared" si="35"/>
        <v/>
      </c>
      <c r="U152" s="3" t="str">
        <f t="shared" si="36"/>
        <v/>
      </c>
      <c r="V152" s="3" t="str">
        <f t="shared" si="37"/>
        <v/>
      </c>
      <c r="W152" s="3" t="str">
        <f t="shared" si="38"/>
        <v/>
      </c>
      <c r="X152" s="3">
        <f t="shared" si="39"/>
        <v>6</v>
      </c>
      <c r="Y152" s="3" t="str">
        <f t="shared" si="40"/>
        <v/>
      </c>
      <c r="Z152" s="3" t="str">
        <f t="shared" si="41"/>
        <v/>
      </c>
      <c r="AA152" s="3" t="str">
        <f t="shared" si="34"/>
        <v/>
      </c>
      <c r="AB152" s="3" t="str">
        <f t="shared" si="42"/>
        <v/>
      </c>
    </row>
    <row r="153" spans="20:28" x14ac:dyDescent="0.25">
      <c r="T153" s="3" t="str">
        <f t="shared" si="35"/>
        <v/>
      </c>
      <c r="U153" s="3" t="str">
        <f t="shared" si="36"/>
        <v/>
      </c>
      <c r="V153" s="3" t="str">
        <f t="shared" si="37"/>
        <v/>
      </c>
      <c r="W153" s="3" t="str">
        <f t="shared" si="38"/>
        <v/>
      </c>
      <c r="X153" s="3">
        <f t="shared" si="39"/>
        <v>6</v>
      </c>
      <c r="Y153" s="3" t="str">
        <f t="shared" si="40"/>
        <v/>
      </c>
      <c r="Z153" s="3" t="str">
        <f t="shared" si="41"/>
        <v/>
      </c>
      <c r="AA153" s="3" t="str">
        <f t="shared" si="34"/>
        <v/>
      </c>
      <c r="AB153" s="3" t="str">
        <f t="shared" si="42"/>
        <v/>
      </c>
    </row>
    <row r="154" spans="20:28" x14ac:dyDescent="0.25">
      <c r="T154" s="3" t="str">
        <f t="shared" si="35"/>
        <v/>
      </c>
      <c r="U154" s="3" t="str">
        <f t="shared" si="36"/>
        <v/>
      </c>
      <c r="V154" s="3" t="str">
        <f t="shared" si="37"/>
        <v/>
      </c>
      <c r="W154" s="3" t="str">
        <f t="shared" si="38"/>
        <v/>
      </c>
      <c r="X154" s="3">
        <f t="shared" si="39"/>
        <v>6</v>
      </c>
      <c r="Y154" s="3" t="str">
        <f t="shared" si="40"/>
        <v/>
      </c>
      <c r="Z154" s="3" t="str">
        <f t="shared" si="41"/>
        <v/>
      </c>
      <c r="AA154" s="3" t="str">
        <f t="shared" si="34"/>
        <v/>
      </c>
      <c r="AB154" s="3" t="str">
        <f t="shared" si="42"/>
        <v/>
      </c>
    </row>
    <row r="155" spans="20:28" x14ac:dyDescent="0.25">
      <c r="T155" s="3" t="str">
        <f t="shared" si="35"/>
        <v/>
      </c>
      <c r="U155" s="3" t="str">
        <f t="shared" si="36"/>
        <v/>
      </c>
      <c r="V155" s="3" t="str">
        <f t="shared" si="37"/>
        <v/>
      </c>
      <c r="W155" s="3" t="str">
        <f t="shared" si="38"/>
        <v/>
      </c>
      <c r="X155" s="3">
        <f t="shared" si="39"/>
        <v>6</v>
      </c>
      <c r="Y155" s="3" t="str">
        <f t="shared" si="40"/>
        <v/>
      </c>
      <c r="Z155" s="3" t="str">
        <f t="shared" si="41"/>
        <v/>
      </c>
      <c r="AA155" s="3" t="str">
        <f t="shared" si="34"/>
        <v/>
      </c>
      <c r="AB155" s="3" t="str">
        <f t="shared" si="42"/>
        <v/>
      </c>
    </row>
    <row r="156" spans="20:28" x14ac:dyDescent="0.25">
      <c r="T156" s="3" t="str">
        <f t="shared" si="35"/>
        <v/>
      </c>
      <c r="U156" s="3" t="str">
        <f t="shared" si="36"/>
        <v/>
      </c>
      <c r="V156" s="3" t="str">
        <f t="shared" si="37"/>
        <v/>
      </c>
      <c r="W156" s="3" t="str">
        <f t="shared" si="38"/>
        <v/>
      </c>
      <c r="X156" s="3">
        <f t="shared" si="39"/>
        <v>6</v>
      </c>
      <c r="Y156" s="3" t="str">
        <f t="shared" si="40"/>
        <v/>
      </c>
      <c r="Z156" s="3" t="str">
        <f t="shared" si="41"/>
        <v/>
      </c>
      <c r="AA156" s="3" t="str">
        <f t="shared" si="34"/>
        <v/>
      </c>
      <c r="AB156" s="3" t="str">
        <f t="shared" si="42"/>
        <v/>
      </c>
    </row>
    <row r="157" spans="20:28" x14ac:dyDescent="0.25">
      <c r="T157" s="3" t="str">
        <f t="shared" si="35"/>
        <v/>
      </c>
      <c r="U157" s="3" t="str">
        <f t="shared" si="36"/>
        <v/>
      </c>
      <c r="V157" s="3" t="str">
        <f t="shared" si="37"/>
        <v/>
      </c>
      <c r="W157" s="3" t="str">
        <f t="shared" si="38"/>
        <v/>
      </c>
      <c r="X157" s="3">
        <f t="shared" si="39"/>
        <v>6</v>
      </c>
      <c r="Y157" s="3" t="str">
        <f t="shared" si="40"/>
        <v/>
      </c>
      <c r="Z157" s="3" t="str">
        <f t="shared" si="41"/>
        <v/>
      </c>
      <c r="AA157" s="3" t="str">
        <f t="shared" si="34"/>
        <v/>
      </c>
      <c r="AB157" s="3" t="str">
        <f t="shared" si="42"/>
        <v/>
      </c>
    </row>
    <row r="158" spans="20:28" x14ac:dyDescent="0.25">
      <c r="T158" s="3" t="str">
        <f t="shared" si="35"/>
        <v/>
      </c>
      <c r="U158" s="3" t="str">
        <f t="shared" si="36"/>
        <v/>
      </c>
      <c r="V158" s="3" t="str">
        <f t="shared" si="37"/>
        <v/>
      </c>
      <c r="W158" s="3" t="str">
        <f t="shared" si="38"/>
        <v/>
      </c>
      <c r="X158" s="3">
        <f t="shared" si="39"/>
        <v>6</v>
      </c>
      <c r="Y158" s="3" t="str">
        <f t="shared" si="40"/>
        <v/>
      </c>
      <c r="Z158" s="3" t="str">
        <f t="shared" si="41"/>
        <v/>
      </c>
      <c r="AA158" s="3" t="str">
        <f t="shared" si="34"/>
        <v/>
      </c>
      <c r="AB158" s="3" t="str">
        <f t="shared" si="42"/>
        <v/>
      </c>
    </row>
    <row r="159" spans="20:28" x14ac:dyDescent="0.25">
      <c r="T159" s="3" t="str">
        <f t="shared" si="35"/>
        <v/>
      </c>
      <c r="U159" s="3" t="str">
        <f t="shared" si="36"/>
        <v/>
      </c>
      <c r="V159" s="3" t="str">
        <f t="shared" si="37"/>
        <v/>
      </c>
      <c r="W159" s="3" t="str">
        <f t="shared" si="38"/>
        <v/>
      </c>
      <c r="X159" s="3">
        <f t="shared" si="39"/>
        <v>6</v>
      </c>
      <c r="Y159" s="3" t="str">
        <f t="shared" si="40"/>
        <v/>
      </c>
      <c r="Z159" s="3" t="str">
        <f t="shared" si="41"/>
        <v/>
      </c>
      <c r="AA159" s="3" t="str">
        <f t="shared" si="34"/>
        <v/>
      </c>
      <c r="AB159" s="3" t="str">
        <f t="shared" si="42"/>
        <v/>
      </c>
    </row>
    <row r="160" spans="20:28" x14ac:dyDescent="0.25">
      <c r="T160" s="3" t="str">
        <f t="shared" si="35"/>
        <v/>
      </c>
      <c r="U160" s="3" t="str">
        <f t="shared" si="36"/>
        <v/>
      </c>
      <c r="V160" s="3" t="str">
        <f t="shared" si="37"/>
        <v/>
      </c>
      <c r="W160" s="3" t="str">
        <f t="shared" si="38"/>
        <v/>
      </c>
      <c r="X160" s="3">
        <f t="shared" si="39"/>
        <v>6</v>
      </c>
      <c r="Y160" s="3" t="str">
        <f t="shared" si="40"/>
        <v/>
      </c>
      <c r="Z160" s="3" t="str">
        <f t="shared" si="41"/>
        <v/>
      </c>
      <c r="AA160" s="3" t="str">
        <f t="shared" si="34"/>
        <v/>
      </c>
      <c r="AB160" s="3" t="str">
        <f t="shared" si="42"/>
        <v/>
      </c>
    </row>
    <row r="161" spans="20:28" x14ac:dyDescent="0.25">
      <c r="T161" s="3" t="str">
        <f t="shared" si="35"/>
        <v/>
      </c>
      <c r="U161" s="3" t="str">
        <f t="shared" si="36"/>
        <v/>
      </c>
      <c r="V161" s="3" t="str">
        <f t="shared" si="37"/>
        <v/>
      </c>
      <c r="W161" s="3" t="str">
        <f t="shared" si="38"/>
        <v/>
      </c>
      <c r="X161" s="3">
        <f t="shared" si="39"/>
        <v>6</v>
      </c>
      <c r="Y161" s="3" t="str">
        <f t="shared" si="40"/>
        <v/>
      </c>
      <c r="Z161" s="3" t="str">
        <f t="shared" si="41"/>
        <v/>
      </c>
      <c r="AA161" s="3" t="str">
        <f t="shared" si="34"/>
        <v/>
      </c>
      <c r="AB161" s="3" t="str">
        <f t="shared" si="42"/>
        <v/>
      </c>
    </row>
    <row r="162" spans="20:28" x14ac:dyDescent="0.25">
      <c r="T162" s="3" t="str">
        <f t="shared" si="35"/>
        <v/>
      </c>
      <c r="U162" s="3" t="str">
        <f t="shared" si="36"/>
        <v/>
      </c>
      <c r="V162" s="3" t="str">
        <f t="shared" si="37"/>
        <v/>
      </c>
      <c r="W162" s="3" t="str">
        <f t="shared" si="38"/>
        <v/>
      </c>
      <c r="X162" s="3">
        <f t="shared" si="39"/>
        <v>6</v>
      </c>
      <c r="Y162" s="3" t="str">
        <f t="shared" si="40"/>
        <v/>
      </c>
      <c r="Z162" s="3" t="str">
        <f t="shared" si="41"/>
        <v/>
      </c>
      <c r="AA162" s="3" t="str">
        <f t="shared" si="34"/>
        <v/>
      </c>
      <c r="AB162" s="3" t="str">
        <f t="shared" si="42"/>
        <v/>
      </c>
    </row>
    <row r="163" spans="20:28" x14ac:dyDescent="0.25">
      <c r="T163" s="3" t="str">
        <f t="shared" si="35"/>
        <v/>
      </c>
      <c r="U163" s="3" t="str">
        <f t="shared" si="36"/>
        <v/>
      </c>
      <c r="V163" s="3" t="str">
        <f t="shared" si="37"/>
        <v/>
      </c>
      <c r="W163" s="3" t="str">
        <f t="shared" si="38"/>
        <v/>
      </c>
      <c r="X163" s="3">
        <f t="shared" si="39"/>
        <v>6</v>
      </c>
      <c r="Y163" s="3" t="str">
        <f t="shared" si="40"/>
        <v/>
      </c>
      <c r="Z163" s="3" t="str">
        <f t="shared" si="41"/>
        <v/>
      </c>
      <c r="AA163" s="3" t="str">
        <f t="shared" si="34"/>
        <v/>
      </c>
      <c r="AB163" s="3" t="str">
        <f t="shared" si="42"/>
        <v/>
      </c>
    </row>
    <row r="164" spans="20:28" x14ac:dyDescent="0.25">
      <c r="T164" s="3" t="str">
        <f t="shared" si="35"/>
        <v/>
      </c>
      <c r="U164" s="3" t="str">
        <f t="shared" si="36"/>
        <v/>
      </c>
      <c r="V164" s="3" t="str">
        <f t="shared" si="37"/>
        <v/>
      </c>
      <c r="W164" s="3" t="str">
        <f t="shared" si="38"/>
        <v/>
      </c>
      <c r="X164" s="3">
        <f t="shared" si="39"/>
        <v>6</v>
      </c>
      <c r="Y164" s="3" t="str">
        <f t="shared" si="40"/>
        <v/>
      </c>
      <c r="Z164" s="3" t="str">
        <f t="shared" si="41"/>
        <v/>
      </c>
      <c r="AA164" s="3" t="str">
        <f t="shared" si="34"/>
        <v/>
      </c>
      <c r="AB164" s="3" t="str">
        <f t="shared" si="42"/>
        <v/>
      </c>
    </row>
    <row r="165" spans="20:28" x14ac:dyDescent="0.25">
      <c r="T165" s="3" t="str">
        <f t="shared" si="35"/>
        <v/>
      </c>
      <c r="U165" s="3" t="str">
        <f t="shared" si="36"/>
        <v/>
      </c>
      <c r="V165" s="3" t="str">
        <f t="shared" si="37"/>
        <v/>
      </c>
      <c r="W165" s="3" t="str">
        <f t="shared" si="38"/>
        <v/>
      </c>
      <c r="X165" s="3">
        <f t="shared" si="39"/>
        <v>6</v>
      </c>
      <c r="Y165" s="3" t="str">
        <f t="shared" si="40"/>
        <v/>
      </c>
      <c r="Z165" s="3" t="str">
        <f t="shared" si="41"/>
        <v/>
      </c>
      <c r="AA165" s="3" t="str">
        <f t="shared" si="34"/>
        <v/>
      </c>
      <c r="AB165" s="3" t="str">
        <f t="shared" si="42"/>
        <v/>
      </c>
    </row>
    <row r="166" spans="20:28" x14ac:dyDescent="0.25">
      <c r="T166" s="3" t="str">
        <f t="shared" si="35"/>
        <v/>
      </c>
      <c r="U166" s="3" t="str">
        <f t="shared" si="36"/>
        <v/>
      </c>
      <c r="V166" s="3" t="str">
        <f t="shared" si="37"/>
        <v/>
      </c>
      <c r="W166" s="3" t="str">
        <f t="shared" si="38"/>
        <v/>
      </c>
      <c r="X166" s="3">
        <f t="shared" si="39"/>
        <v>6</v>
      </c>
      <c r="Y166" s="3" t="str">
        <f t="shared" si="40"/>
        <v/>
      </c>
      <c r="Z166" s="3" t="str">
        <f t="shared" si="41"/>
        <v/>
      </c>
      <c r="AA166" s="3" t="str">
        <f t="shared" si="34"/>
        <v/>
      </c>
      <c r="AB166" s="3" t="str">
        <f t="shared" si="42"/>
        <v/>
      </c>
    </row>
    <row r="167" spans="20:28" x14ac:dyDescent="0.25">
      <c r="T167" s="3" t="str">
        <f t="shared" si="35"/>
        <v/>
      </c>
      <c r="U167" s="3" t="str">
        <f t="shared" si="36"/>
        <v/>
      </c>
      <c r="V167" s="3" t="str">
        <f t="shared" si="37"/>
        <v/>
      </c>
      <c r="W167" s="3" t="str">
        <f t="shared" si="38"/>
        <v/>
      </c>
      <c r="X167" s="3">
        <f t="shared" si="39"/>
        <v>6</v>
      </c>
      <c r="Y167" s="3" t="str">
        <f t="shared" si="40"/>
        <v/>
      </c>
      <c r="Z167" s="3" t="str">
        <f t="shared" si="41"/>
        <v/>
      </c>
      <c r="AA167" s="3" t="str">
        <f t="shared" si="34"/>
        <v/>
      </c>
      <c r="AB167" s="3" t="str">
        <f t="shared" si="42"/>
        <v/>
      </c>
    </row>
    <row r="168" spans="20:28" x14ac:dyDescent="0.25">
      <c r="T168" s="3" t="str">
        <f t="shared" si="35"/>
        <v/>
      </c>
      <c r="U168" s="3" t="str">
        <f t="shared" si="36"/>
        <v/>
      </c>
      <c r="V168" s="3" t="str">
        <f t="shared" si="37"/>
        <v/>
      </c>
      <c r="W168" s="3" t="str">
        <f t="shared" si="38"/>
        <v/>
      </c>
      <c r="X168" s="3">
        <f t="shared" si="39"/>
        <v>6</v>
      </c>
      <c r="Y168" s="3" t="str">
        <f t="shared" si="40"/>
        <v/>
      </c>
      <c r="Z168" s="3" t="str">
        <f t="shared" si="41"/>
        <v/>
      </c>
      <c r="AA168" s="3" t="str">
        <f t="shared" si="34"/>
        <v/>
      </c>
      <c r="AB168" s="3" t="str">
        <f t="shared" si="42"/>
        <v/>
      </c>
    </row>
    <row r="169" spans="20:28" x14ac:dyDescent="0.25">
      <c r="T169" s="3" t="str">
        <f t="shared" si="35"/>
        <v/>
      </c>
      <c r="U169" s="3" t="str">
        <f t="shared" si="36"/>
        <v/>
      </c>
      <c r="V169" s="3" t="str">
        <f t="shared" si="37"/>
        <v/>
      </c>
      <c r="W169" s="3" t="str">
        <f t="shared" si="38"/>
        <v/>
      </c>
      <c r="X169" s="3">
        <f t="shared" si="39"/>
        <v>6</v>
      </c>
      <c r="Y169" s="3" t="str">
        <f t="shared" si="40"/>
        <v/>
      </c>
      <c r="Z169" s="3" t="str">
        <f t="shared" si="41"/>
        <v/>
      </c>
      <c r="AA169" s="3" t="str">
        <f t="shared" si="34"/>
        <v/>
      </c>
      <c r="AB169" s="3" t="str">
        <f t="shared" si="42"/>
        <v/>
      </c>
    </row>
    <row r="170" spans="20:28" x14ac:dyDescent="0.25">
      <c r="T170" s="3" t="str">
        <f t="shared" si="35"/>
        <v/>
      </c>
      <c r="U170" s="3" t="str">
        <f t="shared" si="36"/>
        <v/>
      </c>
      <c r="V170" s="3" t="str">
        <f t="shared" si="37"/>
        <v/>
      </c>
      <c r="W170" s="3" t="str">
        <f t="shared" si="38"/>
        <v/>
      </c>
      <c r="X170" s="3">
        <f t="shared" si="39"/>
        <v>6</v>
      </c>
      <c r="Y170" s="3" t="str">
        <f t="shared" si="40"/>
        <v/>
      </c>
      <c r="Z170" s="3" t="str">
        <f t="shared" si="41"/>
        <v/>
      </c>
      <c r="AA170" s="3" t="str">
        <f t="shared" si="34"/>
        <v/>
      </c>
      <c r="AB170" s="3" t="str">
        <f t="shared" si="42"/>
        <v/>
      </c>
    </row>
    <row r="171" spans="20:28" x14ac:dyDescent="0.25">
      <c r="T171" s="3" t="str">
        <f t="shared" si="35"/>
        <v/>
      </c>
      <c r="U171" s="3" t="str">
        <f t="shared" si="36"/>
        <v/>
      </c>
      <c r="V171" s="3" t="str">
        <f t="shared" si="37"/>
        <v/>
      </c>
      <c r="W171" s="3" t="str">
        <f t="shared" si="38"/>
        <v/>
      </c>
      <c r="X171" s="3">
        <f t="shared" si="39"/>
        <v>6</v>
      </c>
      <c r="Y171" s="3" t="str">
        <f t="shared" si="40"/>
        <v/>
      </c>
      <c r="Z171" s="3" t="str">
        <f t="shared" si="41"/>
        <v/>
      </c>
      <c r="AA171" s="3" t="str">
        <f t="shared" si="34"/>
        <v/>
      </c>
      <c r="AB171" s="3" t="str">
        <f t="shared" si="42"/>
        <v/>
      </c>
    </row>
    <row r="172" spans="20:28" x14ac:dyDescent="0.25">
      <c r="T172" s="3" t="str">
        <f t="shared" si="35"/>
        <v/>
      </c>
      <c r="U172" s="3" t="str">
        <f t="shared" si="36"/>
        <v/>
      </c>
      <c r="V172" s="3" t="str">
        <f t="shared" si="37"/>
        <v/>
      </c>
      <c r="W172" s="3" t="str">
        <f t="shared" si="38"/>
        <v/>
      </c>
      <c r="X172" s="3">
        <f t="shared" si="39"/>
        <v>6</v>
      </c>
      <c r="Y172" s="3" t="str">
        <f t="shared" si="40"/>
        <v/>
      </c>
      <c r="Z172" s="3" t="str">
        <f t="shared" si="41"/>
        <v/>
      </c>
      <c r="AA172" s="3" t="str">
        <f t="shared" si="34"/>
        <v/>
      </c>
      <c r="AB172" s="3" t="str">
        <f t="shared" si="42"/>
        <v/>
      </c>
    </row>
    <row r="173" spans="20:28" x14ac:dyDescent="0.25">
      <c r="T173" s="3" t="str">
        <f t="shared" si="35"/>
        <v/>
      </c>
      <c r="U173" s="3" t="str">
        <f t="shared" si="36"/>
        <v/>
      </c>
      <c r="V173" s="3" t="str">
        <f t="shared" si="37"/>
        <v/>
      </c>
      <c r="W173" s="3" t="str">
        <f t="shared" si="38"/>
        <v/>
      </c>
      <c r="X173" s="3">
        <f t="shared" si="39"/>
        <v>6</v>
      </c>
      <c r="Y173" s="3" t="str">
        <f t="shared" si="40"/>
        <v/>
      </c>
      <c r="Z173" s="3" t="str">
        <f t="shared" si="41"/>
        <v/>
      </c>
      <c r="AA173" s="3" t="str">
        <f t="shared" si="34"/>
        <v/>
      </c>
      <c r="AB173" s="3" t="str">
        <f t="shared" si="42"/>
        <v/>
      </c>
    </row>
    <row r="174" spans="20:28" x14ac:dyDescent="0.25">
      <c r="T174" s="3" t="str">
        <f t="shared" si="35"/>
        <v/>
      </c>
      <c r="U174" s="3" t="str">
        <f t="shared" si="36"/>
        <v/>
      </c>
      <c r="V174" s="3" t="str">
        <f t="shared" si="37"/>
        <v/>
      </c>
      <c r="W174" s="3" t="str">
        <f t="shared" si="38"/>
        <v/>
      </c>
      <c r="X174" s="3">
        <f t="shared" si="39"/>
        <v>6</v>
      </c>
      <c r="Y174" s="3" t="str">
        <f t="shared" si="40"/>
        <v/>
      </c>
      <c r="Z174" s="3" t="str">
        <f t="shared" si="41"/>
        <v/>
      </c>
      <c r="AA174" s="3" t="str">
        <f t="shared" si="34"/>
        <v/>
      </c>
      <c r="AB174" s="3" t="str">
        <f t="shared" si="42"/>
        <v/>
      </c>
    </row>
    <row r="175" spans="20:28" x14ac:dyDescent="0.25">
      <c r="T175" s="3" t="str">
        <f t="shared" si="35"/>
        <v/>
      </c>
      <c r="U175" s="3" t="str">
        <f t="shared" si="36"/>
        <v/>
      </c>
      <c r="V175" s="3" t="str">
        <f t="shared" si="37"/>
        <v/>
      </c>
      <c r="W175" s="3" t="str">
        <f t="shared" si="38"/>
        <v/>
      </c>
      <c r="X175" s="3">
        <f t="shared" si="39"/>
        <v>6</v>
      </c>
      <c r="Y175" s="3" t="str">
        <f t="shared" si="40"/>
        <v/>
      </c>
      <c r="Z175" s="3" t="str">
        <f t="shared" si="41"/>
        <v/>
      </c>
      <c r="AA175" s="3" t="str">
        <f t="shared" si="34"/>
        <v/>
      </c>
      <c r="AB175" s="3" t="str">
        <f t="shared" si="42"/>
        <v/>
      </c>
    </row>
    <row r="176" spans="20:28" x14ac:dyDescent="0.25">
      <c r="T176" s="3" t="str">
        <f t="shared" si="35"/>
        <v/>
      </c>
      <c r="U176" s="3" t="str">
        <f t="shared" si="36"/>
        <v/>
      </c>
      <c r="V176" s="3" t="str">
        <f t="shared" si="37"/>
        <v/>
      </c>
      <c r="W176" s="3" t="str">
        <f t="shared" si="38"/>
        <v/>
      </c>
      <c r="X176" s="3">
        <f t="shared" si="39"/>
        <v>6</v>
      </c>
      <c r="Y176" s="3" t="str">
        <f t="shared" si="40"/>
        <v/>
      </c>
      <c r="Z176" s="3" t="str">
        <f t="shared" si="41"/>
        <v/>
      </c>
      <c r="AA176" s="3" t="str">
        <f t="shared" si="34"/>
        <v/>
      </c>
      <c r="AB176" s="3" t="str">
        <f t="shared" si="42"/>
        <v/>
      </c>
    </row>
    <row r="177" spans="20:28" x14ac:dyDescent="0.25">
      <c r="T177" s="3" t="str">
        <f t="shared" si="35"/>
        <v/>
      </c>
      <c r="U177" s="3" t="str">
        <f t="shared" si="36"/>
        <v/>
      </c>
      <c r="V177" s="3" t="str">
        <f t="shared" si="37"/>
        <v/>
      </c>
      <c r="W177" s="3" t="str">
        <f t="shared" si="38"/>
        <v/>
      </c>
      <c r="X177" s="3">
        <f t="shared" si="39"/>
        <v>6</v>
      </c>
      <c r="Y177" s="3" t="str">
        <f t="shared" si="40"/>
        <v/>
      </c>
      <c r="Z177" s="3" t="str">
        <f t="shared" si="41"/>
        <v/>
      </c>
      <c r="AA177" s="3" t="str">
        <f t="shared" si="34"/>
        <v/>
      </c>
      <c r="AB177" s="3" t="str">
        <f t="shared" si="42"/>
        <v/>
      </c>
    </row>
    <row r="178" spans="20:28" x14ac:dyDescent="0.25">
      <c r="T178" s="3" t="str">
        <f t="shared" si="35"/>
        <v/>
      </c>
      <c r="U178" s="3" t="str">
        <f t="shared" si="36"/>
        <v/>
      </c>
      <c r="V178" s="3" t="str">
        <f t="shared" si="37"/>
        <v/>
      </c>
      <c r="W178" s="3" t="str">
        <f t="shared" si="38"/>
        <v/>
      </c>
      <c r="X178" s="3">
        <f t="shared" si="39"/>
        <v>6</v>
      </c>
      <c r="Y178" s="3" t="str">
        <f t="shared" si="40"/>
        <v/>
      </c>
      <c r="Z178" s="3" t="str">
        <f t="shared" si="41"/>
        <v/>
      </c>
      <c r="AA178" s="3" t="str">
        <f t="shared" si="34"/>
        <v/>
      </c>
      <c r="AB178" s="3" t="str">
        <f t="shared" si="42"/>
        <v/>
      </c>
    </row>
    <row r="179" spans="20:28" x14ac:dyDescent="0.25">
      <c r="T179" s="3" t="str">
        <f t="shared" si="35"/>
        <v/>
      </c>
      <c r="U179" s="3" t="str">
        <f t="shared" si="36"/>
        <v/>
      </c>
      <c r="V179" s="3" t="str">
        <f t="shared" si="37"/>
        <v/>
      </c>
      <c r="W179" s="3" t="str">
        <f t="shared" si="38"/>
        <v/>
      </c>
      <c r="X179" s="3">
        <f t="shared" si="39"/>
        <v>6</v>
      </c>
      <c r="Y179" s="3" t="str">
        <f t="shared" si="40"/>
        <v/>
      </c>
      <c r="Z179" s="3" t="str">
        <f t="shared" si="41"/>
        <v/>
      </c>
      <c r="AA179" s="3" t="str">
        <f t="shared" si="34"/>
        <v/>
      </c>
      <c r="AB179" s="3" t="str">
        <f t="shared" si="42"/>
        <v/>
      </c>
    </row>
    <row r="180" spans="20:28" x14ac:dyDescent="0.25">
      <c r="T180" s="3" t="str">
        <f t="shared" si="35"/>
        <v/>
      </c>
      <c r="U180" s="3" t="str">
        <f t="shared" si="36"/>
        <v/>
      </c>
      <c r="V180" s="3" t="str">
        <f t="shared" si="37"/>
        <v/>
      </c>
      <c r="W180" s="3" t="str">
        <f t="shared" si="38"/>
        <v/>
      </c>
      <c r="X180" s="3">
        <f t="shared" si="39"/>
        <v>6</v>
      </c>
      <c r="Y180" s="3" t="str">
        <f t="shared" si="40"/>
        <v/>
      </c>
      <c r="Z180" s="3" t="str">
        <f t="shared" si="41"/>
        <v/>
      </c>
      <c r="AA180" s="3" t="str">
        <f t="shared" si="34"/>
        <v/>
      </c>
      <c r="AB180" s="3" t="str">
        <f t="shared" si="42"/>
        <v/>
      </c>
    </row>
    <row r="181" spans="20:28" x14ac:dyDescent="0.25">
      <c r="T181" s="3" t="str">
        <f t="shared" si="35"/>
        <v/>
      </c>
      <c r="U181" s="3" t="str">
        <f t="shared" si="36"/>
        <v/>
      </c>
      <c r="V181" s="3" t="str">
        <f t="shared" si="37"/>
        <v/>
      </c>
      <c r="W181" s="3" t="str">
        <f t="shared" si="38"/>
        <v/>
      </c>
      <c r="X181" s="3">
        <f t="shared" si="39"/>
        <v>6</v>
      </c>
      <c r="Y181" s="3" t="str">
        <f t="shared" si="40"/>
        <v/>
      </c>
      <c r="Z181" s="3" t="str">
        <f t="shared" si="41"/>
        <v/>
      </c>
      <c r="AA181" s="3" t="str">
        <f t="shared" si="34"/>
        <v/>
      </c>
      <c r="AB181" s="3" t="str">
        <f t="shared" si="42"/>
        <v/>
      </c>
    </row>
    <row r="182" spans="20:28" x14ac:dyDescent="0.25">
      <c r="T182" s="3" t="str">
        <f t="shared" si="35"/>
        <v/>
      </c>
      <c r="U182" s="3" t="str">
        <f t="shared" si="36"/>
        <v/>
      </c>
      <c r="V182" s="3" t="str">
        <f t="shared" si="37"/>
        <v/>
      </c>
      <c r="W182" s="3" t="str">
        <f t="shared" si="38"/>
        <v/>
      </c>
      <c r="X182" s="3">
        <f t="shared" si="39"/>
        <v>6</v>
      </c>
      <c r="Y182" s="3" t="str">
        <f t="shared" si="40"/>
        <v/>
      </c>
      <c r="Z182" s="3" t="str">
        <f t="shared" si="41"/>
        <v/>
      </c>
      <c r="AA182" s="3" t="str">
        <f t="shared" si="34"/>
        <v/>
      </c>
      <c r="AB182" s="3" t="str">
        <f t="shared" si="42"/>
        <v/>
      </c>
    </row>
    <row r="183" spans="20:28" x14ac:dyDescent="0.25">
      <c r="T183" s="3" t="str">
        <f t="shared" si="35"/>
        <v/>
      </c>
      <c r="U183" s="3" t="str">
        <f t="shared" si="36"/>
        <v/>
      </c>
      <c r="V183" s="3" t="str">
        <f t="shared" si="37"/>
        <v/>
      </c>
      <c r="W183" s="3" t="str">
        <f t="shared" si="38"/>
        <v/>
      </c>
      <c r="X183" s="3">
        <f t="shared" si="39"/>
        <v>6</v>
      </c>
      <c r="Y183" s="3" t="str">
        <f t="shared" si="40"/>
        <v/>
      </c>
      <c r="Z183" s="3" t="str">
        <f t="shared" si="41"/>
        <v/>
      </c>
      <c r="AA183" s="3" t="str">
        <f t="shared" si="34"/>
        <v/>
      </c>
      <c r="AB183" s="3" t="str">
        <f t="shared" si="42"/>
        <v/>
      </c>
    </row>
    <row r="184" spans="20:28" x14ac:dyDescent="0.25">
      <c r="T184" s="3" t="str">
        <f t="shared" si="35"/>
        <v/>
      </c>
      <c r="U184" s="3" t="str">
        <f t="shared" si="36"/>
        <v/>
      </c>
      <c r="V184" s="3" t="str">
        <f t="shared" si="37"/>
        <v/>
      </c>
      <c r="W184" s="3" t="str">
        <f t="shared" si="38"/>
        <v/>
      </c>
      <c r="X184" s="3">
        <f t="shared" si="39"/>
        <v>6</v>
      </c>
      <c r="Y184" s="3" t="str">
        <f t="shared" si="40"/>
        <v/>
      </c>
      <c r="Z184" s="3" t="str">
        <f t="shared" si="41"/>
        <v/>
      </c>
      <c r="AA184" s="3" t="str">
        <f t="shared" si="34"/>
        <v/>
      </c>
      <c r="AB184" s="3" t="str">
        <f t="shared" si="42"/>
        <v/>
      </c>
    </row>
    <row r="185" spans="20:28" x14ac:dyDescent="0.25">
      <c r="T185" s="3" t="str">
        <f t="shared" si="35"/>
        <v/>
      </c>
      <c r="U185" s="3" t="str">
        <f t="shared" si="36"/>
        <v/>
      </c>
      <c r="V185" s="3" t="str">
        <f t="shared" si="37"/>
        <v/>
      </c>
      <c r="W185" s="3" t="str">
        <f t="shared" si="38"/>
        <v/>
      </c>
      <c r="X185" s="3">
        <f t="shared" si="39"/>
        <v>6</v>
      </c>
      <c r="Y185" s="3" t="str">
        <f t="shared" si="40"/>
        <v/>
      </c>
      <c r="Z185" s="3" t="str">
        <f t="shared" si="41"/>
        <v/>
      </c>
      <c r="AA185" s="3" t="str">
        <f t="shared" si="34"/>
        <v/>
      </c>
      <c r="AB185" s="3" t="str">
        <f t="shared" si="42"/>
        <v/>
      </c>
    </row>
    <row r="186" spans="20:28" x14ac:dyDescent="0.25">
      <c r="T186" s="3" t="str">
        <f t="shared" si="35"/>
        <v/>
      </c>
      <c r="U186" s="3" t="str">
        <f t="shared" si="36"/>
        <v/>
      </c>
      <c r="V186" s="3" t="str">
        <f t="shared" si="37"/>
        <v/>
      </c>
      <c r="W186" s="3" t="str">
        <f t="shared" si="38"/>
        <v/>
      </c>
      <c r="X186" s="3">
        <f t="shared" si="39"/>
        <v>6</v>
      </c>
      <c r="Y186" s="3" t="str">
        <f t="shared" si="40"/>
        <v/>
      </c>
      <c r="Z186" s="3" t="str">
        <f t="shared" si="41"/>
        <v/>
      </c>
      <c r="AA186" s="3" t="str">
        <f t="shared" si="34"/>
        <v/>
      </c>
      <c r="AB186" s="3" t="str">
        <f t="shared" si="42"/>
        <v/>
      </c>
    </row>
    <row r="187" spans="20:28" x14ac:dyDescent="0.25">
      <c r="T187" s="3" t="str">
        <f t="shared" si="35"/>
        <v/>
      </c>
      <c r="U187" s="3" t="str">
        <f t="shared" si="36"/>
        <v/>
      </c>
      <c r="V187" s="3" t="str">
        <f t="shared" si="37"/>
        <v/>
      </c>
      <c r="W187" s="3" t="str">
        <f t="shared" si="38"/>
        <v/>
      </c>
      <c r="X187" s="3">
        <f t="shared" si="39"/>
        <v>6</v>
      </c>
      <c r="Y187" s="3" t="str">
        <f t="shared" si="40"/>
        <v/>
      </c>
      <c r="Z187" s="3" t="str">
        <f t="shared" si="41"/>
        <v/>
      </c>
      <c r="AA187" s="3" t="str">
        <f t="shared" si="34"/>
        <v/>
      </c>
      <c r="AB187" s="3" t="str">
        <f t="shared" si="42"/>
        <v/>
      </c>
    </row>
    <row r="188" spans="20:28" x14ac:dyDescent="0.25">
      <c r="T188" s="3" t="str">
        <f t="shared" si="35"/>
        <v/>
      </c>
      <c r="U188" s="3" t="str">
        <f t="shared" si="36"/>
        <v/>
      </c>
      <c r="V188" s="3" t="str">
        <f t="shared" si="37"/>
        <v/>
      </c>
      <c r="W188" s="3" t="str">
        <f t="shared" si="38"/>
        <v/>
      </c>
      <c r="X188" s="3">
        <f t="shared" si="39"/>
        <v>6</v>
      </c>
      <c r="Y188" s="3" t="str">
        <f t="shared" si="40"/>
        <v/>
      </c>
      <c r="Z188" s="3" t="str">
        <f t="shared" si="41"/>
        <v/>
      </c>
      <c r="AA188" s="3" t="str">
        <f t="shared" si="34"/>
        <v/>
      </c>
      <c r="AB188" s="3" t="str">
        <f t="shared" si="42"/>
        <v/>
      </c>
    </row>
    <row r="189" spans="20:28" x14ac:dyDescent="0.25">
      <c r="T189" s="3" t="str">
        <f t="shared" si="35"/>
        <v/>
      </c>
      <c r="U189" s="3" t="str">
        <f t="shared" si="36"/>
        <v/>
      </c>
      <c r="V189" s="3" t="str">
        <f t="shared" si="37"/>
        <v/>
      </c>
      <c r="W189" s="3" t="str">
        <f t="shared" si="38"/>
        <v/>
      </c>
      <c r="X189" s="3">
        <f t="shared" si="39"/>
        <v>6</v>
      </c>
      <c r="Y189" s="3" t="str">
        <f t="shared" si="40"/>
        <v/>
      </c>
      <c r="Z189" s="3" t="str">
        <f t="shared" si="41"/>
        <v/>
      </c>
      <c r="AA189" s="3" t="str">
        <f t="shared" si="34"/>
        <v/>
      </c>
      <c r="AB189" s="3" t="str">
        <f t="shared" si="42"/>
        <v/>
      </c>
    </row>
    <row r="190" spans="20:28" x14ac:dyDescent="0.25">
      <c r="T190" s="3" t="str">
        <f t="shared" si="35"/>
        <v/>
      </c>
      <c r="U190" s="3" t="str">
        <f t="shared" si="36"/>
        <v/>
      </c>
      <c r="V190" s="3" t="str">
        <f t="shared" si="37"/>
        <v/>
      </c>
      <c r="W190" s="3" t="str">
        <f t="shared" si="38"/>
        <v/>
      </c>
      <c r="X190" s="3">
        <f t="shared" si="39"/>
        <v>6</v>
      </c>
      <c r="Y190" s="3" t="str">
        <f t="shared" si="40"/>
        <v/>
      </c>
      <c r="Z190" s="3" t="str">
        <f t="shared" si="41"/>
        <v/>
      </c>
      <c r="AA190" s="3" t="str">
        <f t="shared" si="34"/>
        <v/>
      </c>
      <c r="AB190" s="3" t="str">
        <f t="shared" si="42"/>
        <v/>
      </c>
    </row>
    <row r="191" spans="20:28" x14ac:dyDescent="0.25">
      <c r="T191" s="3" t="str">
        <f t="shared" si="35"/>
        <v/>
      </c>
      <c r="U191" s="3" t="str">
        <f t="shared" si="36"/>
        <v/>
      </c>
      <c r="V191" s="3" t="str">
        <f t="shared" si="37"/>
        <v/>
      </c>
      <c r="W191" s="3" t="str">
        <f t="shared" si="38"/>
        <v/>
      </c>
      <c r="X191" s="3">
        <f t="shared" si="39"/>
        <v>6</v>
      </c>
      <c r="Y191" s="3" t="str">
        <f t="shared" si="40"/>
        <v/>
      </c>
      <c r="Z191" s="3" t="str">
        <f t="shared" si="41"/>
        <v/>
      </c>
      <c r="AA191" s="3" t="str">
        <f t="shared" si="34"/>
        <v/>
      </c>
      <c r="AB191" s="3" t="str">
        <f t="shared" si="42"/>
        <v/>
      </c>
    </row>
    <row r="192" spans="20:28" x14ac:dyDescent="0.25">
      <c r="T192" s="3" t="str">
        <f t="shared" si="35"/>
        <v/>
      </c>
      <c r="U192" s="3" t="str">
        <f t="shared" si="36"/>
        <v/>
      </c>
      <c r="V192" s="3" t="str">
        <f t="shared" si="37"/>
        <v/>
      </c>
      <c r="W192" s="3" t="str">
        <f t="shared" si="38"/>
        <v/>
      </c>
      <c r="X192" s="3">
        <f t="shared" si="39"/>
        <v>6</v>
      </c>
      <c r="Y192" s="3" t="str">
        <f t="shared" si="40"/>
        <v/>
      </c>
      <c r="Z192" s="3" t="str">
        <f t="shared" si="41"/>
        <v/>
      </c>
      <c r="AA192" s="3" t="str">
        <f t="shared" si="34"/>
        <v/>
      </c>
      <c r="AB192" s="3" t="str">
        <f t="shared" si="42"/>
        <v/>
      </c>
    </row>
    <row r="193" spans="20:28" x14ac:dyDescent="0.25">
      <c r="T193" s="3" t="str">
        <f t="shared" si="35"/>
        <v/>
      </c>
      <c r="U193" s="3" t="str">
        <f t="shared" si="36"/>
        <v/>
      </c>
      <c r="V193" s="3" t="str">
        <f t="shared" si="37"/>
        <v/>
      </c>
      <c r="W193" s="3" t="str">
        <f t="shared" si="38"/>
        <v/>
      </c>
      <c r="X193" s="3">
        <f t="shared" si="39"/>
        <v>6</v>
      </c>
      <c r="Y193" s="3" t="str">
        <f t="shared" si="40"/>
        <v/>
      </c>
      <c r="Z193" s="3" t="str">
        <f t="shared" si="41"/>
        <v/>
      </c>
      <c r="AA193" s="3" t="str">
        <f t="shared" si="34"/>
        <v/>
      </c>
      <c r="AB193" s="3" t="str">
        <f t="shared" si="42"/>
        <v/>
      </c>
    </row>
    <row r="194" spans="20:28" x14ac:dyDescent="0.25">
      <c r="T194" s="3" t="str">
        <f t="shared" si="35"/>
        <v/>
      </c>
      <c r="U194" s="3" t="str">
        <f t="shared" si="36"/>
        <v/>
      </c>
      <c r="V194" s="3" t="str">
        <f t="shared" si="37"/>
        <v/>
      </c>
      <c r="W194" s="3" t="str">
        <f t="shared" si="38"/>
        <v/>
      </c>
      <c r="X194" s="3">
        <f t="shared" si="39"/>
        <v>6</v>
      </c>
      <c r="Y194" s="3" t="str">
        <f t="shared" si="40"/>
        <v/>
      </c>
      <c r="Z194" s="3" t="str">
        <f t="shared" si="41"/>
        <v/>
      </c>
      <c r="AA194" s="3" t="str">
        <f t="shared" si="34"/>
        <v/>
      </c>
      <c r="AB194" s="3" t="str">
        <f t="shared" si="42"/>
        <v/>
      </c>
    </row>
    <row r="195" spans="20:28" x14ac:dyDescent="0.25">
      <c r="W195" s="3" t="str">
        <f t="shared" si="38"/>
        <v/>
      </c>
      <c r="X195" s="3">
        <f t="shared" si="39"/>
        <v>6</v>
      </c>
      <c r="Y195" s="3" t="str">
        <f t="shared" si="40"/>
        <v/>
      </c>
      <c r="Z195" s="3" t="str">
        <f t="shared" si="41"/>
        <v/>
      </c>
      <c r="AA195" s="3" t="str">
        <f t="shared" ref="AA195:AA258" si="43">IF(ISNUMBER(SEARCH("@",Y195)),Y196,"")</f>
        <v/>
      </c>
      <c r="AB195" s="3" t="str">
        <f t="shared" si="42"/>
        <v/>
      </c>
    </row>
    <row r="196" spans="20:28" x14ac:dyDescent="0.25">
      <c r="W196" s="3" t="str">
        <f t="shared" ref="W196:W259" si="44">IF(MOD(ROW(),3)=0,IF(H197="Dog",IF(H198&gt;=0.75,H198,""),IF(I198&gt;=0.75,I198,"")),"")</f>
        <v/>
      </c>
      <c r="X196" s="3">
        <f t="shared" ref="X196:X259" si="45">IF(ISNUMBER(CODE(Z196)),X195+1,X195)</f>
        <v>6</v>
      </c>
      <c r="Y196" s="3" t="str">
        <f t="shared" ref="Y196:Y259" si="46">INDEX($O$3:$W$50,1+INT((ROW(A194)-1)/COLUMNS($O$3:$W$50)),MOD(ROW(A194)-1+COLUMNS($O$3:$W$50),COLUMNS($O$3:$W$50))+1)</f>
        <v/>
      </c>
      <c r="Z196" s="3" t="str">
        <f t="shared" ref="Z196:Z259" si="47">IF(ISNUMBER(SEARCH("@",Y196)),Y196,"")</f>
        <v/>
      </c>
      <c r="AA196" s="3" t="str">
        <f t="shared" si="43"/>
        <v/>
      </c>
      <c r="AB196" s="3" t="str">
        <f t="shared" ref="AB196:AB259" si="48">IF(ISNUMBER(SEARCH("@",Y196)),Y198,"")</f>
        <v/>
      </c>
    </row>
    <row r="197" spans="20:28" x14ac:dyDescent="0.25">
      <c r="W197" s="3" t="str">
        <f t="shared" si="44"/>
        <v/>
      </c>
      <c r="X197" s="3">
        <f t="shared" si="45"/>
        <v>6</v>
      </c>
      <c r="Y197" s="3" t="str">
        <f t="shared" si="46"/>
        <v/>
      </c>
      <c r="Z197" s="3" t="str">
        <f t="shared" si="47"/>
        <v/>
      </c>
      <c r="AA197" s="3" t="str">
        <f t="shared" si="43"/>
        <v/>
      </c>
      <c r="AB197" s="3" t="str">
        <f t="shared" si="48"/>
        <v/>
      </c>
    </row>
    <row r="198" spans="20:28" x14ac:dyDescent="0.25">
      <c r="W198" s="3" t="str">
        <f t="shared" si="44"/>
        <v/>
      </c>
      <c r="X198" s="3">
        <f t="shared" si="45"/>
        <v>6</v>
      </c>
      <c r="Y198" s="3" t="str">
        <f t="shared" si="46"/>
        <v/>
      </c>
      <c r="Z198" s="3" t="str">
        <f t="shared" si="47"/>
        <v/>
      </c>
      <c r="AA198" s="3" t="str">
        <f t="shared" si="43"/>
        <v/>
      </c>
      <c r="AB198" s="3" t="str">
        <f t="shared" si="48"/>
        <v/>
      </c>
    </row>
    <row r="199" spans="20:28" x14ac:dyDescent="0.25">
      <c r="W199" s="3" t="str">
        <f t="shared" si="44"/>
        <v/>
      </c>
      <c r="X199" s="3">
        <f t="shared" si="45"/>
        <v>6</v>
      </c>
      <c r="Y199" s="3" t="str">
        <f t="shared" si="46"/>
        <v/>
      </c>
      <c r="Z199" s="3" t="str">
        <f t="shared" si="47"/>
        <v/>
      </c>
      <c r="AA199" s="3" t="str">
        <f t="shared" si="43"/>
        <v/>
      </c>
      <c r="AB199" s="3" t="str">
        <f t="shared" si="48"/>
        <v/>
      </c>
    </row>
    <row r="200" spans="20:28" x14ac:dyDescent="0.25">
      <c r="W200" s="3" t="str">
        <f t="shared" si="44"/>
        <v/>
      </c>
      <c r="X200" s="3">
        <f t="shared" si="45"/>
        <v>6</v>
      </c>
      <c r="Y200" s="3" t="str">
        <f t="shared" si="46"/>
        <v/>
      </c>
      <c r="Z200" s="3" t="str">
        <f t="shared" si="47"/>
        <v/>
      </c>
      <c r="AA200" s="3" t="str">
        <f t="shared" si="43"/>
        <v/>
      </c>
      <c r="AB200" s="3" t="str">
        <f t="shared" si="48"/>
        <v/>
      </c>
    </row>
    <row r="201" spans="20:28" x14ac:dyDescent="0.25">
      <c r="W201" s="3" t="str">
        <f t="shared" si="44"/>
        <v/>
      </c>
      <c r="X201" s="3">
        <f t="shared" si="45"/>
        <v>6</v>
      </c>
      <c r="Y201" s="3" t="str">
        <f t="shared" si="46"/>
        <v/>
      </c>
      <c r="Z201" s="3" t="str">
        <f t="shared" si="47"/>
        <v/>
      </c>
      <c r="AA201" s="3" t="str">
        <f t="shared" si="43"/>
        <v/>
      </c>
      <c r="AB201" s="3" t="str">
        <f t="shared" si="48"/>
        <v/>
      </c>
    </row>
    <row r="202" spans="20:28" x14ac:dyDescent="0.25">
      <c r="W202" s="3" t="str">
        <f t="shared" si="44"/>
        <v/>
      </c>
      <c r="X202" s="3">
        <f t="shared" si="45"/>
        <v>6</v>
      </c>
      <c r="Y202" s="3" t="str">
        <f t="shared" si="46"/>
        <v/>
      </c>
      <c r="Z202" s="3" t="str">
        <f t="shared" si="47"/>
        <v/>
      </c>
      <c r="AA202" s="3" t="str">
        <f t="shared" si="43"/>
        <v/>
      </c>
      <c r="AB202" s="3" t="str">
        <f t="shared" si="48"/>
        <v/>
      </c>
    </row>
    <row r="203" spans="20:28" x14ac:dyDescent="0.25">
      <c r="W203" s="3" t="str">
        <f t="shared" si="44"/>
        <v/>
      </c>
      <c r="X203" s="3">
        <f t="shared" si="45"/>
        <v>6</v>
      </c>
      <c r="Y203" s="3" t="str">
        <f t="shared" si="46"/>
        <v/>
      </c>
      <c r="Z203" s="3" t="str">
        <f t="shared" si="47"/>
        <v/>
      </c>
      <c r="AA203" s="3" t="str">
        <f t="shared" si="43"/>
        <v/>
      </c>
      <c r="AB203" s="3" t="str">
        <f t="shared" si="48"/>
        <v/>
      </c>
    </row>
    <row r="204" spans="20:28" x14ac:dyDescent="0.25">
      <c r="W204" s="3" t="str">
        <f t="shared" si="44"/>
        <v/>
      </c>
      <c r="X204" s="3">
        <f t="shared" si="45"/>
        <v>6</v>
      </c>
      <c r="Y204" s="3" t="str">
        <f t="shared" si="46"/>
        <v/>
      </c>
      <c r="Z204" s="3" t="str">
        <f t="shared" si="47"/>
        <v/>
      </c>
      <c r="AA204" s="3" t="str">
        <f t="shared" si="43"/>
        <v/>
      </c>
      <c r="AB204" s="3" t="str">
        <f t="shared" si="48"/>
        <v/>
      </c>
    </row>
    <row r="205" spans="20:28" x14ac:dyDescent="0.25">
      <c r="W205" s="3" t="str">
        <f t="shared" si="44"/>
        <v/>
      </c>
      <c r="X205" s="3">
        <f t="shared" si="45"/>
        <v>6</v>
      </c>
      <c r="Y205" s="3" t="str">
        <f t="shared" si="46"/>
        <v/>
      </c>
      <c r="Z205" s="3" t="str">
        <f t="shared" si="47"/>
        <v/>
      </c>
      <c r="AA205" s="3" t="str">
        <f t="shared" si="43"/>
        <v/>
      </c>
      <c r="AB205" s="3" t="str">
        <f t="shared" si="48"/>
        <v/>
      </c>
    </row>
    <row r="206" spans="20:28" x14ac:dyDescent="0.25">
      <c r="W206" s="3" t="str">
        <f t="shared" si="44"/>
        <v/>
      </c>
      <c r="X206" s="3">
        <f t="shared" si="45"/>
        <v>6</v>
      </c>
      <c r="Y206" s="3" t="str">
        <f t="shared" si="46"/>
        <v/>
      </c>
      <c r="Z206" s="3" t="str">
        <f t="shared" si="47"/>
        <v/>
      </c>
      <c r="AA206" s="3" t="str">
        <f t="shared" si="43"/>
        <v/>
      </c>
      <c r="AB206" s="3" t="str">
        <f t="shared" si="48"/>
        <v/>
      </c>
    </row>
    <row r="207" spans="20:28" x14ac:dyDescent="0.25">
      <c r="W207" s="3" t="str">
        <f t="shared" si="44"/>
        <v/>
      </c>
      <c r="X207" s="3">
        <f t="shared" si="45"/>
        <v>6</v>
      </c>
      <c r="Y207" s="3" t="str">
        <f t="shared" si="46"/>
        <v/>
      </c>
      <c r="Z207" s="3" t="str">
        <f t="shared" si="47"/>
        <v/>
      </c>
      <c r="AA207" s="3" t="str">
        <f t="shared" si="43"/>
        <v/>
      </c>
      <c r="AB207" s="3" t="str">
        <f t="shared" si="48"/>
        <v/>
      </c>
    </row>
    <row r="208" spans="20:28" x14ac:dyDescent="0.25">
      <c r="W208" s="3" t="str">
        <f t="shared" si="44"/>
        <v/>
      </c>
      <c r="X208" s="3">
        <f t="shared" si="45"/>
        <v>6</v>
      </c>
      <c r="Y208" s="3" t="str">
        <f t="shared" si="46"/>
        <v/>
      </c>
      <c r="Z208" s="3" t="str">
        <f t="shared" si="47"/>
        <v/>
      </c>
      <c r="AA208" s="3" t="str">
        <f t="shared" si="43"/>
        <v/>
      </c>
      <c r="AB208" s="3" t="str">
        <f t="shared" si="48"/>
        <v/>
      </c>
    </row>
    <row r="209" spans="23:28" x14ac:dyDescent="0.25">
      <c r="W209" s="3" t="str">
        <f t="shared" si="44"/>
        <v/>
      </c>
      <c r="X209" s="3">
        <f t="shared" si="45"/>
        <v>6</v>
      </c>
      <c r="Y209" s="3" t="str">
        <f t="shared" si="46"/>
        <v/>
      </c>
      <c r="Z209" s="3" t="str">
        <f t="shared" si="47"/>
        <v/>
      </c>
      <c r="AA209" s="3" t="str">
        <f t="shared" si="43"/>
        <v/>
      </c>
      <c r="AB209" s="3" t="str">
        <f t="shared" si="48"/>
        <v/>
      </c>
    </row>
    <row r="210" spans="23:28" x14ac:dyDescent="0.25">
      <c r="W210" s="3" t="str">
        <f t="shared" si="44"/>
        <v/>
      </c>
      <c r="X210" s="3">
        <f t="shared" si="45"/>
        <v>6</v>
      </c>
      <c r="Y210" s="3" t="str">
        <f t="shared" si="46"/>
        <v/>
      </c>
      <c r="Z210" s="3" t="str">
        <f t="shared" si="47"/>
        <v/>
      </c>
      <c r="AA210" s="3" t="str">
        <f t="shared" si="43"/>
        <v/>
      </c>
      <c r="AB210" s="3" t="str">
        <f t="shared" si="48"/>
        <v/>
      </c>
    </row>
    <row r="211" spans="23:28" x14ac:dyDescent="0.25">
      <c r="W211" s="3" t="str">
        <f t="shared" si="44"/>
        <v/>
      </c>
      <c r="X211" s="3">
        <f t="shared" si="45"/>
        <v>6</v>
      </c>
      <c r="Y211" s="3" t="str">
        <f t="shared" si="46"/>
        <v/>
      </c>
      <c r="Z211" s="3" t="str">
        <f t="shared" si="47"/>
        <v/>
      </c>
      <c r="AA211" s="3" t="str">
        <f t="shared" si="43"/>
        <v/>
      </c>
      <c r="AB211" s="3" t="str">
        <f t="shared" si="48"/>
        <v/>
      </c>
    </row>
    <row r="212" spans="23:28" x14ac:dyDescent="0.25">
      <c r="W212" s="3" t="str">
        <f t="shared" si="44"/>
        <v/>
      </c>
      <c r="X212" s="3">
        <f t="shared" si="45"/>
        <v>6</v>
      </c>
      <c r="Y212" s="3" t="str">
        <f t="shared" si="46"/>
        <v/>
      </c>
      <c r="Z212" s="3" t="str">
        <f t="shared" si="47"/>
        <v/>
      </c>
      <c r="AA212" s="3" t="str">
        <f t="shared" si="43"/>
        <v/>
      </c>
      <c r="AB212" s="3" t="str">
        <f t="shared" si="48"/>
        <v/>
      </c>
    </row>
    <row r="213" spans="23:28" x14ac:dyDescent="0.25">
      <c r="W213" s="3" t="str">
        <f t="shared" si="44"/>
        <v/>
      </c>
      <c r="X213" s="3">
        <f t="shared" si="45"/>
        <v>6</v>
      </c>
      <c r="Y213" s="3" t="str">
        <f t="shared" si="46"/>
        <v/>
      </c>
      <c r="Z213" s="3" t="str">
        <f t="shared" si="47"/>
        <v/>
      </c>
      <c r="AA213" s="3" t="str">
        <f t="shared" si="43"/>
        <v/>
      </c>
      <c r="AB213" s="3" t="str">
        <f t="shared" si="48"/>
        <v/>
      </c>
    </row>
    <row r="214" spans="23:28" x14ac:dyDescent="0.25">
      <c r="W214" s="3" t="str">
        <f t="shared" si="44"/>
        <v/>
      </c>
      <c r="X214" s="3">
        <f t="shared" si="45"/>
        <v>6</v>
      </c>
      <c r="Y214" s="3" t="str">
        <f t="shared" si="46"/>
        <v/>
      </c>
      <c r="Z214" s="3" t="str">
        <f t="shared" si="47"/>
        <v/>
      </c>
      <c r="AA214" s="3" t="str">
        <f t="shared" si="43"/>
        <v/>
      </c>
      <c r="AB214" s="3" t="str">
        <f t="shared" si="48"/>
        <v/>
      </c>
    </row>
    <row r="215" spans="23:28" x14ac:dyDescent="0.25">
      <c r="W215" s="3" t="str">
        <f t="shared" si="44"/>
        <v/>
      </c>
      <c r="X215" s="3">
        <f t="shared" si="45"/>
        <v>6</v>
      </c>
      <c r="Y215" s="3" t="str">
        <f t="shared" si="46"/>
        <v/>
      </c>
      <c r="Z215" s="3" t="str">
        <f t="shared" si="47"/>
        <v/>
      </c>
      <c r="AA215" s="3" t="str">
        <f t="shared" si="43"/>
        <v/>
      </c>
      <c r="AB215" s="3" t="str">
        <f t="shared" si="48"/>
        <v/>
      </c>
    </row>
    <row r="216" spans="23:28" x14ac:dyDescent="0.25">
      <c r="W216" s="3" t="str">
        <f t="shared" si="44"/>
        <v/>
      </c>
      <c r="X216" s="3">
        <f t="shared" si="45"/>
        <v>6</v>
      </c>
      <c r="Y216" s="3" t="str">
        <f t="shared" si="46"/>
        <v/>
      </c>
      <c r="Z216" s="3" t="str">
        <f t="shared" si="47"/>
        <v/>
      </c>
      <c r="AA216" s="3" t="str">
        <f t="shared" si="43"/>
        <v/>
      </c>
      <c r="AB216" s="3" t="str">
        <f t="shared" si="48"/>
        <v/>
      </c>
    </row>
    <row r="217" spans="23:28" x14ac:dyDescent="0.25">
      <c r="W217" s="3" t="str">
        <f t="shared" si="44"/>
        <v/>
      </c>
      <c r="X217" s="3">
        <f t="shared" si="45"/>
        <v>6</v>
      </c>
      <c r="Y217" s="3" t="str">
        <f t="shared" si="46"/>
        <v/>
      </c>
      <c r="Z217" s="3" t="str">
        <f t="shared" si="47"/>
        <v/>
      </c>
      <c r="AA217" s="3" t="str">
        <f t="shared" si="43"/>
        <v/>
      </c>
      <c r="AB217" s="3" t="str">
        <f t="shared" si="48"/>
        <v/>
      </c>
    </row>
    <row r="218" spans="23:28" x14ac:dyDescent="0.25">
      <c r="W218" s="3" t="str">
        <f t="shared" si="44"/>
        <v/>
      </c>
      <c r="X218" s="3">
        <f t="shared" si="45"/>
        <v>6</v>
      </c>
      <c r="Y218" s="3" t="str">
        <f t="shared" si="46"/>
        <v/>
      </c>
      <c r="Z218" s="3" t="str">
        <f t="shared" si="47"/>
        <v/>
      </c>
      <c r="AA218" s="3" t="str">
        <f t="shared" si="43"/>
        <v/>
      </c>
      <c r="AB218" s="3" t="str">
        <f t="shared" si="48"/>
        <v/>
      </c>
    </row>
    <row r="219" spans="23:28" x14ac:dyDescent="0.25">
      <c r="W219" s="3" t="str">
        <f t="shared" si="44"/>
        <v/>
      </c>
      <c r="X219" s="3">
        <f t="shared" si="45"/>
        <v>6</v>
      </c>
      <c r="Y219" s="3" t="str">
        <f t="shared" si="46"/>
        <v/>
      </c>
      <c r="Z219" s="3" t="str">
        <f t="shared" si="47"/>
        <v/>
      </c>
      <c r="AA219" s="3" t="str">
        <f t="shared" si="43"/>
        <v/>
      </c>
      <c r="AB219" s="3" t="str">
        <f t="shared" si="48"/>
        <v/>
      </c>
    </row>
    <row r="220" spans="23:28" x14ac:dyDescent="0.25">
      <c r="W220" s="3" t="str">
        <f t="shared" si="44"/>
        <v/>
      </c>
      <c r="X220" s="3">
        <f t="shared" si="45"/>
        <v>6</v>
      </c>
      <c r="Y220" s="3" t="str">
        <f t="shared" si="46"/>
        <v/>
      </c>
      <c r="Z220" s="3" t="str">
        <f t="shared" si="47"/>
        <v/>
      </c>
      <c r="AA220" s="3" t="str">
        <f t="shared" si="43"/>
        <v/>
      </c>
      <c r="AB220" s="3" t="str">
        <f t="shared" si="48"/>
        <v/>
      </c>
    </row>
    <row r="221" spans="23:28" x14ac:dyDescent="0.25">
      <c r="W221" s="3" t="str">
        <f t="shared" si="44"/>
        <v/>
      </c>
      <c r="X221" s="3">
        <f t="shared" si="45"/>
        <v>6</v>
      </c>
      <c r="Y221" s="3" t="str">
        <f t="shared" si="46"/>
        <v/>
      </c>
      <c r="Z221" s="3" t="str">
        <f t="shared" si="47"/>
        <v/>
      </c>
      <c r="AA221" s="3" t="str">
        <f t="shared" si="43"/>
        <v/>
      </c>
      <c r="AB221" s="3" t="str">
        <f t="shared" si="48"/>
        <v/>
      </c>
    </row>
    <row r="222" spans="23:28" x14ac:dyDescent="0.25">
      <c r="W222" s="3" t="str">
        <f t="shared" si="44"/>
        <v/>
      </c>
      <c r="X222" s="3">
        <f t="shared" si="45"/>
        <v>6</v>
      </c>
      <c r="Y222" s="3" t="str">
        <f t="shared" si="46"/>
        <v/>
      </c>
      <c r="Z222" s="3" t="str">
        <f t="shared" si="47"/>
        <v/>
      </c>
      <c r="AA222" s="3" t="str">
        <f t="shared" si="43"/>
        <v/>
      </c>
      <c r="AB222" s="3" t="str">
        <f t="shared" si="48"/>
        <v/>
      </c>
    </row>
    <row r="223" spans="23:28" x14ac:dyDescent="0.25">
      <c r="W223" s="3" t="str">
        <f t="shared" si="44"/>
        <v/>
      </c>
      <c r="X223" s="3">
        <f t="shared" si="45"/>
        <v>6</v>
      </c>
      <c r="Y223" s="3" t="str">
        <f t="shared" si="46"/>
        <v/>
      </c>
      <c r="Z223" s="3" t="str">
        <f t="shared" si="47"/>
        <v/>
      </c>
      <c r="AA223" s="3" t="str">
        <f t="shared" si="43"/>
        <v/>
      </c>
      <c r="AB223" s="3" t="str">
        <f t="shared" si="48"/>
        <v/>
      </c>
    </row>
    <row r="224" spans="23:28" x14ac:dyDescent="0.25">
      <c r="W224" s="3" t="str">
        <f t="shared" si="44"/>
        <v/>
      </c>
      <c r="X224" s="3">
        <f t="shared" si="45"/>
        <v>6</v>
      </c>
      <c r="Y224" s="3" t="str">
        <f t="shared" si="46"/>
        <v/>
      </c>
      <c r="Z224" s="3" t="str">
        <f t="shared" si="47"/>
        <v/>
      </c>
      <c r="AA224" s="3" t="str">
        <f t="shared" si="43"/>
        <v/>
      </c>
      <c r="AB224" s="3" t="str">
        <f t="shared" si="48"/>
        <v/>
      </c>
    </row>
    <row r="225" spans="23:28" x14ac:dyDescent="0.25">
      <c r="W225" s="3" t="str">
        <f t="shared" si="44"/>
        <v/>
      </c>
      <c r="X225" s="3">
        <f t="shared" si="45"/>
        <v>6</v>
      </c>
      <c r="Y225" s="3" t="str">
        <f t="shared" si="46"/>
        <v/>
      </c>
      <c r="Z225" s="3" t="str">
        <f t="shared" si="47"/>
        <v/>
      </c>
      <c r="AA225" s="3" t="str">
        <f t="shared" si="43"/>
        <v/>
      </c>
      <c r="AB225" s="3" t="str">
        <f t="shared" si="48"/>
        <v/>
      </c>
    </row>
    <row r="226" spans="23:28" x14ac:dyDescent="0.25">
      <c r="W226" s="3" t="str">
        <f t="shared" si="44"/>
        <v/>
      </c>
      <c r="X226" s="3">
        <f t="shared" si="45"/>
        <v>6</v>
      </c>
      <c r="Y226" s="3" t="str">
        <f t="shared" si="46"/>
        <v/>
      </c>
      <c r="Z226" s="3" t="str">
        <f t="shared" si="47"/>
        <v/>
      </c>
      <c r="AA226" s="3" t="str">
        <f t="shared" si="43"/>
        <v/>
      </c>
      <c r="AB226" s="3" t="str">
        <f t="shared" si="48"/>
        <v/>
      </c>
    </row>
    <row r="227" spans="23:28" x14ac:dyDescent="0.25">
      <c r="W227" s="3" t="str">
        <f t="shared" si="44"/>
        <v/>
      </c>
      <c r="X227" s="3">
        <f t="shared" si="45"/>
        <v>6</v>
      </c>
      <c r="Y227" s="3" t="str">
        <f t="shared" si="46"/>
        <v/>
      </c>
      <c r="Z227" s="3" t="str">
        <f t="shared" si="47"/>
        <v/>
      </c>
      <c r="AA227" s="3" t="str">
        <f t="shared" si="43"/>
        <v/>
      </c>
      <c r="AB227" s="3" t="str">
        <f t="shared" si="48"/>
        <v/>
      </c>
    </row>
    <row r="228" spans="23:28" x14ac:dyDescent="0.25">
      <c r="W228" s="3" t="str">
        <f t="shared" si="44"/>
        <v/>
      </c>
      <c r="X228" s="3">
        <f t="shared" si="45"/>
        <v>6</v>
      </c>
      <c r="Y228" s="3" t="str">
        <f t="shared" si="46"/>
        <v/>
      </c>
      <c r="Z228" s="3" t="str">
        <f t="shared" si="47"/>
        <v/>
      </c>
      <c r="AA228" s="3" t="str">
        <f t="shared" si="43"/>
        <v/>
      </c>
      <c r="AB228" s="3" t="str">
        <f t="shared" si="48"/>
        <v/>
      </c>
    </row>
    <row r="229" spans="23:28" x14ac:dyDescent="0.25">
      <c r="W229" s="3" t="str">
        <f t="shared" si="44"/>
        <v/>
      </c>
      <c r="X229" s="3">
        <f t="shared" si="45"/>
        <v>6</v>
      </c>
      <c r="Y229" s="3" t="str">
        <f t="shared" si="46"/>
        <v/>
      </c>
      <c r="Z229" s="3" t="str">
        <f t="shared" si="47"/>
        <v/>
      </c>
      <c r="AA229" s="3" t="str">
        <f t="shared" si="43"/>
        <v/>
      </c>
      <c r="AB229" s="3" t="str">
        <f t="shared" si="48"/>
        <v/>
      </c>
    </row>
    <row r="230" spans="23:28" x14ac:dyDescent="0.25">
      <c r="W230" s="3" t="str">
        <f t="shared" si="44"/>
        <v/>
      </c>
      <c r="X230" s="3">
        <f t="shared" si="45"/>
        <v>6</v>
      </c>
      <c r="Y230" s="3" t="str">
        <f t="shared" si="46"/>
        <v/>
      </c>
      <c r="Z230" s="3" t="str">
        <f t="shared" si="47"/>
        <v/>
      </c>
      <c r="AA230" s="3" t="str">
        <f t="shared" si="43"/>
        <v/>
      </c>
      <c r="AB230" s="3" t="str">
        <f t="shared" si="48"/>
        <v/>
      </c>
    </row>
    <row r="231" spans="23:28" x14ac:dyDescent="0.25">
      <c r="W231" s="3" t="str">
        <f t="shared" si="44"/>
        <v/>
      </c>
      <c r="X231" s="3">
        <f t="shared" si="45"/>
        <v>6</v>
      </c>
      <c r="Y231" s="3" t="str">
        <f t="shared" si="46"/>
        <v/>
      </c>
      <c r="Z231" s="3" t="str">
        <f t="shared" si="47"/>
        <v/>
      </c>
      <c r="AA231" s="3" t="str">
        <f t="shared" si="43"/>
        <v/>
      </c>
      <c r="AB231" s="3" t="str">
        <f t="shared" si="48"/>
        <v/>
      </c>
    </row>
    <row r="232" spans="23:28" x14ac:dyDescent="0.25">
      <c r="W232" s="3" t="str">
        <f t="shared" si="44"/>
        <v/>
      </c>
      <c r="X232" s="3">
        <f t="shared" si="45"/>
        <v>6</v>
      </c>
      <c r="Y232" s="3" t="str">
        <f t="shared" si="46"/>
        <v/>
      </c>
      <c r="Z232" s="3" t="str">
        <f t="shared" si="47"/>
        <v/>
      </c>
      <c r="AA232" s="3" t="str">
        <f t="shared" si="43"/>
        <v/>
      </c>
      <c r="AB232" s="3" t="str">
        <f t="shared" si="48"/>
        <v/>
      </c>
    </row>
    <row r="233" spans="23:28" x14ac:dyDescent="0.25">
      <c r="W233" s="3" t="str">
        <f t="shared" si="44"/>
        <v/>
      </c>
      <c r="X233" s="3">
        <f t="shared" si="45"/>
        <v>6</v>
      </c>
      <c r="Y233" s="3" t="str">
        <f t="shared" si="46"/>
        <v/>
      </c>
      <c r="Z233" s="3" t="str">
        <f t="shared" si="47"/>
        <v/>
      </c>
      <c r="AA233" s="3" t="str">
        <f t="shared" si="43"/>
        <v/>
      </c>
      <c r="AB233" s="3" t="str">
        <f t="shared" si="48"/>
        <v/>
      </c>
    </row>
    <row r="234" spans="23:28" x14ac:dyDescent="0.25">
      <c r="W234" s="3" t="str">
        <f t="shared" si="44"/>
        <v/>
      </c>
      <c r="X234" s="3">
        <f t="shared" si="45"/>
        <v>6</v>
      </c>
      <c r="Y234" s="3" t="str">
        <f t="shared" si="46"/>
        <v/>
      </c>
      <c r="Z234" s="3" t="str">
        <f t="shared" si="47"/>
        <v/>
      </c>
      <c r="AA234" s="3" t="str">
        <f t="shared" si="43"/>
        <v/>
      </c>
      <c r="AB234" s="3" t="str">
        <f t="shared" si="48"/>
        <v/>
      </c>
    </row>
    <row r="235" spans="23:28" x14ac:dyDescent="0.25">
      <c r="W235" s="3" t="str">
        <f t="shared" si="44"/>
        <v/>
      </c>
      <c r="X235" s="3">
        <f t="shared" si="45"/>
        <v>6</v>
      </c>
      <c r="Y235" s="3" t="str">
        <f t="shared" si="46"/>
        <v/>
      </c>
      <c r="Z235" s="3" t="str">
        <f t="shared" si="47"/>
        <v/>
      </c>
      <c r="AA235" s="3" t="str">
        <f t="shared" si="43"/>
        <v/>
      </c>
      <c r="AB235" s="3" t="str">
        <f t="shared" si="48"/>
        <v/>
      </c>
    </row>
    <row r="236" spans="23:28" x14ac:dyDescent="0.25">
      <c r="W236" s="3" t="str">
        <f t="shared" si="44"/>
        <v/>
      </c>
      <c r="X236" s="3">
        <f t="shared" si="45"/>
        <v>6</v>
      </c>
      <c r="Y236" s="3" t="str">
        <f t="shared" si="46"/>
        <v/>
      </c>
      <c r="Z236" s="3" t="str">
        <f t="shared" si="47"/>
        <v/>
      </c>
      <c r="AA236" s="3" t="str">
        <f t="shared" si="43"/>
        <v/>
      </c>
      <c r="AB236" s="3" t="str">
        <f t="shared" si="48"/>
        <v/>
      </c>
    </row>
    <row r="237" spans="23:28" x14ac:dyDescent="0.25">
      <c r="W237" s="3" t="str">
        <f t="shared" si="44"/>
        <v/>
      </c>
      <c r="X237" s="3">
        <f t="shared" si="45"/>
        <v>6</v>
      </c>
      <c r="Y237" s="3" t="str">
        <f t="shared" si="46"/>
        <v/>
      </c>
      <c r="Z237" s="3" t="str">
        <f t="shared" si="47"/>
        <v/>
      </c>
      <c r="AA237" s="3" t="str">
        <f t="shared" si="43"/>
        <v/>
      </c>
      <c r="AB237" s="3" t="str">
        <f t="shared" si="48"/>
        <v/>
      </c>
    </row>
    <row r="238" spans="23:28" x14ac:dyDescent="0.25">
      <c r="W238" s="3" t="str">
        <f t="shared" si="44"/>
        <v/>
      </c>
      <c r="X238" s="3">
        <f t="shared" si="45"/>
        <v>6</v>
      </c>
      <c r="Y238" s="3" t="str">
        <f t="shared" si="46"/>
        <v/>
      </c>
      <c r="Z238" s="3" t="str">
        <f t="shared" si="47"/>
        <v/>
      </c>
      <c r="AA238" s="3" t="str">
        <f t="shared" si="43"/>
        <v/>
      </c>
      <c r="AB238" s="3" t="str">
        <f t="shared" si="48"/>
        <v/>
      </c>
    </row>
    <row r="239" spans="23:28" x14ac:dyDescent="0.25">
      <c r="W239" s="3" t="str">
        <f t="shared" si="44"/>
        <v/>
      </c>
      <c r="X239" s="3">
        <f t="shared" si="45"/>
        <v>6</v>
      </c>
      <c r="Y239" s="3" t="str">
        <f t="shared" si="46"/>
        <v/>
      </c>
      <c r="Z239" s="3" t="str">
        <f t="shared" si="47"/>
        <v/>
      </c>
      <c r="AA239" s="3" t="str">
        <f t="shared" si="43"/>
        <v/>
      </c>
      <c r="AB239" s="3" t="str">
        <f t="shared" si="48"/>
        <v/>
      </c>
    </row>
    <row r="240" spans="23:28" x14ac:dyDescent="0.25">
      <c r="W240" s="3" t="str">
        <f t="shared" si="44"/>
        <v/>
      </c>
      <c r="X240" s="3">
        <f t="shared" si="45"/>
        <v>6</v>
      </c>
      <c r="Y240" s="3" t="str">
        <f t="shared" si="46"/>
        <v/>
      </c>
      <c r="Z240" s="3" t="str">
        <f t="shared" si="47"/>
        <v/>
      </c>
      <c r="AA240" s="3" t="str">
        <f t="shared" si="43"/>
        <v/>
      </c>
      <c r="AB240" s="3" t="str">
        <f t="shared" si="48"/>
        <v/>
      </c>
    </row>
    <row r="241" spans="23:28" x14ac:dyDescent="0.25">
      <c r="W241" s="3" t="str">
        <f t="shared" si="44"/>
        <v/>
      </c>
      <c r="X241" s="3">
        <f t="shared" si="45"/>
        <v>6</v>
      </c>
      <c r="Y241" s="3" t="str">
        <f t="shared" si="46"/>
        <v/>
      </c>
      <c r="Z241" s="3" t="str">
        <f t="shared" si="47"/>
        <v/>
      </c>
      <c r="AA241" s="3" t="str">
        <f t="shared" si="43"/>
        <v/>
      </c>
      <c r="AB241" s="3" t="str">
        <f t="shared" si="48"/>
        <v/>
      </c>
    </row>
    <row r="242" spans="23:28" x14ac:dyDescent="0.25">
      <c r="W242" s="3" t="str">
        <f t="shared" si="44"/>
        <v/>
      </c>
      <c r="X242" s="3">
        <f t="shared" si="45"/>
        <v>6</v>
      </c>
      <c r="Y242" s="3" t="str">
        <f t="shared" si="46"/>
        <v/>
      </c>
      <c r="Z242" s="3" t="str">
        <f t="shared" si="47"/>
        <v/>
      </c>
      <c r="AA242" s="3" t="str">
        <f t="shared" si="43"/>
        <v/>
      </c>
      <c r="AB242" s="3" t="str">
        <f t="shared" si="48"/>
        <v/>
      </c>
    </row>
    <row r="243" spans="23:28" x14ac:dyDescent="0.25">
      <c r="W243" s="3" t="str">
        <f t="shared" si="44"/>
        <v/>
      </c>
      <c r="X243" s="3">
        <f t="shared" si="45"/>
        <v>6</v>
      </c>
      <c r="Y243" s="3" t="str">
        <f t="shared" si="46"/>
        <v/>
      </c>
      <c r="Z243" s="3" t="str">
        <f t="shared" si="47"/>
        <v/>
      </c>
      <c r="AA243" s="3" t="str">
        <f t="shared" si="43"/>
        <v/>
      </c>
      <c r="AB243" s="3" t="str">
        <f t="shared" si="48"/>
        <v/>
      </c>
    </row>
    <row r="244" spans="23:28" x14ac:dyDescent="0.25">
      <c r="W244" s="3" t="str">
        <f t="shared" si="44"/>
        <v/>
      </c>
      <c r="X244" s="3">
        <f t="shared" si="45"/>
        <v>6</v>
      </c>
      <c r="Y244" s="3" t="str">
        <f t="shared" si="46"/>
        <v/>
      </c>
      <c r="Z244" s="3" t="str">
        <f t="shared" si="47"/>
        <v/>
      </c>
      <c r="AA244" s="3" t="str">
        <f t="shared" si="43"/>
        <v/>
      </c>
      <c r="AB244" s="3" t="str">
        <f t="shared" si="48"/>
        <v/>
      </c>
    </row>
    <row r="245" spans="23:28" x14ac:dyDescent="0.25">
      <c r="W245" s="3" t="str">
        <f t="shared" si="44"/>
        <v/>
      </c>
      <c r="X245" s="3">
        <f t="shared" si="45"/>
        <v>6</v>
      </c>
      <c r="Y245" s="3" t="str">
        <f t="shared" si="46"/>
        <v/>
      </c>
      <c r="Z245" s="3" t="str">
        <f t="shared" si="47"/>
        <v/>
      </c>
      <c r="AA245" s="3" t="str">
        <f t="shared" si="43"/>
        <v/>
      </c>
      <c r="AB245" s="3" t="str">
        <f t="shared" si="48"/>
        <v/>
      </c>
    </row>
    <row r="246" spans="23:28" x14ac:dyDescent="0.25">
      <c r="W246" s="3" t="str">
        <f t="shared" si="44"/>
        <v/>
      </c>
      <c r="X246" s="3">
        <f t="shared" si="45"/>
        <v>6</v>
      </c>
      <c r="Y246" s="3" t="str">
        <f t="shared" si="46"/>
        <v/>
      </c>
      <c r="Z246" s="3" t="str">
        <f t="shared" si="47"/>
        <v/>
      </c>
      <c r="AA246" s="3" t="str">
        <f t="shared" si="43"/>
        <v/>
      </c>
      <c r="AB246" s="3" t="str">
        <f t="shared" si="48"/>
        <v/>
      </c>
    </row>
    <row r="247" spans="23:28" x14ac:dyDescent="0.25">
      <c r="W247" s="3" t="str">
        <f t="shared" si="44"/>
        <v/>
      </c>
      <c r="X247" s="3">
        <f t="shared" si="45"/>
        <v>6</v>
      </c>
      <c r="Y247" s="3" t="str">
        <f t="shared" si="46"/>
        <v/>
      </c>
      <c r="Z247" s="3" t="str">
        <f t="shared" si="47"/>
        <v/>
      </c>
      <c r="AA247" s="3" t="str">
        <f t="shared" si="43"/>
        <v/>
      </c>
      <c r="AB247" s="3" t="str">
        <f t="shared" si="48"/>
        <v/>
      </c>
    </row>
    <row r="248" spans="23:28" x14ac:dyDescent="0.25">
      <c r="W248" s="3" t="str">
        <f t="shared" si="44"/>
        <v/>
      </c>
      <c r="X248" s="3">
        <f t="shared" si="45"/>
        <v>6</v>
      </c>
      <c r="Y248" s="3" t="str">
        <f t="shared" si="46"/>
        <v/>
      </c>
      <c r="Z248" s="3" t="str">
        <f t="shared" si="47"/>
        <v/>
      </c>
      <c r="AA248" s="3" t="str">
        <f t="shared" si="43"/>
        <v/>
      </c>
      <c r="AB248" s="3" t="str">
        <f t="shared" si="48"/>
        <v/>
      </c>
    </row>
    <row r="249" spans="23:28" x14ac:dyDescent="0.25">
      <c r="W249" s="3" t="str">
        <f t="shared" si="44"/>
        <v/>
      </c>
      <c r="X249" s="3">
        <f t="shared" si="45"/>
        <v>6</v>
      </c>
      <c r="Y249" s="3" t="str">
        <f t="shared" si="46"/>
        <v/>
      </c>
      <c r="Z249" s="3" t="str">
        <f t="shared" si="47"/>
        <v/>
      </c>
      <c r="AA249" s="3" t="str">
        <f t="shared" si="43"/>
        <v/>
      </c>
      <c r="AB249" s="3" t="str">
        <f t="shared" si="48"/>
        <v/>
      </c>
    </row>
    <row r="250" spans="23:28" x14ac:dyDescent="0.25">
      <c r="W250" s="3" t="str">
        <f t="shared" si="44"/>
        <v/>
      </c>
      <c r="X250" s="3">
        <f t="shared" si="45"/>
        <v>6</v>
      </c>
      <c r="Y250" s="3" t="str">
        <f t="shared" si="46"/>
        <v/>
      </c>
      <c r="Z250" s="3" t="str">
        <f t="shared" si="47"/>
        <v/>
      </c>
      <c r="AA250" s="3" t="str">
        <f t="shared" si="43"/>
        <v/>
      </c>
      <c r="AB250" s="3" t="str">
        <f t="shared" si="48"/>
        <v/>
      </c>
    </row>
    <row r="251" spans="23:28" x14ac:dyDescent="0.25">
      <c r="W251" s="3" t="str">
        <f t="shared" si="44"/>
        <v/>
      </c>
      <c r="X251" s="3">
        <f t="shared" si="45"/>
        <v>6</v>
      </c>
      <c r="Y251" s="3" t="str">
        <f t="shared" si="46"/>
        <v/>
      </c>
      <c r="Z251" s="3" t="str">
        <f t="shared" si="47"/>
        <v/>
      </c>
      <c r="AA251" s="3" t="str">
        <f t="shared" si="43"/>
        <v/>
      </c>
      <c r="AB251" s="3" t="str">
        <f t="shared" si="48"/>
        <v/>
      </c>
    </row>
    <row r="252" spans="23:28" x14ac:dyDescent="0.25">
      <c r="W252" s="3" t="str">
        <f t="shared" si="44"/>
        <v/>
      </c>
      <c r="X252" s="3">
        <f t="shared" si="45"/>
        <v>6</v>
      </c>
      <c r="Y252" s="3" t="str">
        <f t="shared" si="46"/>
        <v/>
      </c>
      <c r="Z252" s="3" t="str">
        <f t="shared" si="47"/>
        <v/>
      </c>
      <c r="AA252" s="3" t="str">
        <f t="shared" si="43"/>
        <v/>
      </c>
      <c r="AB252" s="3" t="str">
        <f t="shared" si="48"/>
        <v/>
      </c>
    </row>
    <row r="253" spans="23:28" x14ac:dyDescent="0.25">
      <c r="W253" s="3" t="str">
        <f t="shared" si="44"/>
        <v/>
      </c>
      <c r="X253" s="3">
        <f t="shared" si="45"/>
        <v>6</v>
      </c>
      <c r="Y253" s="3" t="str">
        <f t="shared" si="46"/>
        <v/>
      </c>
      <c r="Z253" s="3" t="str">
        <f t="shared" si="47"/>
        <v/>
      </c>
      <c r="AA253" s="3" t="str">
        <f t="shared" si="43"/>
        <v/>
      </c>
      <c r="AB253" s="3" t="str">
        <f t="shared" si="48"/>
        <v/>
      </c>
    </row>
    <row r="254" spans="23:28" x14ac:dyDescent="0.25">
      <c r="W254" s="3" t="str">
        <f t="shared" si="44"/>
        <v/>
      </c>
      <c r="X254" s="3">
        <f t="shared" si="45"/>
        <v>6</v>
      </c>
      <c r="Y254" s="3" t="str">
        <f t="shared" si="46"/>
        <v/>
      </c>
      <c r="Z254" s="3" t="str">
        <f t="shared" si="47"/>
        <v/>
      </c>
      <c r="AA254" s="3" t="str">
        <f t="shared" si="43"/>
        <v/>
      </c>
      <c r="AB254" s="3" t="str">
        <f t="shared" si="48"/>
        <v/>
      </c>
    </row>
    <row r="255" spans="23:28" x14ac:dyDescent="0.25">
      <c r="W255" s="3" t="str">
        <f t="shared" si="44"/>
        <v/>
      </c>
      <c r="X255" s="3">
        <f t="shared" si="45"/>
        <v>6</v>
      </c>
      <c r="Y255" s="3" t="str">
        <f t="shared" si="46"/>
        <v/>
      </c>
      <c r="Z255" s="3" t="str">
        <f t="shared" si="47"/>
        <v/>
      </c>
      <c r="AA255" s="3" t="str">
        <f t="shared" si="43"/>
        <v/>
      </c>
      <c r="AB255" s="3" t="str">
        <f t="shared" si="48"/>
        <v/>
      </c>
    </row>
    <row r="256" spans="23:28" x14ac:dyDescent="0.25">
      <c r="W256" s="3" t="str">
        <f t="shared" si="44"/>
        <v/>
      </c>
      <c r="X256" s="3">
        <f t="shared" si="45"/>
        <v>6</v>
      </c>
      <c r="Y256" s="3" t="str">
        <f t="shared" si="46"/>
        <v/>
      </c>
      <c r="Z256" s="3" t="str">
        <f t="shared" si="47"/>
        <v/>
      </c>
      <c r="AA256" s="3" t="str">
        <f t="shared" si="43"/>
        <v/>
      </c>
      <c r="AB256" s="3" t="str">
        <f t="shared" si="48"/>
        <v/>
      </c>
    </row>
    <row r="257" spans="23:28" x14ac:dyDescent="0.25">
      <c r="W257" s="3" t="str">
        <f t="shared" si="44"/>
        <v/>
      </c>
      <c r="X257" s="3">
        <f t="shared" si="45"/>
        <v>6</v>
      </c>
      <c r="Y257" s="3" t="str">
        <f t="shared" si="46"/>
        <v/>
      </c>
      <c r="Z257" s="3" t="str">
        <f t="shared" si="47"/>
        <v/>
      </c>
      <c r="AA257" s="3" t="str">
        <f t="shared" si="43"/>
        <v/>
      </c>
      <c r="AB257" s="3" t="str">
        <f t="shared" si="48"/>
        <v/>
      </c>
    </row>
    <row r="258" spans="23:28" x14ac:dyDescent="0.25">
      <c r="W258" s="3" t="str">
        <f t="shared" si="44"/>
        <v/>
      </c>
      <c r="X258" s="3">
        <f t="shared" si="45"/>
        <v>6</v>
      </c>
      <c r="Y258" s="3" t="str">
        <f t="shared" si="46"/>
        <v/>
      </c>
      <c r="Z258" s="3" t="str">
        <f t="shared" si="47"/>
        <v/>
      </c>
      <c r="AA258" s="3" t="str">
        <f t="shared" si="43"/>
        <v/>
      </c>
      <c r="AB258" s="3" t="str">
        <f t="shared" si="48"/>
        <v/>
      </c>
    </row>
    <row r="259" spans="23:28" x14ac:dyDescent="0.25">
      <c r="W259" s="3" t="str">
        <f t="shared" si="44"/>
        <v/>
      </c>
      <c r="X259" s="3">
        <f t="shared" si="45"/>
        <v>6</v>
      </c>
      <c r="Y259" s="3" t="str">
        <f t="shared" si="46"/>
        <v/>
      </c>
      <c r="Z259" s="3" t="str">
        <f t="shared" si="47"/>
        <v/>
      </c>
      <c r="AA259" s="3" t="str">
        <f t="shared" ref="AA259:AA290" si="49">IF(ISNUMBER(SEARCH("@",Y259)),Y260,"")</f>
        <v/>
      </c>
      <c r="AB259" s="3" t="str">
        <f t="shared" si="48"/>
        <v/>
      </c>
    </row>
    <row r="260" spans="23:28" x14ac:dyDescent="0.25">
      <c r="W260" s="3" t="str">
        <f t="shared" ref="W260:W290" si="50">IF(MOD(ROW(),3)=0,IF(H261="Dog",IF(H262&gt;=0.75,H262,""),IF(I262&gt;=0.75,I262,"")),"")</f>
        <v/>
      </c>
      <c r="X260" s="3">
        <f t="shared" ref="X260:X323" si="51">IF(ISNUMBER(CODE(Z260)),X259+1,X259)</f>
        <v>6</v>
      </c>
      <c r="Y260" s="3" t="str">
        <f t="shared" ref="Y260:Y290" si="52">INDEX($O$3:$W$50,1+INT((ROW(A258)-1)/COLUMNS($O$3:$W$50)),MOD(ROW(A258)-1+COLUMNS($O$3:$W$50),COLUMNS($O$3:$W$50))+1)</f>
        <v/>
      </c>
      <c r="Z260" s="3" t="str">
        <f t="shared" ref="Z260:Z290" si="53">IF(ISNUMBER(SEARCH("@",Y260)),Y260,"")</f>
        <v/>
      </c>
      <c r="AA260" s="3" t="str">
        <f t="shared" si="49"/>
        <v/>
      </c>
      <c r="AB260" s="3" t="str">
        <f t="shared" ref="AB260:AB290" si="54">IF(ISNUMBER(SEARCH("@",Y260)),Y262,"")</f>
        <v/>
      </c>
    </row>
    <row r="261" spans="23:28" x14ac:dyDescent="0.25">
      <c r="W261" s="3" t="str">
        <f t="shared" si="50"/>
        <v/>
      </c>
      <c r="X261" s="3">
        <f t="shared" si="51"/>
        <v>6</v>
      </c>
      <c r="Y261" s="3" t="str">
        <f t="shared" si="52"/>
        <v/>
      </c>
      <c r="Z261" s="3" t="str">
        <f t="shared" si="53"/>
        <v/>
      </c>
      <c r="AA261" s="3" t="str">
        <f t="shared" si="49"/>
        <v/>
      </c>
      <c r="AB261" s="3" t="str">
        <f t="shared" si="54"/>
        <v/>
      </c>
    </row>
    <row r="262" spans="23:28" x14ac:dyDescent="0.25">
      <c r="W262" s="3" t="str">
        <f t="shared" si="50"/>
        <v/>
      </c>
      <c r="X262" s="3">
        <f t="shared" si="51"/>
        <v>6</v>
      </c>
      <c r="Y262" s="3" t="str">
        <f t="shared" si="52"/>
        <v/>
      </c>
      <c r="Z262" s="3" t="str">
        <f t="shared" si="53"/>
        <v/>
      </c>
      <c r="AA262" s="3" t="str">
        <f t="shared" si="49"/>
        <v/>
      </c>
      <c r="AB262" s="3" t="str">
        <f t="shared" si="54"/>
        <v/>
      </c>
    </row>
    <row r="263" spans="23:28" x14ac:dyDescent="0.25">
      <c r="W263" s="3" t="str">
        <f t="shared" si="50"/>
        <v/>
      </c>
      <c r="X263" s="3">
        <f t="shared" si="51"/>
        <v>6</v>
      </c>
      <c r="Y263" s="3" t="str">
        <f t="shared" si="52"/>
        <v/>
      </c>
      <c r="Z263" s="3" t="str">
        <f t="shared" si="53"/>
        <v/>
      </c>
      <c r="AA263" s="3" t="str">
        <f t="shared" si="49"/>
        <v/>
      </c>
      <c r="AB263" s="3" t="str">
        <f t="shared" si="54"/>
        <v/>
      </c>
    </row>
    <row r="264" spans="23:28" x14ac:dyDescent="0.25">
      <c r="W264" s="3" t="str">
        <f t="shared" si="50"/>
        <v/>
      </c>
      <c r="X264" s="3">
        <f t="shared" si="51"/>
        <v>6</v>
      </c>
      <c r="Y264" s="3" t="str">
        <f t="shared" si="52"/>
        <v/>
      </c>
      <c r="Z264" s="3" t="str">
        <f t="shared" si="53"/>
        <v/>
      </c>
      <c r="AA264" s="3" t="str">
        <f t="shared" si="49"/>
        <v/>
      </c>
      <c r="AB264" s="3" t="str">
        <f t="shared" si="54"/>
        <v/>
      </c>
    </row>
    <row r="265" spans="23:28" x14ac:dyDescent="0.25">
      <c r="W265" s="3" t="str">
        <f t="shared" si="50"/>
        <v/>
      </c>
      <c r="X265" s="3">
        <f t="shared" si="51"/>
        <v>6</v>
      </c>
      <c r="Y265" s="3" t="str">
        <f t="shared" si="52"/>
        <v/>
      </c>
      <c r="Z265" s="3" t="str">
        <f t="shared" si="53"/>
        <v/>
      </c>
      <c r="AA265" s="3" t="str">
        <f t="shared" si="49"/>
        <v/>
      </c>
      <c r="AB265" s="3" t="str">
        <f t="shared" si="54"/>
        <v/>
      </c>
    </row>
    <row r="266" spans="23:28" x14ac:dyDescent="0.25">
      <c r="W266" s="3" t="str">
        <f t="shared" si="50"/>
        <v/>
      </c>
      <c r="X266" s="3">
        <f t="shared" si="51"/>
        <v>6</v>
      </c>
      <c r="Y266" s="3" t="str">
        <f t="shared" si="52"/>
        <v/>
      </c>
      <c r="Z266" s="3" t="str">
        <f t="shared" si="53"/>
        <v/>
      </c>
      <c r="AA266" s="3" t="str">
        <f t="shared" si="49"/>
        <v/>
      </c>
      <c r="AB266" s="3" t="str">
        <f t="shared" si="54"/>
        <v/>
      </c>
    </row>
    <row r="267" spans="23:28" x14ac:dyDescent="0.25">
      <c r="W267" s="3" t="str">
        <f t="shared" si="50"/>
        <v/>
      </c>
      <c r="X267" s="3">
        <f t="shared" si="51"/>
        <v>6</v>
      </c>
      <c r="Y267" s="3" t="str">
        <f t="shared" si="52"/>
        <v/>
      </c>
      <c r="Z267" s="3" t="str">
        <f t="shared" si="53"/>
        <v/>
      </c>
      <c r="AA267" s="3" t="str">
        <f t="shared" si="49"/>
        <v/>
      </c>
      <c r="AB267" s="3" t="str">
        <f t="shared" si="54"/>
        <v/>
      </c>
    </row>
    <row r="268" spans="23:28" x14ac:dyDescent="0.25">
      <c r="W268" s="3" t="str">
        <f t="shared" si="50"/>
        <v/>
      </c>
      <c r="X268" s="3">
        <f t="shared" si="51"/>
        <v>6</v>
      </c>
      <c r="Y268" s="3" t="str">
        <f t="shared" si="52"/>
        <v/>
      </c>
      <c r="Z268" s="3" t="str">
        <f t="shared" si="53"/>
        <v/>
      </c>
      <c r="AA268" s="3" t="str">
        <f t="shared" si="49"/>
        <v/>
      </c>
      <c r="AB268" s="3" t="str">
        <f t="shared" si="54"/>
        <v/>
      </c>
    </row>
    <row r="269" spans="23:28" x14ac:dyDescent="0.25">
      <c r="W269" s="3" t="str">
        <f t="shared" si="50"/>
        <v/>
      </c>
      <c r="X269" s="3">
        <f t="shared" si="51"/>
        <v>6</v>
      </c>
      <c r="Y269" s="3" t="str">
        <f t="shared" si="52"/>
        <v/>
      </c>
      <c r="Z269" s="3" t="str">
        <f t="shared" si="53"/>
        <v/>
      </c>
      <c r="AA269" s="3" t="str">
        <f t="shared" si="49"/>
        <v/>
      </c>
      <c r="AB269" s="3" t="str">
        <f t="shared" si="54"/>
        <v/>
      </c>
    </row>
    <row r="270" spans="23:28" x14ac:dyDescent="0.25">
      <c r="W270" s="3" t="str">
        <f t="shared" si="50"/>
        <v/>
      </c>
      <c r="X270" s="3">
        <f t="shared" si="51"/>
        <v>6</v>
      </c>
      <c r="Y270" s="3" t="str">
        <f t="shared" si="52"/>
        <v/>
      </c>
      <c r="Z270" s="3" t="str">
        <f t="shared" si="53"/>
        <v/>
      </c>
      <c r="AA270" s="3" t="str">
        <f t="shared" si="49"/>
        <v/>
      </c>
      <c r="AB270" s="3" t="str">
        <f t="shared" si="54"/>
        <v/>
      </c>
    </row>
    <row r="271" spans="23:28" x14ac:dyDescent="0.25">
      <c r="W271" s="3" t="str">
        <f t="shared" si="50"/>
        <v/>
      </c>
      <c r="X271" s="3">
        <f t="shared" si="51"/>
        <v>6</v>
      </c>
      <c r="Y271" s="3" t="str">
        <f t="shared" si="52"/>
        <v/>
      </c>
      <c r="Z271" s="3" t="str">
        <f t="shared" si="53"/>
        <v/>
      </c>
      <c r="AA271" s="3" t="str">
        <f t="shared" si="49"/>
        <v/>
      </c>
      <c r="AB271" s="3" t="str">
        <f t="shared" si="54"/>
        <v/>
      </c>
    </row>
    <row r="272" spans="23:28" x14ac:dyDescent="0.25">
      <c r="W272" s="3" t="str">
        <f t="shared" si="50"/>
        <v/>
      </c>
      <c r="X272" s="3">
        <f t="shared" si="51"/>
        <v>6</v>
      </c>
      <c r="Y272" s="3" t="str">
        <f t="shared" si="52"/>
        <v/>
      </c>
      <c r="Z272" s="3" t="str">
        <f t="shared" si="53"/>
        <v/>
      </c>
      <c r="AA272" s="3" t="str">
        <f t="shared" si="49"/>
        <v/>
      </c>
      <c r="AB272" s="3" t="str">
        <f t="shared" si="54"/>
        <v/>
      </c>
    </row>
    <row r="273" spans="23:28" x14ac:dyDescent="0.25">
      <c r="W273" s="3" t="str">
        <f t="shared" si="50"/>
        <v/>
      </c>
      <c r="X273" s="3">
        <f t="shared" si="51"/>
        <v>6</v>
      </c>
      <c r="Y273" s="3" t="str">
        <f t="shared" si="52"/>
        <v/>
      </c>
      <c r="Z273" s="3" t="str">
        <f t="shared" si="53"/>
        <v/>
      </c>
      <c r="AA273" s="3" t="str">
        <f t="shared" si="49"/>
        <v/>
      </c>
      <c r="AB273" s="3" t="str">
        <f t="shared" si="54"/>
        <v/>
      </c>
    </row>
    <row r="274" spans="23:28" x14ac:dyDescent="0.25">
      <c r="W274" s="3" t="str">
        <f t="shared" si="50"/>
        <v/>
      </c>
      <c r="X274" s="3">
        <f t="shared" si="51"/>
        <v>6</v>
      </c>
      <c r="Y274" s="3" t="str">
        <f t="shared" si="52"/>
        <v/>
      </c>
      <c r="Z274" s="3" t="str">
        <f t="shared" si="53"/>
        <v/>
      </c>
      <c r="AA274" s="3" t="str">
        <f t="shared" si="49"/>
        <v/>
      </c>
      <c r="AB274" s="3" t="str">
        <f t="shared" si="54"/>
        <v/>
      </c>
    </row>
    <row r="275" spans="23:28" x14ac:dyDescent="0.25">
      <c r="W275" s="3" t="str">
        <f t="shared" si="50"/>
        <v/>
      </c>
      <c r="X275" s="3">
        <f t="shared" si="51"/>
        <v>6</v>
      </c>
      <c r="Y275" s="3" t="str">
        <f t="shared" si="52"/>
        <v/>
      </c>
      <c r="Z275" s="3" t="str">
        <f t="shared" si="53"/>
        <v/>
      </c>
      <c r="AA275" s="3" t="str">
        <f t="shared" si="49"/>
        <v/>
      </c>
      <c r="AB275" s="3" t="str">
        <f t="shared" si="54"/>
        <v/>
      </c>
    </row>
    <row r="276" spans="23:28" x14ac:dyDescent="0.25">
      <c r="W276" s="3" t="str">
        <f t="shared" si="50"/>
        <v/>
      </c>
      <c r="X276" s="3">
        <f t="shared" si="51"/>
        <v>6</v>
      </c>
      <c r="Y276" s="3" t="str">
        <f t="shared" si="52"/>
        <v/>
      </c>
      <c r="Z276" s="3" t="str">
        <f t="shared" si="53"/>
        <v/>
      </c>
      <c r="AA276" s="3" t="str">
        <f t="shared" si="49"/>
        <v/>
      </c>
      <c r="AB276" s="3" t="str">
        <f t="shared" si="54"/>
        <v/>
      </c>
    </row>
    <row r="277" spans="23:28" x14ac:dyDescent="0.25">
      <c r="W277" s="3" t="str">
        <f t="shared" si="50"/>
        <v/>
      </c>
      <c r="X277" s="3">
        <f t="shared" si="51"/>
        <v>6</v>
      </c>
      <c r="Y277" s="3" t="str">
        <f t="shared" si="52"/>
        <v/>
      </c>
      <c r="Z277" s="3" t="str">
        <f t="shared" si="53"/>
        <v/>
      </c>
      <c r="AA277" s="3" t="str">
        <f t="shared" si="49"/>
        <v/>
      </c>
      <c r="AB277" s="3" t="str">
        <f t="shared" si="54"/>
        <v/>
      </c>
    </row>
    <row r="278" spans="23:28" x14ac:dyDescent="0.25">
      <c r="W278" s="3" t="str">
        <f t="shared" si="50"/>
        <v/>
      </c>
      <c r="X278" s="3">
        <f t="shared" si="51"/>
        <v>6</v>
      </c>
      <c r="Y278" s="3" t="str">
        <f t="shared" si="52"/>
        <v/>
      </c>
      <c r="Z278" s="3" t="str">
        <f t="shared" si="53"/>
        <v/>
      </c>
      <c r="AA278" s="3" t="str">
        <f t="shared" si="49"/>
        <v/>
      </c>
      <c r="AB278" s="3" t="str">
        <f t="shared" si="54"/>
        <v/>
      </c>
    </row>
    <row r="279" spans="23:28" x14ac:dyDescent="0.25">
      <c r="W279" s="3" t="str">
        <f t="shared" si="50"/>
        <v/>
      </c>
      <c r="X279" s="3">
        <f t="shared" si="51"/>
        <v>6</v>
      </c>
      <c r="Y279" s="3" t="str">
        <f t="shared" si="52"/>
        <v/>
      </c>
      <c r="Z279" s="3" t="str">
        <f t="shared" si="53"/>
        <v/>
      </c>
      <c r="AA279" s="3" t="str">
        <f t="shared" si="49"/>
        <v/>
      </c>
      <c r="AB279" s="3" t="str">
        <f t="shared" si="54"/>
        <v/>
      </c>
    </row>
    <row r="280" spans="23:28" x14ac:dyDescent="0.25">
      <c r="W280" s="3" t="str">
        <f t="shared" si="50"/>
        <v/>
      </c>
      <c r="X280" s="3">
        <f t="shared" si="51"/>
        <v>6</v>
      </c>
      <c r="Y280" s="3" t="str">
        <f t="shared" si="52"/>
        <v/>
      </c>
      <c r="Z280" s="3" t="str">
        <f t="shared" si="53"/>
        <v/>
      </c>
      <c r="AA280" s="3" t="str">
        <f t="shared" si="49"/>
        <v/>
      </c>
      <c r="AB280" s="3" t="str">
        <f t="shared" si="54"/>
        <v/>
      </c>
    </row>
    <row r="281" spans="23:28" x14ac:dyDescent="0.25">
      <c r="W281" s="3" t="str">
        <f t="shared" si="50"/>
        <v/>
      </c>
      <c r="X281" s="3">
        <f t="shared" si="51"/>
        <v>6</v>
      </c>
      <c r="Y281" s="3" t="str">
        <f t="shared" si="52"/>
        <v/>
      </c>
      <c r="Z281" s="3" t="str">
        <f t="shared" si="53"/>
        <v/>
      </c>
      <c r="AA281" s="3" t="str">
        <f t="shared" si="49"/>
        <v/>
      </c>
      <c r="AB281" s="3" t="str">
        <f t="shared" si="54"/>
        <v/>
      </c>
    </row>
    <row r="282" spans="23:28" x14ac:dyDescent="0.25">
      <c r="W282" s="3" t="str">
        <f t="shared" si="50"/>
        <v/>
      </c>
      <c r="X282" s="3">
        <f t="shared" si="51"/>
        <v>6</v>
      </c>
      <c r="Y282" s="3" t="str">
        <f t="shared" si="52"/>
        <v/>
      </c>
      <c r="Z282" s="3" t="str">
        <f t="shared" si="53"/>
        <v/>
      </c>
      <c r="AA282" s="3" t="str">
        <f t="shared" si="49"/>
        <v/>
      </c>
      <c r="AB282" s="3" t="str">
        <f t="shared" si="54"/>
        <v/>
      </c>
    </row>
    <row r="283" spans="23:28" x14ac:dyDescent="0.25">
      <c r="W283" s="3" t="str">
        <f t="shared" si="50"/>
        <v/>
      </c>
      <c r="X283" s="3">
        <f t="shared" si="51"/>
        <v>6</v>
      </c>
      <c r="Y283" s="3" t="str">
        <f t="shared" si="52"/>
        <v/>
      </c>
      <c r="Z283" s="3" t="str">
        <f t="shared" si="53"/>
        <v/>
      </c>
      <c r="AA283" s="3" t="str">
        <f t="shared" si="49"/>
        <v/>
      </c>
      <c r="AB283" s="3" t="str">
        <f t="shared" si="54"/>
        <v/>
      </c>
    </row>
    <row r="284" spans="23:28" x14ac:dyDescent="0.25">
      <c r="W284" s="3" t="str">
        <f t="shared" si="50"/>
        <v/>
      </c>
      <c r="X284" s="3">
        <f t="shared" si="51"/>
        <v>6</v>
      </c>
      <c r="Y284" s="3" t="str">
        <f t="shared" si="52"/>
        <v/>
      </c>
      <c r="Z284" s="3" t="str">
        <f t="shared" si="53"/>
        <v/>
      </c>
      <c r="AA284" s="3" t="str">
        <f t="shared" si="49"/>
        <v/>
      </c>
      <c r="AB284" s="3" t="str">
        <f t="shared" si="54"/>
        <v/>
      </c>
    </row>
    <row r="285" spans="23:28" x14ac:dyDescent="0.25">
      <c r="W285" s="3" t="str">
        <f t="shared" si="50"/>
        <v/>
      </c>
      <c r="X285" s="3">
        <f t="shared" si="51"/>
        <v>6</v>
      </c>
      <c r="Y285" s="3" t="str">
        <f t="shared" si="52"/>
        <v/>
      </c>
      <c r="Z285" s="3" t="str">
        <f t="shared" si="53"/>
        <v/>
      </c>
      <c r="AA285" s="3" t="str">
        <f t="shared" si="49"/>
        <v/>
      </c>
      <c r="AB285" s="3" t="str">
        <f t="shared" si="54"/>
        <v/>
      </c>
    </row>
    <row r="286" spans="23:28" x14ac:dyDescent="0.25">
      <c r="W286" s="3" t="str">
        <f t="shared" si="50"/>
        <v/>
      </c>
      <c r="X286" s="3">
        <f t="shared" si="51"/>
        <v>6</v>
      </c>
      <c r="Y286" s="3" t="str">
        <f t="shared" si="52"/>
        <v/>
      </c>
      <c r="Z286" s="3" t="str">
        <f t="shared" si="53"/>
        <v/>
      </c>
      <c r="AA286" s="3" t="str">
        <f t="shared" si="49"/>
        <v/>
      </c>
      <c r="AB286" s="3" t="str">
        <f t="shared" si="54"/>
        <v/>
      </c>
    </row>
    <row r="287" spans="23:28" x14ac:dyDescent="0.25">
      <c r="W287" s="3" t="str">
        <f t="shared" si="50"/>
        <v/>
      </c>
      <c r="X287" s="3">
        <f t="shared" si="51"/>
        <v>6</v>
      </c>
      <c r="Y287" s="3" t="str">
        <f t="shared" si="52"/>
        <v/>
      </c>
      <c r="Z287" s="3" t="str">
        <f t="shared" si="53"/>
        <v/>
      </c>
      <c r="AA287" s="3" t="str">
        <f t="shared" si="49"/>
        <v/>
      </c>
      <c r="AB287" s="3" t="str">
        <f t="shared" si="54"/>
        <v/>
      </c>
    </row>
    <row r="288" spans="23:28" x14ac:dyDescent="0.25">
      <c r="W288" s="3" t="str">
        <f t="shared" si="50"/>
        <v/>
      </c>
      <c r="X288" s="3">
        <f t="shared" si="51"/>
        <v>6</v>
      </c>
      <c r="Y288" s="3" t="str">
        <f t="shared" si="52"/>
        <v/>
      </c>
      <c r="Z288" s="3" t="str">
        <f t="shared" si="53"/>
        <v/>
      </c>
      <c r="AA288" s="3" t="str">
        <f t="shared" si="49"/>
        <v/>
      </c>
      <c r="AB288" s="3" t="str">
        <f t="shared" si="54"/>
        <v/>
      </c>
    </row>
    <row r="289" spans="23:28" x14ac:dyDescent="0.25">
      <c r="W289" s="3" t="str">
        <f t="shared" si="50"/>
        <v/>
      </c>
      <c r="X289" s="3">
        <f t="shared" si="51"/>
        <v>6</v>
      </c>
      <c r="Y289" s="3" t="str">
        <f t="shared" si="52"/>
        <v/>
      </c>
      <c r="Z289" s="3" t="str">
        <f t="shared" si="53"/>
        <v/>
      </c>
      <c r="AA289" s="3" t="str">
        <f t="shared" si="49"/>
        <v/>
      </c>
      <c r="AB289" s="3" t="str">
        <f t="shared" si="54"/>
        <v/>
      </c>
    </row>
    <row r="290" spans="23:28" x14ac:dyDescent="0.25">
      <c r="W290" s="3" t="str">
        <f t="shared" si="50"/>
        <v/>
      </c>
      <c r="X290" s="3">
        <f t="shared" si="51"/>
        <v>6</v>
      </c>
      <c r="Y290" s="3" t="str">
        <f t="shared" si="52"/>
        <v/>
      </c>
      <c r="Z290" s="3" t="str">
        <f t="shared" si="53"/>
        <v/>
      </c>
      <c r="AA290" s="3" t="str">
        <f t="shared" si="49"/>
        <v/>
      </c>
      <c r="AB290" s="3" t="str">
        <f t="shared" si="54"/>
        <v/>
      </c>
    </row>
    <row r="291" spans="23:28" x14ac:dyDescent="0.25">
      <c r="X291" s="3">
        <f t="shared" si="51"/>
        <v>6</v>
      </c>
      <c r="Y291" s="3" t="str">
        <f>INDEX($O$3:$W$50,1+INT((ROW(A289)-1)/COLUMNS($O$3:$W$50)),MOD(ROW(A289)-1+COLUMNS($O$3:$W$50),COLUMNS($O$3:$W$50))+1)</f>
        <v/>
      </c>
    </row>
    <row r="292" spans="23:28" x14ac:dyDescent="0.25">
      <c r="X292" s="3">
        <f t="shared" si="51"/>
        <v>6</v>
      </c>
      <c r="Y292" s="3" t="str">
        <f t="shared" ref="Y292:Y355" si="55">INDEX($O$3:$W$50,1+INT((ROW(A290)-1)/COLUMNS($O$3:$W$50)),MOD(ROW(A290)-1+COLUMNS($O$3:$W$50),COLUMNS($O$3:$W$50))+1)</f>
        <v/>
      </c>
    </row>
    <row r="293" spans="23:28" x14ac:dyDescent="0.25">
      <c r="X293" s="3">
        <f t="shared" si="51"/>
        <v>6</v>
      </c>
      <c r="Y293" s="3" t="str">
        <f t="shared" si="55"/>
        <v/>
      </c>
    </row>
    <row r="294" spans="23:28" x14ac:dyDescent="0.25">
      <c r="X294" s="3">
        <f t="shared" si="51"/>
        <v>6</v>
      </c>
      <c r="Y294" s="3" t="str">
        <f t="shared" si="55"/>
        <v/>
      </c>
    </row>
    <row r="295" spans="23:28" x14ac:dyDescent="0.25">
      <c r="X295" s="3">
        <f t="shared" si="51"/>
        <v>6</v>
      </c>
      <c r="Y295" s="3" t="str">
        <f t="shared" si="55"/>
        <v/>
      </c>
    </row>
    <row r="296" spans="23:28" x14ac:dyDescent="0.25">
      <c r="X296" s="3">
        <f t="shared" si="51"/>
        <v>6</v>
      </c>
      <c r="Y296" s="3" t="str">
        <f t="shared" si="55"/>
        <v/>
      </c>
    </row>
    <row r="297" spans="23:28" x14ac:dyDescent="0.25">
      <c r="X297" s="3">
        <f t="shared" si="51"/>
        <v>6</v>
      </c>
      <c r="Y297" s="3" t="str">
        <f t="shared" si="55"/>
        <v/>
      </c>
    </row>
    <row r="298" spans="23:28" x14ac:dyDescent="0.25">
      <c r="X298" s="3">
        <f t="shared" si="51"/>
        <v>6</v>
      </c>
      <c r="Y298" s="3" t="str">
        <f t="shared" si="55"/>
        <v/>
      </c>
    </row>
    <row r="299" spans="23:28" x14ac:dyDescent="0.25">
      <c r="X299" s="3">
        <f t="shared" si="51"/>
        <v>6</v>
      </c>
      <c r="Y299" s="3" t="str">
        <f t="shared" si="55"/>
        <v/>
      </c>
    </row>
    <row r="300" spans="23:28" x14ac:dyDescent="0.25">
      <c r="X300" s="3">
        <f t="shared" si="51"/>
        <v>6</v>
      </c>
      <c r="Y300" s="3" t="str">
        <f t="shared" si="55"/>
        <v/>
      </c>
    </row>
    <row r="301" spans="23:28" x14ac:dyDescent="0.25">
      <c r="X301" s="3">
        <f t="shared" si="51"/>
        <v>6</v>
      </c>
      <c r="Y301" s="3" t="str">
        <f t="shared" si="55"/>
        <v/>
      </c>
    </row>
    <row r="302" spans="23:28" x14ac:dyDescent="0.25">
      <c r="X302" s="3">
        <f t="shared" si="51"/>
        <v>6</v>
      </c>
      <c r="Y302" s="3" t="str">
        <f t="shared" si="55"/>
        <v/>
      </c>
    </row>
    <row r="303" spans="23:28" x14ac:dyDescent="0.25">
      <c r="X303" s="3">
        <f t="shared" si="51"/>
        <v>6</v>
      </c>
      <c r="Y303" s="3" t="str">
        <f t="shared" si="55"/>
        <v/>
      </c>
    </row>
    <row r="304" spans="23:28" x14ac:dyDescent="0.25">
      <c r="X304" s="3">
        <f t="shared" si="51"/>
        <v>6</v>
      </c>
      <c r="Y304" s="3" t="str">
        <f t="shared" si="55"/>
        <v/>
      </c>
    </row>
    <row r="305" spans="24:25" x14ac:dyDescent="0.25">
      <c r="X305" s="3">
        <f t="shared" si="51"/>
        <v>6</v>
      </c>
      <c r="Y305" s="3" t="str">
        <f t="shared" si="55"/>
        <v/>
      </c>
    </row>
    <row r="306" spans="24:25" x14ac:dyDescent="0.25">
      <c r="X306" s="3">
        <f t="shared" si="51"/>
        <v>6</v>
      </c>
      <c r="Y306" s="3" t="str">
        <f t="shared" si="55"/>
        <v/>
      </c>
    </row>
    <row r="307" spans="24:25" x14ac:dyDescent="0.25">
      <c r="X307" s="3">
        <f t="shared" si="51"/>
        <v>6</v>
      </c>
      <c r="Y307" s="3" t="str">
        <f t="shared" si="55"/>
        <v/>
      </c>
    </row>
    <row r="308" spans="24:25" x14ac:dyDescent="0.25">
      <c r="X308" s="3">
        <f t="shared" si="51"/>
        <v>6</v>
      </c>
      <c r="Y308" s="3" t="str">
        <f t="shared" si="55"/>
        <v/>
      </c>
    </row>
    <row r="309" spans="24:25" x14ac:dyDescent="0.25">
      <c r="X309" s="3">
        <f t="shared" si="51"/>
        <v>6</v>
      </c>
      <c r="Y309" s="3" t="str">
        <f t="shared" si="55"/>
        <v/>
      </c>
    </row>
    <row r="310" spans="24:25" x14ac:dyDescent="0.25">
      <c r="X310" s="3">
        <f t="shared" si="51"/>
        <v>6</v>
      </c>
      <c r="Y310" s="3" t="str">
        <f t="shared" si="55"/>
        <v/>
      </c>
    </row>
    <row r="311" spans="24:25" x14ac:dyDescent="0.25">
      <c r="X311" s="3">
        <f t="shared" si="51"/>
        <v>6</v>
      </c>
      <c r="Y311" s="3" t="str">
        <f t="shared" si="55"/>
        <v/>
      </c>
    </row>
    <row r="312" spans="24:25" x14ac:dyDescent="0.25">
      <c r="X312" s="3">
        <f t="shared" si="51"/>
        <v>6</v>
      </c>
      <c r="Y312" s="3" t="str">
        <f t="shared" si="55"/>
        <v/>
      </c>
    </row>
    <row r="313" spans="24:25" x14ac:dyDescent="0.25">
      <c r="X313" s="3">
        <f t="shared" si="51"/>
        <v>6</v>
      </c>
      <c r="Y313" s="3" t="str">
        <f t="shared" si="55"/>
        <v/>
      </c>
    </row>
    <row r="314" spans="24:25" x14ac:dyDescent="0.25">
      <c r="X314" s="3">
        <f t="shared" si="51"/>
        <v>6</v>
      </c>
      <c r="Y314" s="3" t="str">
        <f t="shared" si="55"/>
        <v/>
      </c>
    </row>
    <row r="315" spans="24:25" x14ac:dyDescent="0.25">
      <c r="X315" s="3">
        <f t="shared" si="51"/>
        <v>6</v>
      </c>
      <c r="Y315" s="3" t="str">
        <f t="shared" si="55"/>
        <v/>
      </c>
    </row>
    <row r="316" spans="24:25" x14ac:dyDescent="0.25">
      <c r="X316" s="3">
        <f t="shared" si="51"/>
        <v>6</v>
      </c>
      <c r="Y316" s="3" t="str">
        <f t="shared" si="55"/>
        <v/>
      </c>
    </row>
    <row r="317" spans="24:25" x14ac:dyDescent="0.25">
      <c r="X317" s="3">
        <f t="shared" si="51"/>
        <v>6</v>
      </c>
      <c r="Y317" s="3" t="str">
        <f t="shared" si="55"/>
        <v/>
      </c>
    </row>
    <row r="318" spans="24:25" x14ac:dyDescent="0.25">
      <c r="X318" s="3">
        <f t="shared" si="51"/>
        <v>6</v>
      </c>
      <c r="Y318" s="3" t="str">
        <f t="shared" si="55"/>
        <v/>
      </c>
    </row>
    <row r="319" spans="24:25" x14ac:dyDescent="0.25">
      <c r="X319" s="3">
        <f t="shared" si="51"/>
        <v>6</v>
      </c>
      <c r="Y319" s="3" t="str">
        <f t="shared" si="55"/>
        <v/>
      </c>
    </row>
    <row r="320" spans="24:25" x14ac:dyDescent="0.25">
      <c r="X320" s="3">
        <f t="shared" si="51"/>
        <v>6</v>
      </c>
      <c r="Y320" s="3" t="str">
        <f t="shared" si="55"/>
        <v/>
      </c>
    </row>
    <row r="321" spans="24:25" x14ac:dyDescent="0.25">
      <c r="X321" s="3">
        <f t="shared" si="51"/>
        <v>6</v>
      </c>
      <c r="Y321" s="3" t="str">
        <f t="shared" si="55"/>
        <v/>
      </c>
    </row>
    <row r="322" spans="24:25" x14ac:dyDescent="0.25">
      <c r="X322" s="3">
        <f t="shared" si="51"/>
        <v>6</v>
      </c>
      <c r="Y322" s="3" t="str">
        <f t="shared" si="55"/>
        <v/>
      </c>
    </row>
    <row r="323" spans="24:25" x14ac:dyDescent="0.25">
      <c r="X323" s="3">
        <f t="shared" si="51"/>
        <v>6</v>
      </c>
      <c r="Y323" s="3" t="str">
        <f t="shared" si="55"/>
        <v/>
      </c>
    </row>
    <row r="324" spans="24:25" x14ac:dyDescent="0.25">
      <c r="X324" s="3">
        <f t="shared" ref="X324:X387" si="56">IF(ISNUMBER(CODE(Z324)),X323+1,X323)</f>
        <v>6</v>
      </c>
      <c r="Y324" s="3" t="str">
        <f t="shared" si="55"/>
        <v/>
      </c>
    </row>
    <row r="325" spans="24:25" x14ac:dyDescent="0.25">
      <c r="X325" s="3">
        <f t="shared" si="56"/>
        <v>6</v>
      </c>
      <c r="Y325" s="3" t="str">
        <f t="shared" si="55"/>
        <v/>
      </c>
    </row>
    <row r="326" spans="24:25" x14ac:dyDescent="0.25">
      <c r="X326" s="3">
        <f t="shared" si="56"/>
        <v>6</v>
      </c>
      <c r="Y326" s="3" t="str">
        <f t="shared" si="55"/>
        <v/>
      </c>
    </row>
    <row r="327" spans="24:25" x14ac:dyDescent="0.25">
      <c r="X327" s="3">
        <f t="shared" si="56"/>
        <v>6</v>
      </c>
      <c r="Y327" s="3" t="str">
        <f t="shared" si="55"/>
        <v/>
      </c>
    </row>
    <row r="328" spans="24:25" x14ac:dyDescent="0.25">
      <c r="X328" s="3">
        <f t="shared" si="56"/>
        <v>6</v>
      </c>
      <c r="Y328" s="3" t="str">
        <f t="shared" si="55"/>
        <v/>
      </c>
    </row>
    <row r="329" spans="24:25" x14ac:dyDescent="0.25">
      <c r="X329" s="3">
        <f t="shared" si="56"/>
        <v>6</v>
      </c>
      <c r="Y329" s="3" t="str">
        <f t="shared" si="55"/>
        <v/>
      </c>
    </row>
    <row r="330" spans="24:25" x14ac:dyDescent="0.25">
      <c r="X330" s="3">
        <f t="shared" si="56"/>
        <v>6</v>
      </c>
      <c r="Y330" s="3" t="str">
        <f t="shared" si="55"/>
        <v/>
      </c>
    </row>
    <row r="331" spans="24:25" x14ac:dyDescent="0.25">
      <c r="X331" s="3">
        <f t="shared" si="56"/>
        <v>6</v>
      </c>
      <c r="Y331" s="3" t="str">
        <f t="shared" si="55"/>
        <v/>
      </c>
    </row>
    <row r="332" spans="24:25" x14ac:dyDescent="0.25">
      <c r="X332" s="3">
        <f t="shared" si="56"/>
        <v>6</v>
      </c>
      <c r="Y332" s="3" t="str">
        <f t="shared" si="55"/>
        <v/>
      </c>
    </row>
    <row r="333" spans="24:25" x14ac:dyDescent="0.25">
      <c r="X333" s="3">
        <f t="shared" si="56"/>
        <v>6</v>
      </c>
      <c r="Y333" s="3" t="str">
        <f t="shared" si="55"/>
        <v/>
      </c>
    </row>
    <row r="334" spans="24:25" x14ac:dyDescent="0.25">
      <c r="X334" s="3">
        <f t="shared" si="56"/>
        <v>6</v>
      </c>
      <c r="Y334" s="3" t="str">
        <f t="shared" si="55"/>
        <v/>
      </c>
    </row>
    <row r="335" spans="24:25" x14ac:dyDescent="0.25">
      <c r="X335" s="3">
        <f t="shared" si="56"/>
        <v>6</v>
      </c>
      <c r="Y335" s="3" t="str">
        <f t="shared" si="55"/>
        <v/>
      </c>
    </row>
    <row r="336" spans="24:25" x14ac:dyDescent="0.25">
      <c r="X336" s="3">
        <f t="shared" si="56"/>
        <v>6</v>
      </c>
      <c r="Y336" s="3" t="str">
        <f t="shared" si="55"/>
        <v/>
      </c>
    </row>
    <row r="337" spans="24:25" x14ac:dyDescent="0.25">
      <c r="X337" s="3">
        <f t="shared" si="56"/>
        <v>6</v>
      </c>
      <c r="Y337" s="3" t="str">
        <f t="shared" si="55"/>
        <v/>
      </c>
    </row>
    <row r="338" spans="24:25" x14ac:dyDescent="0.25">
      <c r="X338" s="3">
        <f t="shared" si="56"/>
        <v>6</v>
      </c>
      <c r="Y338" s="3" t="str">
        <f t="shared" si="55"/>
        <v/>
      </c>
    </row>
    <row r="339" spans="24:25" x14ac:dyDescent="0.25">
      <c r="X339" s="3">
        <f t="shared" si="56"/>
        <v>6</v>
      </c>
      <c r="Y339" s="3" t="str">
        <f t="shared" si="55"/>
        <v/>
      </c>
    </row>
    <row r="340" spans="24:25" x14ac:dyDescent="0.25">
      <c r="X340" s="3">
        <f t="shared" si="56"/>
        <v>6</v>
      </c>
      <c r="Y340" s="3" t="str">
        <f t="shared" si="55"/>
        <v/>
      </c>
    </row>
    <row r="341" spans="24:25" x14ac:dyDescent="0.25">
      <c r="X341" s="3">
        <f t="shared" si="56"/>
        <v>6</v>
      </c>
      <c r="Y341" s="3" t="str">
        <f t="shared" si="55"/>
        <v/>
      </c>
    </row>
    <row r="342" spans="24:25" x14ac:dyDescent="0.25">
      <c r="X342" s="3">
        <f t="shared" si="56"/>
        <v>6</v>
      </c>
      <c r="Y342" s="3" t="str">
        <f t="shared" si="55"/>
        <v/>
      </c>
    </row>
    <row r="343" spans="24:25" x14ac:dyDescent="0.25">
      <c r="X343" s="3">
        <f t="shared" si="56"/>
        <v>6</v>
      </c>
      <c r="Y343" s="3" t="str">
        <f t="shared" si="55"/>
        <v/>
      </c>
    </row>
    <row r="344" spans="24:25" x14ac:dyDescent="0.25">
      <c r="X344" s="3">
        <f t="shared" si="56"/>
        <v>6</v>
      </c>
      <c r="Y344" s="3" t="str">
        <f t="shared" si="55"/>
        <v/>
      </c>
    </row>
    <row r="345" spans="24:25" x14ac:dyDescent="0.25">
      <c r="X345" s="3">
        <f t="shared" si="56"/>
        <v>6</v>
      </c>
      <c r="Y345" s="3" t="str">
        <f t="shared" si="55"/>
        <v/>
      </c>
    </row>
    <row r="346" spans="24:25" x14ac:dyDescent="0.25">
      <c r="X346" s="3">
        <f t="shared" si="56"/>
        <v>6</v>
      </c>
      <c r="Y346" s="3" t="str">
        <f t="shared" si="55"/>
        <v/>
      </c>
    </row>
    <row r="347" spans="24:25" x14ac:dyDescent="0.25">
      <c r="X347" s="3">
        <f t="shared" si="56"/>
        <v>6</v>
      </c>
      <c r="Y347" s="3" t="str">
        <f t="shared" si="55"/>
        <v/>
      </c>
    </row>
    <row r="348" spans="24:25" x14ac:dyDescent="0.25">
      <c r="X348" s="3">
        <f t="shared" si="56"/>
        <v>6</v>
      </c>
      <c r="Y348" s="3" t="str">
        <f t="shared" si="55"/>
        <v/>
      </c>
    </row>
    <row r="349" spans="24:25" x14ac:dyDescent="0.25">
      <c r="X349" s="3">
        <f t="shared" si="56"/>
        <v>6</v>
      </c>
      <c r="Y349" s="3" t="str">
        <f t="shared" si="55"/>
        <v/>
      </c>
    </row>
    <row r="350" spans="24:25" x14ac:dyDescent="0.25">
      <c r="X350" s="3">
        <f t="shared" si="56"/>
        <v>6</v>
      </c>
      <c r="Y350" s="3" t="str">
        <f t="shared" si="55"/>
        <v/>
      </c>
    </row>
    <row r="351" spans="24:25" x14ac:dyDescent="0.25">
      <c r="X351" s="3">
        <f t="shared" si="56"/>
        <v>6</v>
      </c>
      <c r="Y351" s="3" t="str">
        <f t="shared" si="55"/>
        <v/>
      </c>
    </row>
    <row r="352" spans="24:25" x14ac:dyDescent="0.25">
      <c r="X352" s="3">
        <f t="shared" si="56"/>
        <v>6</v>
      </c>
      <c r="Y352" s="3" t="str">
        <f t="shared" si="55"/>
        <v/>
      </c>
    </row>
    <row r="353" spans="24:25" x14ac:dyDescent="0.25">
      <c r="X353" s="3">
        <f t="shared" si="56"/>
        <v>6</v>
      </c>
      <c r="Y353" s="3" t="str">
        <f t="shared" si="55"/>
        <v/>
      </c>
    </row>
    <row r="354" spans="24:25" x14ac:dyDescent="0.25">
      <c r="X354" s="3">
        <f t="shared" si="56"/>
        <v>6</v>
      </c>
      <c r="Y354" s="3" t="str">
        <f t="shared" si="55"/>
        <v/>
      </c>
    </row>
    <row r="355" spans="24:25" x14ac:dyDescent="0.25">
      <c r="X355" s="3">
        <f t="shared" si="56"/>
        <v>6</v>
      </c>
      <c r="Y355" s="3" t="str">
        <f t="shared" si="55"/>
        <v/>
      </c>
    </row>
    <row r="356" spans="24:25" x14ac:dyDescent="0.25">
      <c r="X356" s="3">
        <f t="shared" si="56"/>
        <v>6</v>
      </c>
      <c r="Y356" s="3" t="str">
        <f t="shared" ref="Y356:Y419" si="57">INDEX($O$3:$W$50,1+INT((ROW(A354)-1)/COLUMNS($O$3:$W$50)),MOD(ROW(A354)-1+COLUMNS($O$3:$W$50),COLUMNS($O$3:$W$50))+1)</f>
        <v/>
      </c>
    </row>
    <row r="357" spans="24:25" x14ac:dyDescent="0.25">
      <c r="X357" s="3">
        <f t="shared" si="56"/>
        <v>6</v>
      </c>
      <c r="Y357" s="3" t="str">
        <f t="shared" si="57"/>
        <v/>
      </c>
    </row>
    <row r="358" spans="24:25" x14ac:dyDescent="0.25">
      <c r="X358" s="3">
        <f t="shared" si="56"/>
        <v>6</v>
      </c>
      <c r="Y358" s="3" t="str">
        <f t="shared" si="57"/>
        <v/>
      </c>
    </row>
    <row r="359" spans="24:25" x14ac:dyDescent="0.25">
      <c r="X359" s="3">
        <f t="shared" si="56"/>
        <v>6</v>
      </c>
      <c r="Y359" s="3" t="str">
        <f t="shared" si="57"/>
        <v/>
      </c>
    </row>
    <row r="360" spans="24:25" x14ac:dyDescent="0.25">
      <c r="X360" s="3">
        <f t="shared" si="56"/>
        <v>6</v>
      </c>
      <c r="Y360" s="3" t="str">
        <f t="shared" si="57"/>
        <v/>
      </c>
    </row>
    <row r="361" spans="24:25" x14ac:dyDescent="0.25">
      <c r="X361" s="3">
        <f t="shared" si="56"/>
        <v>6</v>
      </c>
      <c r="Y361" s="3" t="str">
        <f t="shared" si="57"/>
        <v/>
      </c>
    </row>
    <row r="362" spans="24:25" x14ac:dyDescent="0.25">
      <c r="X362" s="3">
        <f t="shared" si="56"/>
        <v>6</v>
      </c>
      <c r="Y362" s="3" t="str">
        <f t="shared" si="57"/>
        <v/>
      </c>
    </row>
    <row r="363" spans="24:25" x14ac:dyDescent="0.25">
      <c r="X363" s="3">
        <f t="shared" si="56"/>
        <v>6</v>
      </c>
      <c r="Y363" s="3" t="str">
        <f t="shared" si="57"/>
        <v/>
      </c>
    </row>
    <row r="364" spans="24:25" x14ac:dyDescent="0.25">
      <c r="X364" s="3">
        <f t="shared" si="56"/>
        <v>6</v>
      </c>
      <c r="Y364" s="3" t="str">
        <f t="shared" si="57"/>
        <v/>
      </c>
    </row>
    <row r="365" spans="24:25" x14ac:dyDescent="0.25">
      <c r="X365" s="3">
        <f t="shared" si="56"/>
        <v>6</v>
      </c>
      <c r="Y365" s="3" t="str">
        <f t="shared" si="57"/>
        <v/>
      </c>
    </row>
    <row r="366" spans="24:25" x14ac:dyDescent="0.25">
      <c r="X366" s="3">
        <f t="shared" si="56"/>
        <v>6</v>
      </c>
      <c r="Y366" s="3" t="str">
        <f t="shared" si="57"/>
        <v/>
      </c>
    </row>
    <row r="367" spans="24:25" x14ac:dyDescent="0.25">
      <c r="X367" s="3">
        <f t="shared" si="56"/>
        <v>6</v>
      </c>
      <c r="Y367" s="3" t="str">
        <f t="shared" si="57"/>
        <v/>
      </c>
    </row>
    <row r="368" spans="24:25" x14ac:dyDescent="0.25">
      <c r="X368" s="3">
        <f t="shared" si="56"/>
        <v>6</v>
      </c>
      <c r="Y368" s="3" t="str">
        <f t="shared" si="57"/>
        <v/>
      </c>
    </row>
    <row r="369" spans="24:25" x14ac:dyDescent="0.25">
      <c r="X369" s="3">
        <f t="shared" si="56"/>
        <v>6</v>
      </c>
      <c r="Y369" s="3" t="str">
        <f t="shared" si="57"/>
        <v/>
      </c>
    </row>
    <row r="370" spans="24:25" x14ac:dyDescent="0.25">
      <c r="X370" s="3">
        <f t="shared" si="56"/>
        <v>6</v>
      </c>
      <c r="Y370" s="3" t="str">
        <f t="shared" si="57"/>
        <v/>
      </c>
    </row>
    <row r="371" spans="24:25" x14ac:dyDescent="0.25">
      <c r="X371" s="3">
        <f t="shared" si="56"/>
        <v>6</v>
      </c>
      <c r="Y371" s="3" t="str">
        <f t="shared" si="57"/>
        <v/>
      </c>
    </row>
    <row r="372" spans="24:25" x14ac:dyDescent="0.25">
      <c r="X372" s="3">
        <f t="shared" si="56"/>
        <v>6</v>
      </c>
      <c r="Y372" s="3" t="str">
        <f t="shared" si="57"/>
        <v/>
      </c>
    </row>
    <row r="373" spans="24:25" x14ac:dyDescent="0.25">
      <c r="X373" s="3">
        <f t="shared" si="56"/>
        <v>6</v>
      </c>
      <c r="Y373" s="3" t="str">
        <f t="shared" si="57"/>
        <v/>
      </c>
    </row>
    <row r="374" spans="24:25" x14ac:dyDescent="0.25">
      <c r="X374" s="3">
        <f t="shared" si="56"/>
        <v>6</v>
      </c>
      <c r="Y374" s="3" t="str">
        <f t="shared" si="57"/>
        <v/>
      </c>
    </row>
    <row r="375" spans="24:25" x14ac:dyDescent="0.25">
      <c r="X375" s="3">
        <f t="shared" si="56"/>
        <v>6</v>
      </c>
      <c r="Y375" s="3" t="str">
        <f t="shared" si="57"/>
        <v/>
      </c>
    </row>
    <row r="376" spans="24:25" x14ac:dyDescent="0.25">
      <c r="X376" s="3">
        <f t="shared" si="56"/>
        <v>6</v>
      </c>
      <c r="Y376" s="3" t="str">
        <f t="shared" si="57"/>
        <v/>
      </c>
    </row>
    <row r="377" spans="24:25" x14ac:dyDescent="0.25">
      <c r="X377" s="3">
        <f t="shared" si="56"/>
        <v>6</v>
      </c>
      <c r="Y377" s="3" t="str">
        <f t="shared" si="57"/>
        <v/>
      </c>
    </row>
    <row r="378" spans="24:25" x14ac:dyDescent="0.25">
      <c r="X378" s="3">
        <f t="shared" si="56"/>
        <v>6</v>
      </c>
      <c r="Y378" s="3" t="str">
        <f t="shared" si="57"/>
        <v/>
      </c>
    </row>
    <row r="379" spans="24:25" x14ac:dyDescent="0.25">
      <c r="X379" s="3">
        <f t="shared" si="56"/>
        <v>6</v>
      </c>
      <c r="Y379" s="3" t="str">
        <f t="shared" si="57"/>
        <v/>
      </c>
    </row>
    <row r="380" spans="24:25" x14ac:dyDescent="0.25">
      <c r="X380" s="3">
        <f t="shared" si="56"/>
        <v>6</v>
      </c>
      <c r="Y380" s="3" t="str">
        <f t="shared" si="57"/>
        <v/>
      </c>
    </row>
    <row r="381" spans="24:25" x14ac:dyDescent="0.25">
      <c r="X381" s="3">
        <f t="shared" si="56"/>
        <v>6</v>
      </c>
      <c r="Y381" s="3" t="str">
        <f t="shared" si="57"/>
        <v/>
      </c>
    </row>
    <row r="382" spans="24:25" x14ac:dyDescent="0.25">
      <c r="X382" s="3">
        <f t="shared" si="56"/>
        <v>6</v>
      </c>
      <c r="Y382" s="3" t="str">
        <f t="shared" si="57"/>
        <v/>
      </c>
    </row>
    <row r="383" spans="24:25" x14ac:dyDescent="0.25">
      <c r="X383" s="3">
        <f t="shared" si="56"/>
        <v>6</v>
      </c>
      <c r="Y383" s="3" t="str">
        <f t="shared" si="57"/>
        <v/>
      </c>
    </row>
    <row r="384" spans="24:25" x14ac:dyDescent="0.25">
      <c r="X384" s="3">
        <f t="shared" si="56"/>
        <v>6</v>
      </c>
      <c r="Y384" s="3" t="str">
        <f t="shared" si="57"/>
        <v/>
      </c>
    </row>
    <row r="385" spans="24:25" x14ac:dyDescent="0.25">
      <c r="X385" s="3">
        <f t="shared" si="56"/>
        <v>6</v>
      </c>
      <c r="Y385" s="3" t="str">
        <f t="shared" si="57"/>
        <v/>
      </c>
    </row>
    <row r="386" spans="24:25" x14ac:dyDescent="0.25">
      <c r="X386" s="3">
        <f t="shared" si="56"/>
        <v>6</v>
      </c>
      <c r="Y386" s="3" t="str">
        <f t="shared" si="57"/>
        <v/>
      </c>
    </row>
    <row r="387" spans="24:25" x14ac:dyDescent="0.25">
      <c r="X387" s="3">
        <f t="shared" si="56"/>
        <v>6</v>
      </c>
      <c r="Y387" s="3" t="str">
        <f t="shared" si="57"/>
        <v/>
      </c>
    </row>
    <row r="388" spans="24:25" x14ac:dyDescent="0.25">
      <c r="X388" s="3">
        <f t="shared" ref="X388:X434" si="58">IF(ISNUMBER(CODE(Z388)),X387+1,X387)</f>
        <v>6</v>
      </c>
      <c r="Y388" s="3" t="str">
        <f t="shared" si="57"/>
        <v/>
      </c>
    </row>
    <row r="389" spans="24:25" x14ac:dyDescent="0.25">
      <c r="X389" s="3">
        <f t="shared" si="58"/>
        <v>6</v>
      </c>
      <c r="Y389" s="3" t="str">
        <f t="shared" si="57"/>
        <v/>
      </c>
    </row>
    <row r="390" spans="24:25" x14ac:dyDescent="0.25">
      <c r="X390" s="3">
        <f t="shared" si="58"/>
        <v>6</v>
      </c>
      <c r="Y390" s="3" t="str">
        <f t="shared" si="57"/>
        <v/>
      </c>
    </row>
    <row r="391" spans="24:25" x14ac:dyDescent="0.25">
      <c r="X391" s="3">
        <f t="shared" si="58"/>
        <v>6</v>
      </c>
      <c r="Y391" s="3" t="str">
        <f t="shared" si="57"/>
        <v/>
      </c>
    </row>
    <row r="392" spans="24:25" x14ac:dyDescent="0.25">
      <c r="X392" s="3">
        <f t="shared" si="58"/>
        <v>6</v>
      </c>
      <c r="Y392" s="3" t="str">
        <f t="shared" si="57"/>
        <v/>
      </c>
    </row>
    <row r="393" spans="24:25" x14ac:dyDescent="0.25">
      <c r="X393" s="3">
        <f t="shared" si="58"/>
        <v>6</v>
      </c>
      <c r="Y393" s="3" t="str">
        <f t="shared" si="57"/>
        <v/>
      </c>
    </row>
    <row r="394" spans="24:25" x14ac:dyDescent="0.25">
      <c r="X394" s="3">
        <f t="shared" si="58"/>
        <v>6</v>
      </c>
      <c r="Y394" s="3" t="str">
        <f t="shared" si="57"/>
        <v/>
      </c>
    </row>
    <row r="395" spans="24:25" x14ac:dyDescent="0.25">
      <c r="X395" s="3">
        <f t="shared" si="58"/>
        <v>6</v>
      </c>
      <c r="Y395" s="3" t="str">
        <f t="shared" si="57"/>
        <v/>
      </c>
    </row>
    <row r="396" spans="24:25" x14ac:dyDescent="0.25">
      <c r="X396" s="3">
        <f t="shared" si="58"/>
        <v>6</v>
      </c>
      <c r="Y396" s="3" t="str">
        <f t="shared" si="57"/>
        <v/>
      </c>
    </row>
    <row r="397" spans="24:25" x14ac:dyDescent="0.25">
      <c r="X397" s="3">
        <f t="shared" si="58"/>
        <v>6</v>
      </c>
      <c r="Y397" s="3" t="str">
        <f t="shared" si="57"/>
        <v/>
      </c>
    </row>
    <row r="398" spans="24:25" x14ac:dyDescent="0.25">
      <c r="X398" s="3">
        <f t="shared" si="58"/>
        <v>6</v>
      </c>
      <c r="Y398" s="3" t="str">
        <f t="shared" si="57"/>
        <v/>
      </c>
    </row>
    <row r="399" spans="24:25" x14ac:dyDescent="0.25">
      <c r="X399" s="3">
        <f t="shared" si="58"/>
        <v>6</v>
      </c>
      <c r="Y399" s="3" t="str">
        <f t="shared" si="57"/>
        <v/>
      </c>
    </row>
    <row r="400" spans="24:25" x14ac:dyDescent="0.25">
      <c r="X400" s="3">
        <f t="shared" si="58"/>
        <v>6</v>
      </c>
      <c r="Y400" s="3" t="str">
        <f t="shared" si="57"/>
        <v/>
      </c>
    </row>
    <row r="401" spans="24:25" x14ac:dyDescent="0.25">
      <c r="X401" s="3">
        <f t="shared" si="58"/>
        <v>6</v>
      </c>
      <c r="Y401" s="3" t="str">
        <f t="shared" si="57"/>
        <v/>
      </c>
    </row>
    <row r="402" spans="24:25" x14ac:dyDescent="0.25">
      <c r="X402" s="3">
        <f t="shared" si="58"/>
        <v>6</v>
      </c>
      <c r="Y402" s="3" t="str">
        <f t="shared" si="57"/>
        <v/>
      </c>
    </row>
    <row r="403" spans="24:25" x14ac:dyDescent="0.25">
      <c r="X403" s="3">
        <f t="shared" si="58"/>
        <v>6</v>
      </c>
      <c r="Y403" s="3" t="str">
        <f t="shared" si="57"/>
        <v/>
      </c>
    </row>
    <row r="404" spans="24:25" x14ac:dyDescent="0.25">
      <c r="X404" s="3">
        <f t="shared" si="58"/>
        <v>6</v>
      </c>
      <c r="Y404" s="3" t="str">
        <f t="shared" si="57"/>
        <v/>
      </c>
    </row>
    <row r="405" spans="24:25" x14ac:dyDescent="0.25">
      <c r="X405" s="3">
        <f t="shared" si="58"/>
        <v>6</v>
      </c>
      <c r="Y405" s="3" t="str">
        <f t="shared" si="57"/>
        <v/>
      </c>
    </row>
    <row r="406" spans="24:25" x14ac:dyDescent="0.25">
      <c r="X406" s="3">
        <f t="shared" si="58"/>
        <v>6</v>
      </c>
      <c r="Y406" s="3" t="str">
        <f t="shared" si="57"/>
        <v/>
      </c>
    </row>
    <row r="407" spans="24:25" x14ac:dyDescent="0.25">
      <c r="X407" s="3">
        <f t="shared" si="58"/>
        <v>6</v>
      </c>
      <c r="Y407" s="3" t="str">
        <f t="shared" si="57"/>
        <v/>
      </c>
    </row>
    <row r="408" spans="24:25" x14ac:dyDescent="0.25">
      <c r="X408" s="3">
        <f t="shared" si="58"/>
        <v>6</v>
      </c>
      <c r="Y408" s="3" t="str">
        <f t="shared" si="57"/>
        <v/>
      </c>
    </row>
    <row r="409" spans="24:25" x14ac:dyDescent="0.25">
      <c r="X409" s="3">
        <f t="shared" si="58"/>
        <v>6</v>
      </c>
      <c r="Y409" s="3" t="str">
        <f t="shared" si="57"/>
        <v/>
      </c>
    </row>
    <row r="410" spans="24:25" x14ac:dyDescent="0.25">
      <c r="X410" s="3">
        <f t="shared" si="58"/>
        <v>6</v>
      </c>
      <c r="Y410" s="3" t="str">
        <f t="shared" si="57"/>
        <v/>
      </c>
    </row>
    <row r="411" spans="24:25" x14ac:dyDescent="0.25">
      <c r="X411" s="3">
        <f t="shared" si="58"/>
        <v>6</v>
      </c>
      <c r="Y411" s="3" t="str">
        <f t="shared" si="57"/>
        <v/>
      </c>
    </row>
    <row r="412" spans="24:25" x14ac:dyDescent="0.25">
      <c r="X412" s="3">
        <f t="shared" si="58"/>
        <v>6</v>
      </c>
      <c r="Y412" s="3" t="str">
        <f t="shared" si="57"/>
        <v/>
      </c>
    </row>
    <row r="413" spans="24:25" x14ac:dyDescent="0.25">
      <c r="X413" s="3">
        <f t="shared" si="58"/>
        <v>6</v>
      </c>
      <c r="Y413" s="3" t="str">
        <f t="shared" si="57"/>
        <v/>
      </c>
    </row>
    <row r="414" spans="24:25" x14ac:dyDescent="0.25">
      <c r="X414" s="3">
        <f t="shared" si="58"/>
        <v>6</v>
      </c>
      <c r="Y414" s="3" t="str">
        <f t="shared" si="57"/>
        <v/>
      </c>
    </row>
    <row r="415" spans="24:25" x14ac:dyDescent="0.25">
      <c r="X415" s="3">
        <f t="shared" si="58"/>
        <v>6</v>
      </c>
      <c r="Y415" s="3" t="str">
        <f t="shared" si="57"/>
        <v/>
      </c>
    </row>
    <row r="416" spans="24:25" x14ac:dyDescent="0.25">
      <c r="X416" s="3">
        <f t="shared" si="58"/>
        <v>6</v>
      </c>
      <c r="Y416" s="3" t="str">
        <f t="shared" si="57"/>
        <v/>
      </c>
    </row>
    <row r="417" spans="24:25" x14ac:dyDescent="0.25">
      <c r="X417" s="3">
        <f t="shared" si="58"/>
        <v>6</v>
      </c>
      <c r="Y417" s="3" t="str">
        <f t="shared" si="57"/>
        <v/>
      </c>
    </row>
    <row r="418" spans="24:25" x14ac:dyDescent="0.25">
      <c r="X418" s="3">
        <f t="shared" si="58"/>
        <v>6</v>
      </c>
      <c r="Y418" s="3" t="str">
        <f t="shared" si="57"/>
        <v/>
      </c>
    </row>
    <row r="419" spans="24:25" x14ac:dyDescent="0.25">
      <c r="X419" s="3">
        <f t="shared" si="58"/>
        <v>6</v>
      </c>
      <c r="Y419" s="3" t="str">
        <f t="shared" si="57"/>
        <v/>
      </c>
    </row>
    <row r="420" spans="24:25" x14ac:dyDescent="0.25">
      <c r="X420" s="3">
        <f t="shared" si="58"/>
        <v>6</v>
      </c>
      <c r="Y420" s="3" t="str">
        <f t="shared" ref="Y420:Y434" si="59">INDEX($O$3:$W$50,1+INT((ROW(A418)-1)/COLUMNS($O$3:$W$50)),MOD(ROW(A418)-1+COLUMNS($O$3:$W$50),COLUMNS($O$3:$W$50))+1)</f>
        <v/>
      </c>
    </row>
    <row r="421" spans="24:25" x14ac:dyDescent="0.25">
      <c r="X421" s="3">
        <f t="shared" si="58"/>
        <v>6</v>
      </c>
      <c r="Y421" s="3" t="str">
        <f t="shared" si="59"/>
        <v/>
      </c>
    </row>
    <row r="422" spans="24:25" x14ac:dyDescent="0.25">
      <c r="X422" s="3">
        <f t="shared" si="58"/>
        <v>6</v>
      </c>
      <c r="Y422" s="3" t="str">
        <f t="shared" si="59"/>
        <v/>
      </c>
    </row>
    <row r="423" spans="24:25" x14ac:dyDescent="0.25">
      <c r="X423" s="3">
        <f t="shared" si="58"/>
        <v>6</v>
      </c>
      <c r="Y423" s="3" t="str">
        <f t="shared" si="59"/>
        <v/>
      </c>
    </row>
    <row r="424" spans="24:25" x14ac:dyDescent="0.25">
      <c r="X424" s="3">
        <f t="shared" si="58"/>
        <v>6</v>
      </c>
      <c r="Y424" s="3" t="str">
        <f t="shared" si="59"/>
        <v/>
      </c>
    </row>
    <row r="425" spans="24:25" x14ac:dyDescent="0.25">
      <c r="X425" s="3">
        <f t="shared" si="58"/>
        <v>6</v>
      </c>
      <c r="Y425" s="3" t="str">
        <f t="shared" si="59"/>
        <v/>
      </c>
    </row>
    <row r="426" spans="24:25" x14ac:dyDescent="0.25">
      <c r="X426" s="3">
        <f t="shared" si="58"/>
        <v>6</v>
      </c>
      <c r="Y426" s="3" t="str">
        <f t="shared" si="59"/>
        <v/>
      </c>
    </row>
    <row r="427" spans="24:25" x14ac:dyDescent="0.25">
      <c r="X427" s="3">
        <f t="shared" si="58"/>
        <v>6</v>
      </c>
      <c r="Y427" s="3" t="str">
        <f t="shared" si="59"/>
        <v/>
      </c>
    </row>
    <row r="428" spans="24:25" x14ac:dyDescent="0.25">
      <c r="X428" s="3">
        <f t="shared" si="58"/>
        <v>6</v>
      </c>
      <c r="Y428" s="3" t="str">
        <f t="shared" si="59"/>
        <v/>
      </c>
    </row>
    <row r="429" spans="24:25" x14ac:dyDescent="0.25">
      <c r="X429" s="3">
        <f t="shared" si="58"/>
        <v>6</v>
      </c>
      <c r="Y429" s="3" t="str">
        <f t="shared" si="59"/>
        <v/>
      </c>
    </row>
    <row r="430" spans="24:25" x14ac:dyDescent="0.25">
      <c r="X430" s="3">
        <f t="shared" si="58"/>
        <v>6</v>
      </c>
      <c r="Y430" s="3" t="str">
        <f t="shared" si="59"/>
        <v/>
      </c>
    </row>
    <row r="431" spans="24:25" x14ac:dyDescent="0.25">
      <c r="X431" s="3">
        <f t="shared" si="58"/>
        <v>6</v>
      </c>
      <c r="Y431" s="3" t="str">
        <f t="shared" si="59"/>
        <v/>
      </c>
    </row>
    <row r="432" spans="24:25" x14ac:dyDescent="0.25">
      <c r="X432" s="3">
        <f t="shared" si="58"/>
        <v>6</v>
      </c>
      <c r="Y432" s="3" t="str">
        <f t="shared" si="59"/>
        <v/>
      </c>
    </row>
    <row r="433" spans="24:25" x14ac:dyDescent="0.25">
      <c r="X433" s="3">
        <f t="shared" si="58"/>
        <v>6</v>
      </c>
      <c r="Y433" s="3" t="str">
        <f t="shared" si="59"/>
        <v/>
      </c>
    </row>
    <row r="434" spans="24:25" x14ac:dyDescent="0.25">
      <c r="X434" s="3">
        <f t="shared" si="58"/>
        <v>6</v>
      </c>
      <c r="Y434" s="3" t="str">
        <f t="shared" si="59"/>
        <v/>
      </c>
    </row>
  </sheetData>
  <mergeCells count="5">
    <mergeCell ref="I1:J1"/>
    <mergeCell ref="K1:L1"/>
    <mergeCell ref="H2:I2"/>
    <mergeCell ref="J2:K2"/>
    <mergeCell ref="L2:M2"/>
  </mergeCells>
  <conditionalFormatting sqref="B3:D101">
    <cfRule type="expression" dxfId="0" priority="1">
      <formula>IF($A3=1,1,0)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"/>
  <sheetViews>
    <sheetView workbookViewId="0">
      <selection activeCell="B31" sqref="B31"/>
    </sheetView>
  </sheetViews>
  <sheetFormatPr defaultRowHeight="15" x14ac:dyDescent="0.25"/>
  <cols>
    <col min="6" max="6" width="20.5703125" bestFit="1" customWidth="1"/>
  </cols>
  <sheetData>
    <row r="2" spans="2:4" x14ac:dyDescent="0.25">
      <c r="B2" t="s">
        <v>1289</v>
      </c>
      <c r="C2">
        <v>-10.5</v>
      </c>
      <c r="D2">
        <v>219</v>
      </c>
    </row>
    <row r="3" spans="2:4" x14ac:dyDescent="0.25">
      <c r="B3" t="s">
        <v>1290</v>
      </c>
    </row>
    <row r="5" spans="2:4" x14ac:dyDescent="0.25">
      <c r="B5" t="s">
        <v>1291</v>
      </c>
    </row>
    <row r="6" spans="2:4" x14ac:dyDescent="0.25">
      <c r="B6" t="s">
        <v>1292</v>
      </c>
      <c r="C6">
        <v>-6.5</v>
      </c>
      <c r="D6">
        <v>217</v>
      </c>
    </row>
    <row r="8" spans="2:4" x14ac:dyDescent="0.25">
      <c r="B8" t="s">
        <v>1293</v>
      </c>
      <c r="C8">
        <v>-9</v>
      </c>
      <c r="D8">
        <v>214</v>
      </c>
    </row>
    <row r="9" spans="2:4" x14ac:dyDescent="0.25">
      <c r="B9" t="s">
        <v>1213</v>
      </c>
    </row>
    <row r="11" spans="2:4" x14ac:dyDescent="0.25">
      <c r="B11" t="s">
        <v>1207</v>
      </c>
    </row>
    <row r="12" spans="2:4" x14ac:dyDescent="0.25">
      <c r="B12" t="s">
        <v>1294</v>
      </c>
      <c r="C12">
        <v>-16</v>
      </c>
      <c r="D12">
        <v>217</v>
      </c>
    </row>
    <row r="14" spans="2:4" x14ac:dyDescent="0.25">
      <c r="B14" t="s">
        <v>1228</v>
      </c>
    </row>
    <row r="15" spans="2:4" x14ac:dyDescent="0.25">
      <c r="B15" t="s">
        <v>1208</v>
      </c>
      <c r="C15">
        <v>-3.5</v>
      </c>
      <c r="D15">
        <v>206</v>
      </c>
    </row>
    <row r="17" spans="2:4" x14ac:dyDescent="0.25">
      <c r="B17" t="s">
        <v>1226</v>
      </c>
    </row>
    <row r="18" spans="2:4" x14ac:dyDescent="0.25">
      <c r="B18" t="s">
        <v>1210</v>
      </c>
      <c r="C18">
        <v>-7.5</v>
      </c>
      <c r="D18">
        <v>209</v>
      </c>
    </row>
    <row r="20" spans="2:4" x14ac:dyDescent="0.25">
      <c r="B20" t="s">
        <v>1262</v>
      </c>
      <c r="C20">
        <v>-12</v>
      </c>
      <c r="D20">
        <v>217</v>
      </c>
    </row>
    <row r="21" spans="2:4" x14ac:dyDescent="0.25">
      <c r="B21" t="s">
        <v>1295</v>
      </c>
    </row>
    <row r="23" spans="2:4" x14ac:dyDescent="0.25">
      <c r="B23" t="s">
        <v>1227</v>
      </c>
    </row>
    <row r="24" spans="2:4" x14ac:dyDescent="0.25">
      <c r="B24" t="s">
        <v>1211</v>
      </c>
      <c r="C24">
        <v>-5</v>
      </c>
      <c r="D24">
        <v>218</v>
      </c>
    </row>
    <row r="26" spans="2:4" x14ac:dyDescent="0.25">
      <c r="B26" t="s">
        <v>1214</v>
      </c>
    </row>
    <row r="27" spans="2:4" x14ac:dyDescent="0.25">
      <c r="B27" t="s">
        <v>1209</v>
      </c>
      <c r="C27">
        <v>-9</v>
      </c>
      <c r="D27">
        <v>232</v>
      </c>
    </row>
    <row r="29" spans="2:4" x14ac:dyDescent="0.25">
      <c r="B29" t="s">
        <v>1225</v>
      </c>
    </row>
    <row r="30" spans="2:4" x14ac:dyDescent="0.25">
      <c r="B30" t="s">
        <v>1212</v>
      </c>
      <c r="C30">
        <v>-13</v>
      </c>
      <c r="D30">
        <v>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3"/>
  <sheetViews>
    <sheetView workbookViewId="0">
      <selection activeCell="D7" sqref="D7"/>
    </sheetView>
  </sheetViews>
  <sheetFormatPr defaultRowHeight="15" x14ac:dyDescent="0.25"/>
  <cols>
    <col min="3" max="3" width="5.140625" style="3" customWidth="1"/>
    <col min="4" max="4" width="12.85546875" style="94" bestFit="1" customWidth="1"/>
  </cols>
  <sheetData>
    <row r="2" spans="3:8" ht="18.75" x14ac:dyDescent="0.3">
      <c r="F2" s="162" t="s">
        <v>1050</v>
      </c>
      <c r="G2" s="162"/>
      <c r="H2" s="162"/>
    </row>
    <row r="3" spans="3:8" ht="37.5" x14ac:dyDescent="0.3">
      <c r="D3" s="128" t="s">
        <v>1051</v>
      </c>
      <c r="F3" s="163">
        <f>ROUND((PRODUCT(C4:C13)-1)*100,0)</f>
        <v>264</v>
      </c>
      <c r="G3" s="163"/>
      <c r="H3" s="163"/>
    </row>
    <row r="4" spans="3:8" x14ac:dyDescent="0.25">
      <c r="C4" s="3">
        <f>IF(ISBLANK(D4),"",IF(D4&lt;0,-100/D4+1,D4/100))</f>
        <v>1.9090909090909092</v>
      </c>
      <c r="D4" s="43">
        <v>-110</v>
      </c>
    </row>
    <row r="5" spans="3:8" x14ac:dyDescent="0.25">
      <c r="C5" s="3">
        <f t="shared" ref="C5:C13" si="0">IF(ISBLANK(D5),"",IF(D5&lt;0,-100/D5+1,D5/100))</f>
        <v>1.9090909090909092</v>
      </c>
      <c r="D5" s="43">
        <v>-110</v>
      </c>
    </row>
    <row r="6" spans="3:8" x14ac:dyDescent="0.25">
      <c r="C6" s="3" t="str">
        <f t="shared" si="0"/>
        <v/>
      </c>
      <c r="D6" s="43"/>
    </row>
    <row r="7" spans="3:8" x14ac:dyDescent="0.25">
      <c r="C7" s="3" t="str">
        <f t="shared" si="0"/>
        <v/>
      </c>
      <c r="D7" s="43"/>
    </row>
    <row r="8" spans="3:8" x14ac:dyDescent="0.25">
      <c r="C8" s="3" t="str">
        <f t="shared" si="0"/>
        <v/>
      </c>
      <c r="D8" s="43"/>
    </row>
    <row r="9" spans="3:8" x14ac:dyDescent="0.25">
      <c r="C9" s="3" t="str">
        <f t="shared" si="0"/>
        <v/>
      </c>
      <c r="D9" s="43"/>
    </row>
    <row r="10" spans="3:8" x14ac:dyDescent="0.25">
      <c r="C10" s="3" t="str">
        <f t="shared" si="0"/>
        <v/>
      </c>
      <c r="D10" s="43"/>
    </row>
    <row r="11" spans="3:8" x14ac:dyDescent="0.25">
      <c r="C11" s="3" t="str">
        <f t="shared" si="0"/>
        <v/>
      </c>
      <c r="D11" s="43"/>
    </row>
    <row r="12" spans="3:8" x14ac:dyDescent="0.25">
      <c r="C12" s="3" t="str">
        <f t="shared" si="0"/>
        <v/>
      </c>
      <c r="D12" s="43"/>
    </row>
    <row r="13" spans="3:8" x14ac:dyDescent="0.25">
      <c r="C13" s="3" t="str">
        <f t="shared" si="0"/>
        <v/>
      </c>
      <c r="D13" s="43"/>
    </row>
  </sheetData>
  <mergeCells count="2">
    <mergeCell ref="F2:H2"/>
    <mergeCell ref="F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NFL Bets</vt:lpstr>
      <vt:lpstr>NBA Bets</vt:lpstr>
      <vt:lpstr>NCAAB Bets</vt:lpstr>
      <vt:lpstr>Misc. Bets</vt:lpstr>
      <vt:lpstr>NBA Organizer</vt:lpstr>
      <vt:lpstr>NFL Organizer</vt:lpstr>
      <vt:lpstr>Bovada_Temp</vt:lpstr>
      <vt:lpstr>Parlay Calculator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Riordan</dc:creator>
  <cp:lastModifiedBy>Ken Riordan</cp:lastModifiedBy>
  <dcterms:created xsi:type="dcterms:W3CDTF">2018-11-29T21:08:22Z</dcterms:created>
  <dcterms:modified xsi:type="dcterms:W3CDTF">2019-04-01T19:48:10Z</dcterms:modified>
</cp:coreProperties>
</file>